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DC700359-5180-4386-866B-50734CD4FBD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um, scheme" sheetId="20" r:id="rId1"/>
    <sheet name="Component wise" sheetId="50" r:id="rId2"/>
    <sheet name="Sum , MPA" sheetId="39" r:id="rId3"/>
    <sheet name="Summary " sheetId="48" r:id="rId4"/>
    <sheet name="1.1" sheetId="47" r:id="rId5"/>
    <sheet name="1.2" sheetId="46" r:id="rId6"/>
    <sheet name="2.1" sheetId="45" r:id="rId7"/>
    <sheet name="2.2" sheetId="44" r:id="rId8"/>
    <sheet name="2.3" sheetId="43" r:id="rId9"/>
    <sheet name="3.1" sheetId="42" r:id="rId10"/>
    <sheet name="3.2" sheetId="41" r:id="rId11"/>
    <sheet name="4.1 " sheetId="24" r:id="rId12"/>
    <sheet name="4.2" sheetId="25" r:id="rId13"/>
    <sheet name="4.3 " sheetId="26" r:id="rId14"/>
    <sheet name="major activiites -IFAD" sheetId="51" r:id="rId15"/>
    <sheet name="Category wise" sheetId="52" r:id="rId16"/>
    <sheet name="Consolidated" sheetId="53" r:id="rId17"/>
  </sheets>
  <definedNames>
    <definedName name="_xlnm._FilterDatabase" localSheetId="6" hidden="1">'2.1'!$A$8:$BV$102</definedName>
    <definedName name="_xlnm._FilterDatabase" localSheetId="7" hidden="1">'2.2'!$A$8:$BW$92</definedName>
    <definedName name="_xlnm._FilterDatabase" localSheetId="8" hidden="1">'2.3'!$A$8:$BW$65</definedName>
    <definedName name="_xlnm._FilterDatabase" localSheetId="9" hidden="1">'3.1'!$A$8:$FE$53</definedName>
    <definedName name="_xlnm._FilterDatabase" localSheetId="10" hidden="1">'3.2'!$A$9:$BV$46</definedName>
    <definedName name="_xlnm.Print_Area" localSheetId="2">'Sum , MPA'!$A$1:$AP$34</definedName>
    <definedName name="_xlnm.Print_Titles" localSheetId="2">'Sum , MPA'!$A:$C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53" l="1"/>
  <c r="E7" i="53"/>
  <c r="F7" i="53"/>
  <c r="G7" i="53"/>
  <c r="H7" i="53"/>
  <c r="I7" i="53"/>
  <c r="J7" i="53"/>
  <c r="C7" i="53"/>
  <c r="D6" i="53"/>
  <c r="E6" i="53"/>
  <c r="F6" i="53"/>
  <c r="G6" i="53"/>
  <c r="H6" i="53"/>
  <c r="I6" i="53"/>
  <c r="J6" i="53"/>
  <c r="C6" i="53"/>
  <c r="D5" i="53"/>
  <c r="E5" i="53"/>
  <c r="F5" i="53"/>
  <c r="G5" i="53"/>
  <c r="H5" i="53"/>
  <c r="I5" i="53"/>
  <c r="J5" i="53"/>
  <c r="J9" i="53" s="1"/>
  <c r="C5" i="53"/>
  <c r="D4" i="53"/>
  <c r="E4" i="53"/>
  <c r="F4" i="53"/>
  <c r="G4" i="53"/>
  <c r="G9" i="53" s="1"/>
  <c r="H4" i="53"/>
  <c r="H9" i="53" s="1"/>
  <c r="I4" i="53"/>
  <c r="J4" i="53"/>
  <c r="C4" i="53"/>
  <c r="D3" i="53"/>
  <c r="E3" i="53"/>
  <c r="F3" i="53"/>
  <c r="G3" i="53"/>
  <c r="H3" i="53"/>
  <c r="I3" i="53"/>
  <c r="J3" i="53"/>
  <c r="C3" i="53"/>
  <c r="BW37" i="44"/>
  <c r="BS37" i="44"/>
  <c r="BQ37" i="44"/>
  <c r="D15" i="52"/>
  <c r="B15" i="52"/>
  <c r="B23" i="52"/>
  <c r="E40" i="52"/>
  <c r="H40" i="52" s="1"/>
  <c r="B40" i="52"/>
  <c r="B39" i="52"/>
  <c r="BO46" i="24"/>
  <c r="BU47" i="46"/>
  <c r="BQ47" i="46"/>
  <c r="BN47" i="46"/>
  <c r="BU13" i="46"/>
  <c r="BQ13" i="46"/>
  <c r="BN13" i="46"/>
  <c r="BW37" i="47"/>
  <c r="BS37" i="47"/>
  <c r="BP37" i="47"/>
  <c r="BW40" i="47"/>
  <c r="BW41" i="47"/>
  <c r="BW42" i="47"/>
  <c r="BP42" i="47"/>
  <c r="BS40" i="47"/>
  <c r="BS41" i="47"/>
  <c r="BS42" i="47"/>
  <c r="BP40" i="47"/>
  <c r="BP41" i="47"/>
  <c r="BW24" i="47"/>
  <c r="BS24" i="47"/>
  <c r="BP24" i="47"/>
  <c r="BW18" i="47"/>
  <c r="BW19" i="47"/>
  <c r="BW20" i="47"/>
  <c r="BS18" i="47"/>
  <c r="BS19" i="47"/>
  <c r="BS20" i="47"/>
  <c r="BP18" i="47"/>
  <c r="BP19" i="47"/>
  <c r="BP20" i="47"/>
  <c r="F51" i="52"/>
  <c r="G51" i="52"/>
  <c r="BP55" i="46"/>
  <c r="G54" i="52"/>
  <c r="D54" i="52"/>
  <c r="E54" i="52"/>
  <c r="F54" i="52"/>
  <c r="C54" i="52"/>
  <c r="B54" i="52"/>
  <c r="G53" i="52"/>
  <c r="D53" i="52"/>
  <c r="E53" i="52"/>
  <c r="F53" i="52"/>
  <c r="C53" i="52"/>
  <c r="G52" i="52"/>
  <c r="D50" i="52"/>
  <c r="H50" i="52" s="1"/>
  <c r="E49" i="52"/>
  <c r="H49" i="52" s="1"/>
  <c r="E48" i="52"/>
  <c r="H48" i="52" s="1"/>
  <c r="C47" i="52"/>
  <c r="H47" i="52" s="1"/>
  <c r="E46" i="52"/>
  <c r="H46" i="52" s="1"/>
  <c r="E45" i="52"/>
  <c r="H45" i="52" s="1"/>
  <c r="E44" i="52"/>
  <c r="H44" i="52" s="1"/>
  <c r="E43" i="52"/>
  <c r="H43" i="52" s="1"/>
  <c r="E42" i="52"/>
  <c r="H42" i="52" s="1"/>
  <c r="E41" i="52"/>
  <c r="H41" i="52" s="1"/>
  <c r="B50" i="52"/>
  <c r="B48" i="52"/>
  <c r="B49" i="52"/>
  <c r="B47" i="52"/>
  <c r="B46" i="52"/>
  <c r="B45" i="52"/>
  <c r="B44" i="52"/>
  <c r="B43" i="52"/>
  <c r="B42" i="52"/>
  <c r="B41" i="52"/>
  <c r="BP35" i="41"/>
  <c r="BP34" i="41"/>
  <c r="BP19" i="41"/>
  <c r="BP16" i="41"/>
  <c r="BP15" i="41"/>
  <c r="B38" i="52"/>
  <c r="B37" i="52"/>
  <c r="B36" i="52"/>
  <c r="B31" i="52"/>
  <c r="B34" i="52"/>
  <c r="B33" i="52"/>
  <c r="B32" i="52"/>
  <c r="B30" i="52"/>
  <c r="B29" i="52"/>
  <c r="B28" i="52"/>
  <c r="B27" i="52"/>
  <c r="B26" i="52"/>
  <c r="BS27" i="43"/>
  <c r="BW27" i="43" s="1"/>
  <c r="B25" i="52"/>
  <c r="BW19" i="43"/>
  <c r="BS19" i="43"/>
  <c r="B24" i="52"/>
  <c r="K33" i="44"/>
  <c r="L33" i="44"/>
  <c r="N33" i="44"/>
  <c r="O33" i="44"/>
  <c r="P33" i="44"/>
  <c r="R33" i="44"/>
  <c r="AA33" i="44"/>
  <c r="AC33" i="44"/>
  <c r="AE33" i="44"/>
  <c r="AG33" i="44"/>
  <c r="AI33" i="44"/>
  <c r="AK33" i="44"/>
  <c r="AM33" i="44"/>
  <c r="AO33" i="44"/>
  <c r="AQ33" i="44"/>
  <c r="AS33" i="44"/>
  <c r="AU33" i="44"/>
  <c r="AW33" i="44"/>
  <c r="AY33" i="44"/>
  <c r="BA33" i="44"/>
  <c r="BC33" i="44"/>
  <c r="BE33" i="44"/>
  <c r="BG33" i="44"/>
  <c r="BI33" i="44"/>
  <c r="BW87" i="44"/>
  <c r="BT89" i="44"/>
  <c r="BU89" i="44"/>
  <c r="BV89" i="44"/>
  <c r="BP89" i="44"/>
  <c r="D22" i="52" s="1"/>
  <c r="BR89" i="44"/>
  <c r="F22" i="52" s="1"/>
  <c r="BO89" i="44"/>
  <c r="C22" i="52"/>
  <c r="B22" i="52"/>
  <c r="B21" i="52"/>
  <c r="B20" i="52"/>
  <c r="B19" i="52"/>
  <c r="BR33" i="44"/>
  <c r="C18" i="52"/>
  <c r="D18" i="52"/>
  <c r="D17" i="52"/>
  <c r="C17" i="52"/>
  <c r="B18" i="52"/>
  <c r="B17" i="52"/>
  <c r="B16" i="52"/>
  <c r="D14" i="52"/>
  <c r="C14" i="52"/>
  <c r="D13" i="52"/>
  <c r="C13" i="52"/>
  <c r="D12" i="52"/>
  <c r="C12" i="52"/>
  <c r="B14" i="52"/>
  <c r="B13" i="52"/>
  <c r="B12" i="52"/>
  <c r="C11" i="52"/>
  <c r="D11" i="52"/>
  <c r="B11" i="52"/>
  <c r="D10" i="52"/>
  <c r="C10" i="52"/>
  <c r="E9" i="52"/>
  <c r="D9" i="52"/>
  <c r="B10" i="52"/>
  <c r="B9" i="52"/>
  <c r="BQ21" i="45"/>
  <c r="F8" i="52" s="1"/>
  <c r="BT21" i="45"/>
  <c r="C8" i="52"/>
  <c r="B8" i="52"/>
  <c r="B7" i="52"/>
  <c r="G5" i="52"/>
  <c r="E5" i="52"/>
  <c r="C5" i="52"/>
  <c r="G4" i="52"/>
  <c r="F4" i="52"/>
  <c r="E4" i="52"/>
  <c r="C4" i="52"/>
  <c r="F9" i="53" l="1"/>
  <c r="I9" i="53"/>
  <c r="E9" i="53"/>
  <c r="G55" i="52"/>
  <c r="G6" i="52"/>
  <c r="E6" i="52"/>
  <c r="D51" i="52"/>
  <c r="C6" i="52"/>
  <c r="H54" i="52"/>
  <c r="H53" i="52"/>
  <c r="D79" i="51" l="1"/>
  <c r="D80" i="51"/>
  <c r="D81" i="51"/>
  <c r="D82" i="51"/>
  <c r="D83" i="51"/>
  <c r="D84" i="51"/>
  <c r="C84" i="51"/>
  <c r="C83" i="51"/>
  <c r="C82" i="51"/>
  <c r="C81" i="51"/>
  <c r="C80" i="51"/>
  <c r="C79" i="51"/>
  <c r="D75" i="51"/>
  <c r="D76" i="51"/>
  <c r="E76" i="51"/>
  <c r="D77" i="51"/>
  <c r="D78" i="51"/>
  <c r="C78" i="51"/>
  <c r="C76" i="51"/>
  <c r="C77" i="51"/>
  <c r="C75" i="51"/>
  <c r="D67" i="51"/>
  <c r="D68" i="51"/>
  <c r="D69" i="51"/>
  <c r="D70" i="51"/>
  <c r="D71" i="51"/>
  <c r="D72" i="51"/>
  <c r="C72" i="51"/>
  <c r="C70" i="51"/>
  <c r="C71" i="51"/>
  <c r="C69" i="51"/>
  <c r="C68" i="51"/>
  <c r="C67" i="51"/>
  <c r="D59" i="51"/>
  <c r="D60" i="51"/>
  <c r="D61" i="51"/>
  <c r="D62" i="51"/>
  <c r="D63" i="51"/>
  <c r="D64" i="51"/>
  <c r="C64" i="51"/>
  <c r="C63" i="51"/>
  <c r="C62" i="51"/>
  <c r="C61" i="51"/>
  <c r="C60" i="51"/>
  <c r="C59" i="51"/>
  <c r="D58" i="51"/>
  <c r="C58" i="51"/>
  <c r="D57" i="51"/>
  <c r="C57" i="51"/>
  <c r="D56" i="51"/>
  <c r="C56" i="51"/>
  <c r="D55" i="51"/>
  <c r="C55" i="51"/>
  <c r="D52" i="51"/>
  <c r="C52" i="51"/>
  <c r="C51" i="51"/>
  <c r="C50" i="51"/>
  <c r="C49" i="51"/>
  <c r="D44" i="51"/>
  <c r="D45" i="51"/>
  <c r="D46" i="51"/>
  <c r="D47" i="51"/>
  <c r="C48" i="51"/>
  <c r="C47" i="51"/>
  <c r="C46" i="51"/>
  <c r="C45" i="51"/>
  <c r="C44" i="51"/>
  <c r="D40" i="51"/>
  <c r="C40" i="51"/>
  <c r="D39" i="51"/>
  <c r="D41" i="51"/>
  <c r="C41" i="51"/>
  <c r="C39" i="51"/>
  <c r="C38" i="51"/>
  <c r="D38" i="51"/>
  <c r="D37" i="51"/>
  <c r="C37" i="51"/>
  <c r="D36" i="51"/>
  <c r="C36" i="51"/>
  <c r="C35" i="51"/>
  <c r="D34" i="51"/>
  <c r="C34" i="51"/>
  <c r="D31" i="51"/>
  <c r="C31" i="51"/>
  <c r="D30" i="51"/>
  <c r="C30" i="51"/>
  <c r="D29" i="51"/>
  <c r="C29" i="51"/>
  <c r="D28" i="51"/>
  <c r="C28" i="51"/>
  <c r="D27" i="51"/>
  <c r="C27" i="51"/>
  <c r="D26" i="51"/>
  <c r="C26" i="51"/>
  <c r="C24" i="51"/>
  <c r="D24" i="51"/>
  <c r="C25" i="51"/>
  <c r="D25" i="51"/>
  <c r="D23" i="51"/>
  <c r="C23" i="51"/>
  <c r="C21" i="51"/>
  <c r="D21" i="51"/>
  <c r="D18" i="51"/>
  <c r="C19" i="51"/>
  <c r="D19" i="51"/>
  <c r="C20" i="51"/>
  <c r="D20" i="51"/>
  <c r="D5" i="51"/>
  <c r="D6" i="51"/>
  <c r="D7" i="51"/>
  <c r="D8" i="51"/>
  <c r="D9" i="51"/>
  <c r="D10" i="51"/>
  <c r="D11" i="51"/>
  <c r="D12" i="51"/>
  <c r="D13" i="51"/>
  <c r="D14" i="51"/>
  <c r="D15" i="51"/>
  <c r="D16" i="51"/>
  <c r="D17" i="51"/>
  <c r="D4" i="51"/>
  <c r="C9" i="51"/>
  <c r="C10" i="51"/>
  <c r="C11" i="51"/>
  <c r="C12" i="51"/>
  <c r="C13" i="51"/>
  <c r="C14" i="51"/>
  <c r="C15" i="51"/>
  <c r="C16" i="51"/>
  <c r="C17" i="51"/>
  <c r="C5" i="51"/>
  <c r="C6" i="51"/>
  <c r="C7" i="51"/>
  <c r="C8" i="51"/>
  <c r="C4" i="51"/>
  <c r="E84" i="24"/>
  <c r="BD46" i="43"/>
  <c r="AB100" i="45"/>
  <c r="AD100" i="45"/>
  <c r="AF100" i="45"/>
  <c r="AH100" i="45"/>
  <c r="AJ100" i="45"/>
  <c r="AL100" i="45"/>
  <c r="AN100" i="45"/>
  <c r="AP100" i="45"/>
  <c r="AR100" i="45"/>
  <c r="AT100" i="45"/>
  <c r="AV100" i="45"/>
  <c r="AX100" i="45"/>
  <c r="AZ100" i="45"/>
  <c r="BB100" i="45"/>
  <c r="BD100" i="45"/>
  <c r="BF100" i="45"/>
  <c r="BH100" i="45"/>
  <c r="AB76" i="45"/>
  <c r="AD76" i="45"/>
  <c r="AF76" i="45"/>
  <c r="AH76" i="45"/>
  <c r="AJ76" i="45"/>
  <c r="AL76" i="45"/>
  <c r="AN76" i="45"/>
  <c r="AP76" i="45"/>
  <c r="AR76" i="45"/>
  <c r="AT76" i="45"/>
  <c r="AV76" i="45"/>
  <c r="AX76" i="45"/>
  <c r="AZ76" i="45"/>
  <c r="BB76" i="45"/>
  <c r="BD76" i="45"/>
  <c r="BF76" i="45"/>
  <c r="BH76" i="45"/>
  <c r="AB52" i="45"/>
  <c r="AD52" i="45"/>
  <c r="AF52" i="45"/>
  <c r="AH52" i="45"/>
  <c r="AJ52" i="45"/>
  <c r="AL52" i="45"/>
  <c r="AN52" i="45"/>
  <c r="AP52" i="45"/>
  <c r="AR52" i="45"/>
  <c r="AT52" i="45"/>
  <c r="AV52" i="45"/>
  <c r="AX52" i="45"/>
  <c r="AZ52" i="45"/>
  <c r="BB52" i="45"/>
  <c r="BD52" i="45"/>
  <c r="BF52" i="45"/>
  <c r="BH52" i="45"/>
  <c r="AB39" i="45"/>
  <c r="AD39" i="45"/>
  <c r="AF39" i="45"/>
  <c r="AH39" i="45"/>
  <c r="AJ39" i="45"/>
  <c r="AL39" i="45"/>
  <c r="AN39" i="45"/>
  <c r="AP39" i="45"/>
  <c r="AR39" i="45"/>
  <c r="AT39" i="45"/>
  <c r="AV39" i="45"/>
  <c r="AX39" i="45"/>
  <c r="AZ39" i="45"/>
  <c r="BB39" i="45"/>
  <c r="BD39" i="45"/>
  <c r="BF39" i="45"/>
  <c r="BH39" i="45"/>
  <c r="Z39" i="45"/>
  <c r="AB34" i="45"/>
  <c r="AD34" i="45"/>
  <c r="AF34" i="45"/>
  <c r="AH34" i="45"/>
  <c r="AJ34" i="45"/>
  <c r="AL34" i="45"/>
  <c r="AN34" i="45"/>
  <c r="AP34" i="45"/>
  <c r="AR34" i="45"/>
  <c r="AT34" i="45"/>
  <c r="AV34" i="45"/>
  <c r="AX34" i="45"/>
  <c r="AZ34" i="45"/>
  <c r="BB34" i="45"/>
  <c r="BD34" i="45"/>
  <c r="BF34" i="45"/>
  <c r="BH34" i="45"/>
  <c r="AB21" i="45"/>
  <c r="AD21" i="45"/>
  <c r="AF21" i="45"/>
  <c r="AH21" i="45"/>
  <c r="AJ21" i="45"/>
  <c r="AL21" i="45"/>
  <c r="AN21" i="45"/>
  <c r="AP21" i="45"/>
  <c r="AR21" i="45"/>
  <c r="AT21" i="45"/>
  <c r="AV21" i="45"/>
  <c r="AX21" i="45"/>
  <c r="AZ21" i="45"/>
  <c r="BB21" i="45"/>
  <c r="BD21" i="45"/>
  <c r="BF21" i="45"/>
  <c r="BH21" i="45"/>
  <c r="AB16" i="45"/>
  <c r="AD16" i="45"/>
  <c r="AF16" i="45"/>
  <c r="AH16" i="45"/>
  <c r="AJ16" i="45"/>
  <c r="AL16" i="45"/>
  <c r="AN16" i="45"/>
  <c r="AP16" i="45"/>
  <c r="AR16" i="45"/>
  <c r="AT16" i="45"/>
  <c r="AV16" i="45"/>
  <c r="AX16" i="45"/>
  <c r="AZ16" i="45"/>
  <c r="BB16" i="45"/>
  <c r="BD16" i="45"/>
  <c r="BF16" i="45"/>
  <c r="BH16" i="45"/>
  <c r="BJ38" i="45"/>
  <c r="F38" i="45" s="1"/>
  <c r="AA37" i="45"/>
  <c r="AC37" i="45"/>
  <c r="AE37" i="45"/>
  <c r="AG37" i="45"/>
  <c r="AI37" i="45"/>
  <c r="AK37" i="45"/>
  <c r="AO37" i="45"/>
  <c r="AQ37" i="45"/>
  <c r="AS37" i="45"/>
  <c r="AS39" i="45" s="1"/>
  <c r="AU37" i="45"/>
  <c r="AU39" i="45" s="1"/>
  <c r="AW37" i="45"/>
  <c r="AY37" i="45"/>
  <c r="BA37" i="45"/>
  <c r="BC37" i="45"/>
  <c r="BE37" i="45"/>
  <c r="BK38" i="45"/>
  <c r="G38" i="45" s="1"/>
  <c r="BK62" i="43"/>
  <c r="G62" i="43" s="1"/>
  <c r="E64" i="51" s="1"/>
  <c r="BJ62" i="43"/>
  <c r="BH62" i="43"/>
  <c r="BF62" i="43"/>
  <c r="BD62" i="43"/>
  <c r="BB62" i="43"/>
  <c r="AZ62" i="43"/>
  <c r="AX62" i="43"/>
  <c r="AV62" i="43"/>
  <c r="AT62" i="43"/>
  <c r="AR62" i="43"/>
  <c r="AP62" i="43"/>
  <c r="AN62" i="43"/>
  <c r="AL62" i="43"/>
  <c r="AJ62" i="43"/>
  <c r="AH62" i="43"/>
  <c r="AF62" i="43"/>
  <c r="AD62" i="43"/>
  <c r="AB62" i="43"/>
  <c r="BE12" i="46"/>
  <c r="BC12" i="46"/>
  <c r="BA12" i="46"/>
  <c r="AY12" i="46"/>
  <c r="AW12" i="46"/>
  <c r="AU12" i="46"/>
  <c r="AS12" i="46"/>
  <c r="AQ12" i="46"/>
  <c r="AO12" i="46"/>
  <c r="AM12" i="46"/>
  <c r="AK12" i="46"/>
  <c r="AI12" i="46"/>
  <c r="AG12" i="46"/>
  <c r="AE12" i="46"/>
  <c r="AC12" i="46"/>
  <c r="AA12" i="46"/>
  <c r="Y12" i="46"/>
  <c r="BL62" i="43" l="1"/>
  <c r="H62" i="43" s="1"/>
  <c r="BK14" i="42"/>
  <c r="BK24" i="47"/>
  <c r="G24" i="47" s="1"/>
  <c r="BJ24" i="47"/>
  <c r="BL24" i="47" s="1"/>
  <c r="F64" i="51" l="1"/>
  <c r="BQ62" i="43"/>
  <c r="H24" i="47"/>
  <c r="F13" i="51" s="1"/>
  <c r="E13" i="51"/>
  <c r="I24" i="47"/>
  <c r="J24" i="47"/>
  <c r="J62" i="43"/>
  <c r="I62" i="43"/>
  <c r="AE49" i="42"/>
  <c r="BS62" i="43" l="1"/>
  <c r="BW62" i="43" s="1"/>
  <c r="E33" i="52"/>
  <c r="H33" i="52" s="1"/>
  <c r="AD81" i="44"/>
  <c r="BF63" i="44"/>
  <c r="AT81" i="44"/>
  <c r="AG78" i="45" l="1"/>
  <c r="AG81" i="45"/>
  <c r="AS81" i="45"/>
  <c r="BC78" i="45"/>
  <c r="AS78" i="45"/>
  <c r="AQ81" i="45"/>
  <c r="BG80" i="45"/>
  <c r="BG78" i="45"/>
  <c r="BC88" i="45"/>
  <c r="BC81" i="45"/>
  <c r="BA84" i="45"/>
  <c r="BA81" i="45"/>
  <c r="AY81" i="45"/>
  <c r="AW81" i="45"/>
  <c r="AW79" i="45"/>
  <c r="AW78" i="45"/>
  <c r="AU81" i="45"/>
  <c r="AU78" i="45"/>
  <c r="AS89" i="45"/>
  <c r="AS86" i="45"/>
  <c r="AS80" i="45"/>
  <c r="AS79" i="45"/>
  <c r="AQ88" i="45"/>
  <c r="AO82" i="45"/>
  <c r="AO78" i="45"/>
  <c r="AO81" i="45"/>
  <c r="AM79" i="45"/>
  <c r="AM82" i="45"/>
  <c r="AK84" i="45"/>
  <c r="AK78" i="45"/>
  <c r="AI78" i="45"/>
  <c r="AG83" i="45"/>
  <c r="AE81" i="45"/>
  <c r="AC88" i="45"/>
  <c r="AC81" i="45"/>
  <c r="AC79" i="45"/>
  <c r="AC78" i="45"/>
  <c r="AA85" i="45"/>
  <c r="AA82" i="45"/>
  <c r="AA79" i="45"/>
  <c r="AA81" i="45"/>
  <c r="BA82" i="45"/>
  <c r="AE78" i="45"/>
  <c r="AE79" i="45"/>
  <c r="BG81" i="45"/>
  <c r="AM85" i="45"/>
  <c r="AM84" i="45"/>
  <c r="AK79" i="45"/>
  <c r="AK81" i="45"/>
  <c r="AE82" i="45"/>
  <c r="AA78" i="45"/>
  <c r="AI58" i="45"/>
  <c r="AC58" i="45"/>
  <c r="AE58" i="45"/>
  <c r="AO55" i="45"/>
  <c r="AQ55" i="45"/>
  <c r="AI41" i="45"/>
  <c r="AA41" i="45"/>
  <c r="BE32" i="45"/>
  <c r="AG31" i="45"/>
  <c r="AN32" i="44"/>
  <c r="BH32" i="44"/>
  <c r="BK32" i="44"/>
  <c r="G32" i="44" s="1"/>
  <c r="E47" i="51" s="1"/>
  <c r="BF32" i="44"/>
  <c r="BD32" i="44"/>
  <c r="BB32" i="44"/>
  <c r="AZ32" i="44"/>
  <c r="AX32" i="44"/>
  <c r="AV32" i="44"/>
  <c r="AT32" i="44"/>
  <c r="AR32" i="44"/>
  <c r="AP32" i="44"/>
  <c r="AL32" i="44"/>
  <c r="AJ32" i="44"/>
  <c r="AH32" i="44"/>
  <c r="AF32" i="44"/>
  <c r="AD32" i="44"/>
  <c r="AB32" i="44"/>
  <c r="BJ32" i="44"/>
  <c r="BG34" i="41"/>
  <c r="BE34" i="41"/>
  <c r="BC34" i="41"/>
  <c r="BA34" i="41"/>
  <c r="AY34" i="41"/>
  <c r="AU34" i="41"/>
  <c r="AO34" i="41"/>
  <c r="AK34" i="41"/>
  <c r="AI34" i="41"/>
  <c r="AC34" i="41"/>
  <c r="AC50" i="42"/>
  <c r="AN35" i="43"/>
  <c r="AP35" i="43"/>
  <c r="AR35" i="43"/>
  <c r="AT35" i="43"/>
  <c r="AT36" i="43"/>
  <c r="AT32" i="43"/>
  <c r="BK12" i="43"/>
  <c r="G12" i="43" s="1"/>
  <c r="BH12" i="43"/>
  <c r="BF12" i="43"/>
  <c r="BD12" i="43"/>
  <c r="BB12" i="43"/>
  <c r="AZ12" i="43"/>
  <c r="AX12" i="43"/>
  <c r="AV12" i="43"/>
  <c r="AT12" i="43"/>
  <c r="AR12" i="43"/>
  <c r="AP12" i="43"/>
  <c r="AN12" i="43"/>
  <c r="AL12" i="43"/>
  <c r="AJ12" i="43"/>
  <c r="AH12" i="43"/>
  <c r="AF12" i="43"/>
  <c r="AD12" i="43"/>
  <c r="AB12" i="43"/>
  <c r="AC38" i="47"/>
  <c r="AA38" i="47"/>
  <c r="AE34" i="41"/>
  <c r="AW30" i="41"/>
  <c r="G16" i="41"/>
  <c r="F76" i="51" s="1"/>
  <c r="I51" i="42"/>
  <c r="AE50" i="42"/>
  <c r="BF57" i="43"/>
  <c r="BD57" i="43"/>
  <c r="BB57" i="43"/>
  <c r="AZ57" i="43"/>
  <c r="AV57" i="43"/>
  <c r="AT57" i="43"/>
  <c r="AR57" i="43"/>
  <c r="AP57" i="43"/>
  <c r="AH57" i="43"/>
  <c r="AF57" i="43"/>
  <c r="AB57" i="43"/>
  <c r="AD56" i="43"/>
  <c r="BH53" i="43"/>
  <c r="BD53" i="43"/>
  <c r="BB53" i="43"/>
  <c r="AZ53" i="43"/>
  <c r="AX53" i="43"/>
  <c r="AV53" i="43"/>
  <c r="AT53" i="43"/>
  <c r="AP53" i="43"/>
  <c r="AN53" i="43"/>
  <c r="AL53" i="43"/>
  <c r="AJ53" i="43"/>
  <c r="AB53" i="43"/>
  <c r="AX47" i="43"/>
  <c r="AD46" i="43"/>
  <c r="BG38" i="47"/>
  <c r="BE38" i="47"/>
  <c r="BC38" i="47"/>
  <c r="BA38" i="47"/>
  <c r="AY38" i="47"/>
  <c r="AW38" i="47"/>
  <c r="AU38" i="47"/>
  <c r="AS38" i="47"/>
  <c r="AO38" i="47"/>
  <c r="AM38" i="47"/>
  <c r="AE38" i="47"/>
  <c r="AG38" i="47"/>
  <c r="AI38" i="47"/>
  <c r="AK38" i="47"/>
  <c r="AQ38" i="47"/>
  <c r="BL12" i="43" l="1"/>
  <c r="H12" i="43" s="1"/>
  <c r="I12" i="43" s="1"/>
  <c r="BL32" i="44"/>
  <c r="AU33" i="42"/>
  <c r="H21" i="48"/>
  <c r="I19" i="48" s="1"/>
  <c r="AV21" i="43"/>
  <c r="AT21" i="43"/>
  <c r="AN21" i="43"/>
  <c r="AW37" i="42"/>
  <c r="AU37" i="42"/>
  <c r="AS37" i="42"/>
  <c r="AQ37" i="42"/>
  <c r="AA62" i="45"/>
  <c r="AW51" i="42"/>
  <c r="AP30" i="43"/>
  <c r="AV27" i="43"/>
  <c r="AT27" i="43"/>
  <c r="AV58" i="43"/>
  <c r="AP56" i="43"/>
  <c r="AM46" i="25"/>
  <c r="AQ23" i="41"/>
  <c r="AS13" i="41"/>
  <c r="BC13" i="41"/>
  <c r="AC25" i="41"/>
  <c r="AY40" i="41"/>
  <c r="AE13" i="42"/>
  <c r="AO13" i="42"/>
  <c r="AU13" i="42"/>
  <c r="AQ17" i="42"/>
  <c r="AU26" i="42"/>
  <c r="BL26" i="42"/>
  <c r="AQ44" i="42"/>
  <c r="AS44" i="42"/>
  <c r="BH37" i="44"/>
  <c r="AP58" i="44"/>
  <c r="AR58" i="44"/>
  <c r="AT58" i="44"/>
  <c r="AP44" i="44"/>
  <c r="BF44" i="44"/>
  <c r="BH66" i="44"/>
  <c r="BH67" i="44"/>
  <c r="BH68" i="44"/>
  <c r="BH69" i="44"/>
  <c r="BH70" i="44"/>
  <c r="BF66" i="44"/>
  <c r="BF67" i="44"/>
  <c r="BF68" i="44"/>
  <c r="BF69" i="44"/>
  <c r="BF70" i="44"/>
  <c r="BD66" i="44"/>
  <c r="BD67" i="44"/>
  <c r="BD68" i="44"/>
  <c r="BD69" i="44"/>
  <c r="BD70" i="44"/>
  <c r="BB66" i="44"/>
  <c r="BB67" i="44"/>
  <c r="BB68" i="44"/>
  <c r="BB69" i="44"/>
  <c r="BB70" i="44"/>
  <c r="AZ66" i="44"/>
  <c r="AZ67" i="44"/>
  <c r="AZ68" i="44"/>
  <c r="AZ69" i="44"/>
  <c r="AZ70" i="44"/>
  <c r="AX66" i="44"/>
  <c r="AX67" i="44"/>
  <c r="AX68" i="44"/>
  <c r="AX69" i="44"/>
  <c r="AX70" i="44"/>
  <c r="AV66" i="44"/>
  <c r="AV67" i="44"/>
  <c r="AV68" i="44"/>
  <c r="AV69" i="44"/>
  <c r="AV70" i="44"/>
  <c r="AT66" i="44"/>
  <c r="AT67" i="44"/>
  <c r="AT68" i="44"/>
  <c r="AT69" i="44"/>
  <c r="AT70" i="44"/>
  <c r="AR66" i="44"/>
  <c r="AR67" i="44"/>
  <c r="AR68" i="44"/>
  <c r="AR69" i="44"/>
  <c r="AR70" i="44"/>
  <c r="AP66" i="44"/>
  <c r="AP67" i="44"/>
  <c r="AP68" i="44"/>
  <c r="AP69" i="44"/>
  <c r="AP70" i="44"/>
  <c r="AN66" i="44"/>
  <c r="AN67" i="44"/>
  <c r="AN68" i="44"/>
  <c r="AN69" i="44"/>
  <c r="AN70" i="44"/>
  <c r="AL66" i="44"/>
  <c r="AL67" i="44"/>
  <c r="AL68" i="44"/>
  <c r="AL69" i="44"/>
  <c r="AL70" i="44"/>
  <c r="AJ66" i="44"/>
  <c r="AJ67" i="44"/>
  <c r="AJ68" i="44"/>
  <c r="AJ69" i="44"/>
  <c r="AJ70" i="44"/>
  <c r="AH66" i="44"/>
  <c r="AH67" i="44"/>
  <c r="AH68" i="44"/>
  <c r="AH69" i="44"/>
  <c r="AH70" i="44"/>
  <c r="AF66" i="44"/>
  <c r="AF67" i="44"/>
  <c r="AF68" i="44"/>
  <c r="AF69" i="44"/>
  <c r="AF70" i="44"/>
  <c r="AD66" i="44"/>
  <c r="AD67" i="44"/>
  <c r="AD68" i="44"/>
  <c r="AD69" i="44"/>
  <c r="AD70" i="44"/>
  <c r="AB66" i="44"/>
  <c r="AB67" i="44"/>
  <c r="AB68" i="44"/>
  <c r="AB69" i="44"/>
  <c r="AB70" i="44"/>
  <c r="BH74" i="44"/>
  <c r="BH75" i="44"/>
  <c r="BH76" i="44"/>
  <c r="BH77" i="44"/>
  <c r="BH78" i="44"/>
  <c r="BF74" i="44"/>
  <c r="BF75" i="44"/>
  <c r="BF76" i="44"/>
  <c r="BF77" i="44"/>
  <c r="BF78" i="44"/>
  <c r="BD74" i="44"/>
  <c r="BD75" i="44"/>
  <c r="BD76" i="44"/>
  <c r="BD77" i="44"/>
  <c r="BD78" i="44"/>
  <c r="BB74" i="44"/>
  <c r="BB75" i="44"/>
  <c r="BB76" i="44"/>
  <c r="BB77" i="44"/>
  <c r="BB78" i="44"/>
  <c r="AX74" i="44"/>
  <c r="AX75" i="44"/>
  <c r="AX76" i="44"/>
  <c r="AX77" i="44"/>
  <c r="AX78" i="44"/>
  <c r="AV74" i="44"/>
  <c r="AV75" i="44"/>
  <c r="AV76" i="44"/>
  <c r="AV77" i="44"/>
  <c r="AV78" i="44"/>
  <c r="AT74" i="44"/>
  <c r="AT75" i="44"/>
  <c r="AT76" i="44"/>
  <c r="AT77" i="44"/>
  <c r="AT78" i="44"/>
  <c r="AR74" i="44"/>
  <c r="AR75" i="44"/>
  <c r="AR76" i="44"/>
  <c r="AR77" i="44"/>
  <c r="AR78" i="44"/>
  <c r="AP74" i="44"/>
  <c r="AP75" i="44"/>
  <c r="AP76" i="44"/>
  <c r="AP77" i="44"/>
  <c r="AP78" i="44"/>
  <c r="AN74" i="44"/>
  <c r="AN75" i="44"/>
  <c r="AN76" i="44"/>
  <c r="AN77" i="44"/>
  <c r="AN78" i="44"/>
  <c r="AL74" i="44"/>
  <c r="AL75" i="44"/>
  <c r="AL76" i="44"/>
  <c r="AL77" i="44"/>
  <c r="AL78" i="44"/>
  <c r="AJ74" i="44"/>
  <c r="AJ75" i="44"/>
  <c r="AJ76" i="44"/>
  <c r="AJ77" i="44"/>
  <c r="AJ78" i="44"/>
  <c r="AH74" i="44"/>
  <c r="AH75" i="44"/>
  <c r="AH76" i="44"/>
  <c r="AH77" i="44"/>
  <c r="AH78" i="44"/>
  <c r="AF74" i="44"/>
  <c r="AF75" i="44"/>
  <c r="AF76" i="44"/>
  <c r="AF77" i="44"/>
  <c r="AF78" i="44"/>
  <c r="AB74" i="44"/>
  <c r="AB75" i="44"/>
  <c r="AB76" i="44"/>
  <c r="AB77" i="44"/>
  <c r="AB78" i="44"/>
  <c r="AD74" i="44"/>
  <c r="AD75" i="44"/>
  <c r="AD76" i="44"/>
  <c r="AD77" i="44"/>
  <c r="AD78" i="44"/>
  <c r="AP79" i="44"/>
  <c r="AR79" i="44"/>
  <c r="AT79" i="44"/>
  <c r="AQ98" i="45"/>
  <c r="AD53" i="43"/>
  <c r="AF53" i="43"/>
  <c r="BF53" i="43"/>
  <c r="Q25" i="20"/>
  <c r="Q24" i="20"/>
  <c r="Q20" i="20"/>
  <c r="Q19" i="20"/>
  <c r="P7" i="20"/>
  <c r="BF44" i="47"/>
  <c r="AX47" i="47"/>
  <c r="BP12" i="43" l="1"/>
  <c r="BS12" i="43" s="1"/>
  <c r="BW12" i="43" s="1"/>
  <c r="H32" i="44"/>
  <c r="Q32" i="44" s="1"/>
  <c r="BQ32" i="44"/>
  <c r="J12" i="43"/>
  <c r="J32" i="44"/>
  <c r="I8" i="48"/>
  <c r="I14" i="48"/>
  <c r="I3" i="48"/>
  <c r="I9" i="48"/>
  <c r="I4" i="48"/>
  <c r="I10" i="48"/>
  <c r="I16" i="48"/>
  <c r="I5" i="48"/>
  <c r="I11" i="48"/>
  <c r="I17" i="48"/>
  <c r="I15" i="48"/>
  <c r="I6" i="48"/>
  <c r="I12" i="48"/>
  <c r="I18" i="48"/>
  <c r="I7" i="48"/>
  <c r="I13" i="48"/>
  <c r="F47" i="51" l="1"/>
  <c r="I32" i="44"/>
  <c r="BS32" i="44"/>
  <c r="E18" i="52"/>
  <c r="H18" i="52" s="1"/>
  <c r="I21" i="48"/>
  <c r="BW32" i="44" l="1"/>
  <c r="AT31" i="44"/>
  <c r="BE50" i="46" l="1"/>
  <c r="BC50" i="46"/>
  <c r="BA50" i="46"/>
  <c r="AY50" i="46"/>
  <c r="AW50" i="46"/>
  <c r="AU50" i="46"/>
  <c r="AS50" i="46"/>
  <c r="AQ50" i="46"/>
  <c r="AO50" i="46"/>
  <c r="AM50" i="46"/>
  <c r="AK50" i="46"/>
  <c r="AI50" i="46"/>
  <c r="AG50" i="46"/>
  <c r="AE50" i="46"/>
  <c r="AC50" i="46"/>
  <c r="AA50" i="46"/>
  <c r="Y50" i="46"/>
  <c r="AR47" i="46"/>
  <c r="BG38" i="46"/>
  <c r="BG27" i="46"/>
  <c r="BE23" i="46" l="1"/>
  <c r="BA23" i="46"/>
  <c r="AY23" i="46"/>
  <c r="AW23" i="46"/>
  <c r="AU23" i="46"/>
  <c r="AS23" i="46"/>
  <c r="AK23" i="46"/>
  <c r="AI23" i="46"/>
  <c r="AG23" i="46"/>
  <c r="AE23" i="46"/>
  <c r="AC23" i="46"/>
  <c r="AA23" i="46"/>
  <c r="BE21" i="46" l="1"/>
  <c r="BC21" i="46"/>
  <c r="BA21" i="46"/>
  <c r="AY21" i="46"/>
  <c r="AW21" i="46"/>
  <c r="AU21" i="46"/>
  <c r="AS21" i="46"/>
  <c r="AQ21" i="46"/>
  <c r="AM21" i="46"/>
  <c r="AK21" i="46"/>
  <c r="AI21" i="46"/>
  <c r="AG21" i="46"/>
  <c r="AE21" i="46"/>
  <c r="AC21" i="46"/>
  <c r="AA21" i="46"/>
  <c r="Y21" i="46"/>
  <c r="AU33" i="41"/>
  <c r="AM18" i="41"/>
  <c r="BH24" i="44"/>
  <c r="BF24" i="44"/>
  <c r="BD24" i="44"/>
  <c r="BB24" i="44"/>
  <c r="AZ24" i="44"/>
  <c r="AX24" i="44"/>
  <c r="AV24" i="44"/>
  <c r="AT24" i="44"/>
  <c r="AR24" i="44"/>
  <c r="AP24" i="44"/>
  <c r="AN24" i="44"/>
  <c r="AL24" i="44"/>
  <c r="AJ24" i="44"/>
  <c r="AH24" i="44"/>
  <c r="AF24" i="44"/>
  <c r="AD24" i="44"/>
  <c r="AB24" i="44"/>
  <c r="BH23" i="44"/>
  <c r="BF23" i="44"/>
  <c r="BD23" i="44"/>
  <c r="BB23" i="44"/>
  <c r="AZ23" i="44"/>
  <c r="AX23" i="44"/>
  <c r="AV23" i="44"/>
  <c r="AT23" i="44"/>
  <c r="AR23" i="44"/>
  <c r="AP23" i="44"/>
  <c r="AN23" i="44"/>
  <c r="AL23" i="44"/>
  <c r="AJ23" i="44"/>
  <c r="AH23" i="44"/>
  <c r="AF23" i="44"/>
  <c r="AD23" i="44"/>
  <c r="AB23" i="44"/>
  <c r="F22" i="44"/>
  <c r="AH22" i="44" s="1"/>
  <c r="BG20" i="47"/>
  <c r="BH20" i="47" s="1"/>
  <c r="BD20" i="47"/>
  <c r="BA20" i="47"/>
  <c r="BB20" i="47" s="1"/>
  <c r="AW20" i="47"/>
  <c r="AX20" i="47" s="1"/>
  <c r="AM20" i="47"/>
  <c r="AN20" i="47" s="1"/>
  <c r="AG20" i="47"/>
  <c r="AH20" i="47" s="1"/>
  <c r="AA20" i="47"/>
  <c r="AB20" i="47" s="1"/>
  <c r="BG21" i="47"/>
  <c r="BE21" i="47"/>
  <c r="BC21" i="47"/>
  <c r="BA21" i="47"/>
  <c r="AY21" i="47"/>
  <c r="AW21" i="47"/>
  <c r="AU21" i="47"/>
  <c r="AS21" i="47"/>
  <c r="AQ21" i="47"/>
  <c r="AO21" i="47"/>
  <c r="AM21" i="47"/>
  <c r="AK21" i="47"/>
  <c r="AI21" i="47"/>
  <c r="AG21" i="47"/>
  <c r="AE21" i="47"/>
  <c r="AC21" i="47"/>
  <c r="AA21" i="47"/>
  <c r="BG19" i="47"/>
  <c r="BE19" i="47"/>
  <c r="BC19" i="47"/>
  <c r="BA19" i="47"/>
  <c r="AY19" i="47"/>
  <c r="AW19" i="47"/>
  <c r="AU19" i="47"/>
  <c r="AS19" i="47"/>
  <c r="AQ19" i="47"/>
  <c r="AO19" i="47"/>
  <c r="AM19" i="47"/>
  <c r="AK19" i="47"/>
  <c r="AI19" i="47"/>
  <c r="AG19" i="47"/>
  <c r="AE19" i="47"/>
  <c r="AC19" i="47"/>
  <c r="AA19" i="47"/>
  <c r="BF20" i="44"/>
  <c r="BD20" i="44"/>
  <c r="BB20" i="44"/>
  <c r="AZ20" i="44"/>
  <c r="AX20" i="44"/>
  <c r="AV20" i="44"/>
  <c r="AT20" i="44"/>
  <c r="AR20" i="44"/>
  <c r="AP20" i="44"/>
  <c r="AN20" i="44"/>
  <c r="AL20" i="44"/>
  <c r="AF20" i="44"/>
  <c r="AD20" i="44"/>
  <c r="AB20" i="44"/>
  <c r="BH28" i="44"/>
  <c r="BF28" i="44"/>
  <c r="BD28" i="44"/>
  <c r="BB28" i="44"/>
  <c r="AZ28" i="44"/>
  <c r="AX28" i="44"/>
  <c r="AV28" i="44"/>
  <c r="AT28" i="44"/>
  <c r="AR28" i="44"/>
  <c r="AP28" i="44"/>
  <c r="AN28" i="44"/>
  <c r="AL28" i="44"/>
  <c r="AJ28" i="44"/>
  <c r="AH28" i="44"/>
  <c r="AF28" i="44"/>
  <c r="AD28" i="44"/>
  <c r="AB28" i="44"/>
  <c r="AN22" i="44" l="1"/>
  <c r="AZ22" i="44"/>
  <c r="AB22" i="44"/>
  <c r="AP22" i="44"/>
  <c r="BB22" i="44"/>
  <c r="AD22" i="44"/>
  <c r="AR22" i="44"/>
  <c r="BD22" i="44"/>
  <c r="AF22" i="44"/>
  <c r="AT22" i="44"/>
  <c r="BF22" i="44"/>
  <c r="AJ22" i="44"/>
  <c r="AV22" i="44"/>
  <c r="BH22" i="44"/>
  <c r="AL22" i="44"/>
  <c r="AX22" i="44"/>
  <c r="AU13" i="25"/>
  <c r="AA12" i="25"/>
  <c r="BI19" i="45"/>
  <c r="AR61" i="46"/>
  <c r="AR60" i="46"/>
  <c r="AR59" i="46"/>
  <c r="BF55" i="46"/>
  <c r="BB55" i="46"/>
  <c r="AZ55" i="46"/>
  <c r="AX55" i="46"/>
  <c r="AV55" i="46"/>
  <c r="AT55" i="46"/>
  <c r="AR55" i="46"/>
  <c r="AP55" i="46"/>
  <c r="AN55" i="46"/>
  <c r="AL55" i="46"/>
  <c r="AJ55" i="46"/>
  <c r="AH55" i="46"/>
  <c r="AF55" i="46"/>
  <c r="AD55" i="46"/>
  <c r="AB55" i="46"/>
  <c r="Z55" i="46"/>
  <c r="BH20" i="43"/>
  <c r="BK20" i="43"/>
  <c r="G20" i="43" s="1"/>
  <c r="BF20" i="43"/>
  <c r="BD20" i="43"/>
  <c r="BB20" i="43"/>
  <c r="AZ20" i="43"/>
  <c r="AX20" i="43"/>
  <c r="AV20" i="43"/>
  <c r="AT20" i="43"/>
  <c r="AR20" i="43"/>
  <c r="AP20" i="43"/>
  <c r="AN20" i="43"/>
  <c r="AL20" i="43"/>
  <c r="AJ20" i="43"/>
  <c r="AH20" i="43"/>
  <c r="AF20" i="43"/>
  <c r="AD20" i="43"/>
  <c r="AB20" i="43"/>
  <c r="AY36" i="47"/>
  <c r="BE35" i="47"/>
  <c r="AA17" i="47"/>
  <c r="AC17" i="47"/>
  <c r="F30" i="47"/>
  <c r="H20" i="43" l="1"/>
  <c r="E56" i="51"/>
  <c r="Q20" i="43"/>
  <c r="J20" i="43"/>
  <c r="BL20" i="43"/>
  <c r="AX34" i="26"/>
  <c r="AW34" i="26"/>
  <c r="AX27" i="26"/>
  <c r="AW27" i="26"/>
  <c r="AX22" i="26"/>
  <c r="AW22" i="26"/>
  <c r="AW18" i="26"/>
  <c r="AX16" i="26"/>
  <c r="AX18" i="26" s="1"/>
  <c r="AW14" i="26"/>
  <c r="AX13" i="26"/>
  <c r="AX14" i="26" s="1"/>
  <c r="AV55" i="25"/>
  <c r="AW54" i="25"/>
  <c r="AW53" i="25"/>
  <c r="AW52" i="25"/>
  <c r="AW51" i="25"/>
  <c r="AW50" i="25"/>
  <c r="AV48" i="25"/>
  <c r="AW47" i="25"/>
  <c r="AW46" i="25"/>
  <c r="AW45" i="25"/>
  <c r="AW43" i="25"/>
  <c r="AW42" i="25"/>
  <c r="AW41" i="25"/>
  <c r="AW40" i="25"/>
  <c r="AW39" i="25"/>
  <c r="AW38" i="25"/>
  <c r="AW37" i="25"/>
  <c r="AW36" i="25"/>
  <c r="AW35" i="25"/>
  <c r="AW34" i="25"/>
  <c r="AV30" i="25"/>
  <c r="AW29" i="25"/>
  <c r="AW28" i="25"/>
  <c r="AW27" i="25"/>
  <c r="AW26" i="25"/>
  <c r="AW25" i="25"/>
  <c r="AW24" i="25"/>
  <c r="AW23" i="25"/>
  <c r="AW22" i="25"/>
  <c r="AW21" i="25"/>
  <c r="AW20" i="25"/>
  <c r="AW16" i="25"/>
  <c r="AV16" i="25"/>
  <c r="AV45" i="41"/>
  <c r="AW44" i="41"/>
  <c r="AW43" i="41"/>
  <c r="AW42" i="41"/>
  <c r="AW41" i="41"/>
  <c r="AW40" i="41"/>
  <c r="AW39" i="41"/>
  <c r="AW38" i="41"/>
  <c r="AV37" i="41"/>
  <c r="AW35" i="41"/>
  <c r="AW34" i="41"/>
  <c r="AW33" i="41"/>
  <c r="AW31" i="41"/>
  <c r="AW29" i="41"/>
  <c r="AW28" i="41"/>
  <c r="AW27" i="41"/>
  <c r="AW26" i="41"/>
  <c r="AW25" i="41"/>
  <c r="AW24" i="41"/>
  <c r="AW23" i="41"/>
  <c r="AW22" i="41"/>
  <c r="AW21" i="41"/>
  <c r="AV20" i="41"/>
  <c r="AW19" i="41"/>
  <c r="AW18" i="41"/>
  <c r="AW17" i="41"/>
  <c r="AW16" i="41"/>
  <c r="AW15" i="41"/>
  <c r="AW13" i="41"/>
  <c r="AW12" i="41"/>
  <c r="AX52" i="42"/>
  <c r="AY51" i="42"/>
  <c r="AY50" i="42"/>
  <c r="AY49" i="42"/>
  <c r="AY48" i="42"/>
  <c r="AY47" i="42"/>
  <c r="AX46" i="42"/>
  <c r="AY45" i="42"/>
  <c r="AY44" i="42"/>
  <c r="AY43" i="42"/>
  <c r="AY42" i="42"/>
  <c r="AY41" i="42"/>
  <c r="AX39" i="42"/>
  <c r="AY38" i="42"/>
  <c r="AY37" i="42"/>
  <c r="AY36" i="42"/>
  <c r="AY35" i="42"/>
  <c r="AY33" i="42"/>
  <c r="AY32" i="42"/>
  <c r="AY31" i="42"/>
  <c r="AY30" i="42"/>
  <c r="AX28" i="42"/>
  <c r="AY27" i="42"/>
  <c r="AY23" i="42"/>
  <c r="AY22" i="42"/>
  <c r="AY21" i="42"/>
  <c r="AX19" i="42"/>
  <c r="AY18" i="42"/>
  <c r="AY17" i="42"/>
  <c r="AX15" i="42"/>
  <c r="AY14" i="42"/>
  <c r="AY13" i="42"/>
  <c r="AY12" i="42"/>
  <c r="AY11" i="42"/>
  <c r="AW64" i="43"/>
  <c r="AX63" i="43"/>
  <c r="AX64" i="43" s="1"/>
  <c r="AW59" i="43"/>
  <c r="AX58" i="43"/>
  <c r="AX57" i="43"/>
  <c r="AX55" i="43"/>
  <c r="AX54" i="43"/>
  <c r="AX52" i="43"/>
  <c r="AX51" i="43"/>
  <c r="AX50" i="43"/>
  <c r="AX49" i="43"/>
  <c r="AX48" i="43"/>
  <c r="AX46" i="43"/>
  <c r="AX45" i="43"/>
  <c r="AW44" i="43"/>
  <c r="AX43" i="43"/>
  <c r="AX42" i="43"/>
  <c r="AX41" i="43"/>
  <c r="AX40" i="43"/>
  <c r="AX39" i="43"/>
  <c r="AX38" i="43"/>
  <c r="AW37" i="43"/>
  <c r="AX36" i="43"/>
  <c r="AX35" i="43"/>
  <c r="AX34" i="43"/>
  <c r="AX33" i="43"/>
  <c r="AX32" i="43"/>
  <c r="AX31" i="43"/>
  <c r="AX30" i="43"/>
  <c r="AX29" i="43"/>
  <c r="AX28" i="43"/>
  <c r="AX26" i="43"/>
  <c r="AX25" i="43"/>
  <c r="AX24" i="43"/>
  <c r="AX23" i="43"/>
  <c r="AW22" i="43"/>
  <c r="AX21" i="43"/>
  <c r="AX19" i="43"/>
  <c r="AX16" i="43"/>
  <c r="AX15" i="43"/>
  <c r="AW14" i="43"/>
  <c r="AX13" i="43"/>
  <c r="AX11" i="43"/>
  <c r="AX91" i="44"/>
  <c r="AW89" i="44"/>
  <c r="AX88" i="44"/>
  <c r="AX87" i="44"/>
  <c r="AX86" i="44"/>
  <c r="AX85" i="44"/>
  <c r="AX84" i="44"/>
  <c r="AX83" i="44"/>
  <c r="AW82" i="44"/>
  <c r="AX81" i="44"/>
  <c r="AX80" i="44"/>
  <c r="AX79" i="44"/>
  <c r="AX73" i="44"/>
  <c r="AX72" i="44"/>
  <c r="AX71" i="44"/>
  <c r="AX65" i="44"/>
  <c r="AW64" i="44"/>
  <c r="AX63" i="44"/>
  <c r="AX62" i="44"/>
  <c r="AX61" i="44"/>
  <c r="AX60" i="44"/>
  <c r="AX59" i="44"/>
  <c r="AX58" i="44"/>
  <c r="AX57" i="44"/>
  <c r="AX56" i="44"/>
  <c r="AX55" i="44"/>
  <c r="AX54" i="44"/>
  <c r="AX53" i="44"/>
  <c r="AX52" i="44"/>
  <c r="AX51" i="44"/>
  <c r="AX50" i="44"/>
  <c r="AX49" i="44"/>
  <c r="AX48" i="44"/>
  <c r="AX47" i="44"/>
  <c r="AX46" i="44"/>
  <c r="AX45" i="44"/>
  <c r="AX44" i="44"/>
  <c r="AX43" i="44"/>
  <c r="AX42" i="44"/>
  <c r="AW40" i="44"/>
  <c r="AX39" i="44"/>
  <c r="AX38" i="44"/>
  <c r="AX37" i="44"/>
  <c r="AX36" i="44"/>
  <c r="AX35" i="44"/>
  <c r="AX31" i="44"/>
  <c r="AX30" i="44"/>
  <c r="AX29" i="44"/>
  <c r="AX27" i="44"/>
  <c r="AX26" i="44"/>
  <c r="AX25" i="44"/>
  <c r="AX21" i="44"/>
  <c r="AX19" i="44"/>
  <c r="AX18" i="44"/>
  <c r="AX17" i="44"/>
  <c r="AX15" i="44"/>
  <c r="AX14" i="44"/>
  <c r="AW13" i="44"/>
  <c r="AW16" i="44" s="1"/>
  <c r="AX12" i="44"/>
  <c r="AX13" i="44" s="1"/>
  <c r="AW99" i="45"/>
  <c r="AW98" i="45"/>
  <c r="AW97" i="45"/>
  <c r="AW96" i="45"/>
  <c r="AW95" i="45"/>
  <c r="AW94" i="45"/>
  <c r="AW93" i="45"/>
  <c r="AW92" i="45"/>
  <c r="AW91" i="45"/>
  <c r="AW90" i="45"/>
  <c r="AW89" i="45"/>
  <c r="AW88" i="45"/>
  <c r="AW87" i="45"/>
  <c r="AW86" i="45"/>
  <c r="AW85" i="45"/>
  <c r="AW84" i="45"/>
  <c r="AW83" i="45"/>
  <c r="AW82" i="45"/>
  <c r="AW80" i="45"/>
  <c r="AW75" i="45"/>
  <c r="AW74" i="45"/>
  <c r="AW73" i="45"/>
  <c r="AW72" i="45"/>
  <c r="AW71" i="45"/>
  <c r="AW70" i="45"/>
  <c r="AW69" i="45"/>
  <c r="AW68" i="45"/>
  <c r="AW67" i="45"/>
  <c r="AW66" i="45"/>
  <c r="AW65" i="45"/>
  <c r="AW64" i="45"/>
  <c r="AW63" i="45"/>
  <c r="AW62" i="45"/>
  <c r="AW61" i="45"/>
  <c r="AW60" i="45"/>
  <c r="AW59" i="45"/>
  <c r="AW58" i="45"/>
  <c r="AW57" i="45"/>
  <c r="AW55" i="45"/>
  <c r="AW54" i="45"/>
  <c r="AW53" i="45"/>
  <c r="AW51" i="45"/>
  <c r="AW50" i="45"/>
  <c r="AW49" i="45"/>
  <c r="AW48" i="45"/>
  <c r="AW47" i="45"/>
  <c r="AW46" i="45"/>
  <c r="AW45" i="45"/>
  <c r="AW44" i="45"/>
  <c r="AW43" i="45"/>
  <c r="AW42" i="45"/>
  <c r="AW41" i="45"/>
  <c r="AW40" i="45"/>
  <c r="AW36" i="45"/>
  <c r="AW39" i="45" s="1"/>
  <c r="AW33" i="45"/>
  <c r="AW32" i="45"/>
  <c r="AW31" i="45"/>
  <c r="AW30" i="45"/>
  <c r="AW29" i="45"/>
  <c r="AW28" i="45"/>
  <c r="AW27" i="45"/>
  <c r="AW26" i="45"/>
  <c r="AW25" i="45"/>
  <c r="AW24" i="45"/>
  <c r="AW23" i="45"/>
  <c r="AW22" i="45"/>
  <c r="AW20" i="45"/>
  <c r="AW19" i="45"/>
  <c r="AW18" i="45"/>
  <c r="AW17" i="45"/>
  <c r="AW15" i="45"/>
  <c r="AW14" i="45"/>
  <c r="AW13" i="45"/>
  <c r="AW12" i="45"/>
  <c r="AU65" i="46"/>
  <c r="AV64" i="46"/>
  <c r="AV65" i="46" s="1"/>
  <c r="AU62" i="46"/>
  <c r="AV61" i="46"/>
  <c r="AV60" i="46"/>
  <c r="AV59" i="46"/>
  <c r="AV56" i="46"/>
  <c r="AV52" i="46"/>
  <c r="AV51" i="46"/>
  <c r="AV50" i="46"/>
  <c r="AV49" i="46"/>
  <c r="AV48" i="46"/>
  <c r="AV47" i="46"/>
  <c r="AV46" i="46"/>
  <c r="AV45" i="46"/>
  <c r="AV44" i="46"/>
  <c r="AU42" i="46"/>
  <c r="AV41" i="46"/>
  <c r="AV40" i="46"/>
  <c r="AV39" i="46"/>
  <c r="AV38" i="46"/>
  <c r="AU35" i="46"/>
  <c r="AV34" i="46"/>
  <c r="AV35" i="46" s="1"/>
  <c r="AU32" i="46"/>
  <c r="AV31" i="46"/>
  <c r="AV30" i="46"/>
  <c r="AV29" i="46"/>
  <c r="AV28" i="46"/>
  <c r="AV27" i="46"/>
  <c r="AU25" i="46"/>
  <c r="AV24" i="46"/>
  <c r="AV23" i="46"/>
  <c r="AV22" i="46"/>
  <c r="AV21" i="46"/>
  <c r="AV20" i="46"/>
  <c r="AU17" i="46"/>
  <c r="AV16" i="46"/>
  <c r="AV17" i="46" s="1"/>
  <c r="AU15" i="46"/>
  <c r="AV14" i="46"/>
  <c r="AV13" i="46"/>
  <c r="AV12" i="46"/>
  <c r="AW50" i="47"/>
  <c r="AX49" i="47"/>
  <c r="AX48" i="47"/>
  <c r="AX44" i="47"/>
  <c r="AX43" i="47"/>
  <c r="AX42" i="47"/>
  <c r="AX41" i="47"/>
  <c r="AX40" i="47"/>
  <c r="AX39" i="47"/>
  <c r="AX38" i="47"/>
  <c r="AX37" i="47"/>
  <c r="AX36" i="47"/>
  <c r="AW35" i="47"/>
  <c r="AX35" i="47" s="1"/>
  <c r="AW33" i="47"/>
  <c r="AX32" i="47"/>
  <c r="AX31" i="47"/>
  <c r="AX29" i="47"/>
  <c r="AX25" i="47"/>
  <c r="AW23" i="47"/>
  <c r="AX23" i="47" s="1"/>
  <c r="AX22" i="47"/>
  <c r="AX21" i="47"/>
  <c r="AX19" i="47"/>
  <c r="AX18" i="47"/>
  <c r="AX17" i="47"/>
  <c r="AW15" i="47"/>
  <c r="AX14" i="47"/>
  <c r="AX13" i="47"/>
  <c r="AX12" i="47"/>
  <c r="AX10" i="47"/>
  <c r="AV34" i="26"/>
  <c r="AU34" i="26"/>
  <c r="AV27" i="26"/>
  <c r="AU27" i="26"/>
  <c r="AV22" i="26"/>
  <c r="AU22" i="26"/>
  <c r="AU18" i="26"/>
  <c r="AV16" i="26"/>
  <c r="AV18" i="26" s="1"/>
  <c r="AU14" i="26"/>
  <c r="AV13" i="26"/>
  <c r="AV14" i="26" s="1"/>
  <c r="AT55" i="25"/>
  <c r="AU54" i="25"/>
  <c r="AU53" i="25"/>
  <c r="AU52" i="25"/>
  <c r="AU51" i="25"/>
  <c r="AU50" i="25"/>
  <c r="AT48" i="25"/>
  <c r="AU47" i="25"/>
  <c r="AU46" i="25"/>
  <c r="AU45" i="25"/>
  <c r="AU43" i="25"/>
  <c r="AU42" i="25"/>
  <c r="AU41" i="25"/>
  <c r="AU40" i="25"/>
  <c r="AU39" i="25"/>
  <c r="AU38" i="25"/>
  <c r="AU37" i="25"/>
  <c r="AU36" i="25"/>
  <c r="AU35" i="25"/>
  <c r="AU34" i="25"/>
  <c r="AT30" i="25"/>
  <c r="AU29" i="25"/>
  <c r="AU28" i="25"/>
  <c r="AU27" i="25"/>
  <c r="AU26" i="25"/>
  <c r="AU25" i="25"/>
  <c r="AU24" i="25"/>
  <c r="AU23" i="25"/>
  <c r="AU22" i="25"/>
  <c r="AU21" i="25"/>
  <c r="AU20" i="25"/>
  <c r="AU16" i="25"/>
  <c r="AT45" i="41"/>
  <c r="AU44" i="41"/>
  <c r="AU43" i="41"/>
  <c r="AU42" i="41"/>
  <c r="AU41" i="41"/>
  <c r="AU40" i="41"/>
  <c r="AU39" i="41"/>
  <c r="AU38" i="41"/>
  <c r="AT37" i="41"/>
  <c r="AU35" i="41"/>
  <c r="AU31" i="41"/>
  <c r="AU29" i="41"/>
  <c r="AU28" i="41"/>
  <c r="AU27" i="41"/>
  <c r="AU22" i="41"/>
  <c r="AU21" i="41"/>
  <c r="AT20" i="41"/>
  <c r="AU19" i="41"/>
  <c r="AU18" i="41"/>
  <c r="AU17" i="41"/>
  <c r="AU16" i="41"/>
  <c r="AU15" i="41"/>
  <c r="AU13" i="41"/>
  <c r="AU12" i="41"/>
  <c r="AV52" i="42"/>
  <c r="AW50" i="42"/>
  <c r="AW49" i="42"/>
  <c r="AW48" i="42"/>
  <c r="AW47" i="42"/>
  <c r="AV46" i="42"/>
  <c r="AW45" i="42"/>
  <c r="AW44" i="42"/>
  <c r="AW43" i="42"/>
  <c r="AW42" i="42"/>
  <c r="AW41" i="42"/>
  <c r="AV39" i="42"/>
  <c r="AW38" i="42"/>
  <c r="AW36" i="42"/>
  <c r="AW35" i="42"/>
  <c r="AW33" i="42"/>
  <c r="AW32" i="42"/>
  <c r="AW31" i="42"/>
  <c r="AW30" i="42"/>
  <c r="AV28" i="42"/>
  <c r="AW27" i="42"/>
  <c r="AW23" i="42"/>
  <c r="AW22" i="42"/>
  <c r="AW21" i="42"/>
  <c r="AV19" i="42"/>
  <c r="AW18" i="42"/>
  <c r="AW17" i="42"/>
  <c r="AV15" i="42"/>
  <c r="AW14" i="42"/>
  <c r="AW12" i="42"/>
  <c r="AW11" i="42"/>
  <c r="AU64" i="43"/>
  <c r="AV63" i="43"/>
  <c r="AV64" i="43" s="1"/>
  <c r="AU59" i="43"/>
  <c r="AV55" i="43"/>
  <c r="AV54" i="43"/>
  <c r="AV52" i="43"/>
  <c r="AV50" i="43"/>
  <c r="AV49" i="43"/>
  <c r="AV48" i="43"/>
  <c r="AV47" i="43"/>
  <c r="AV46" i="43"/>
  <c r="AV45" i="43"/>
  <c r="AU44" i="43"/>
  <c r="AV43" i="43"/>
  <c r="AV42" i="43"/>
  <c r="AV41" i="43"/>
  <c r="AV40" i="43"/>
  <c r="AV39" i="43"/>
  <c r="AV38" i="43"/>
  <c r="AU37" i="43"/>
  <c r="AV36" i="43"/>
  <c r="AV35" i="43"/>
  <c r="AV34" i="43"/>
  <c r="AV33" i="43"/>
  <c r="AV32" i="43"/>
  <c r="AV31" i="43"/>
  <c r="AV30" i="43"/>
  <c r="AV29" i="43"/>
  <c r="AV28" i="43"/>
  <c r="AV26" i="43"/>
  <c r="AV25" i="43"/>
  <c r="AV24" i="43"/>
  <c r="AV23" i="43"/>
  <c r="AU22" i="43"/>
  <c r="AV19" i="43"/>
  <c r="AV18" i="43"/>
  <c r="AV17" i="43"/>
  <c r="AV16" i="43"/>
  <c r="AV15" i="43"/>
  <c r="AU14" i="43"/>
  <c r="AV13" i="43"/>
  <c r="AV11" i="43"/>
  <c r="AV91" i="44"/>
  <c r="AU89" i="44"/>
  <c r="AV86" i="44"/>
  <c r="AV85" i="44"/>
  <c r="AV84" i="44"/>
  <c r="AV83" i="44"/>
  <c r="AU82" i="44"/>
  <c r="AV81" i="44"/>
  <c r="AV80" i="44"/>
  <c r="AV79" i="44"/>
  <c r="AV73" i="44"/>
  <c r="AV72" i="44"/>
  <c r="AV71" i="44"/>
  <c r="AV65" i="44"/>
  <c r="AU64" i="44"/>
  <c r="AV63" i="44"/>
  <c r="AV62" i="44"/>
  <c r="AV61" i="44"/>
  <c r="AV60" i="44"/>
  <c r="AV59" i="44"/>
  <c r="AV58" i="44"/>
  <c r="AV57" i="44"/>
  <c r="AV56" i="44"/>
  <c r="AV55" i="44"/>
  <c r="AV54" i="44"/>
  <c r="AV53" i="44"/>
  <c r="AV52" i="44"/>
  <c r="AV51" i="44"/>
  <c r="AV50" i="44"/>
  <c r="AV49" i="44"/>
  <c r="AV48" i="44"/>
  <c r="AV47" i="44"/>
  <c r="AV46" i="44"/>
  <c r="AV45" i="44"/>
  <c r="AV44" i="44"/>
  <c r="AV43" i="44"/>
  <c r="AV42" i="44"/>
  <c r="AU40" i="44"/>
  <c r="AV39" i="44"/>
  <c r="AV38" i="44"/>
  <c r="AV36" i="44"/>
  <c r="AV35" i="44"/>
  <c r="AV31" i="44"/>
  <c r="AV30" i="44"/>
  <c r="AV29" i="44"/>
  <c r="AV27" i="44"/>
  <c r="AV26" i="44"/>
  <c r="AV25" i="44"/>
  <c r="AV21" i="44"/>
  <c r="AV19" i="44"/>
  <c r="AV18" i="44"/>
  <c r="AV17" i="44"/>
  <c r="AV15" i="44"/>
  <c r="AV14" i="44"/>
  <c r="AU13" i="44"/>
  <c r="AU16" i="44" s="1"/>
  <c r="AV12" i="44"/>
  <c r="AV13" i="44" s="1"/>
  <c r="AU99" i="45"/>
  <c r="AU98" i="45"/>
  <c r="AU97" i="45"/>
  <c r="AU96" i="45"/>
  <c r="AU95" i="45"/>
  <c r="AU94" i="45"/>
  <c r="AU93" i="45"/>
  <c r="AU91" i="45"/>
  <c r="AU90" i="45"/>
  <c r="AU89" i="45"/>
  <c r="AU88" i="45"/>
  <c r="AU86" i="45"/>
  <c r="AU85" i="45"/>
  <c r="AU84" i="45"/>
  <c r="AU83" i="45"/>
  <c r="AU82" i="45"/>
  <c r="AU80" i="45"/>
  <c r="AU79" i="45"/>
  <c r="AU75" i="45"/>
  <c r="AU74" i="45"/>
  <c r="AU73" i="45"/>
  <c r="AU72" i="45"/>
  <c r="AU71" i="45"/>
  <c r="AU70" i="45"/>
  <c r="AU69" i="45"/>
  <c r="AU68" i="45"/>
  <c r="AU67" i="45"/>
  <c r="AU66" i="45"/>
  <c r="AU65" i="45"/>
  <c r="AU64" i="45"/>
  <c r="AU63" i="45"/>
  <c r="AU62" i="45"/>
  <c r="AU61" i="45"/>
  <c r="AU60" i="45"/>
  <c r="AU59" i="45"/>
  <c r="AU58" i="45"/>
  <c r="AU57" i="45"/>
  <c r="AU56" i="45"/>
  <c r="AU55" i="45"/>
  <c r="AU54" i="45"/>
  <c r="AU53" i="45"/>
  <c r="AU47" i="45"/>
  <c r="AU46" i="45"/>
  <c r="AU45" i="45"/>
  <c r="AU44" i="45"/>
  <c r="AU43" i="45"/>
  <c r="AU42" i="45"/>
  <c r="AU41" i="45"/>
  <c r="AU40" i="45"/>
  <c r="AU33" i="45"/>
  <c r="AU32" i="45"/>
  <c r="AU31" i="45"/>
  <c r="AU30" i="45"/>
  <c r="AU29" i="45"/>
  <c r="AU28" i="45"/>
  <c r="AU27" i="45"/>
  <c r="AU26" i="45"/>
  <c r="AU25" i="45"/>
  <c r="AU24" i="45"/>
  <c r="AU23" i="45"/>
  <c r="AU22" i="45"/>
  <c r="AU20" i="45"/>
  <c r="AU19" i="45"/>
  <c r="AU18" i="45"/>
  <c r="AU17" i="45"/>
  <c r="AU15" i="45"/>
  <c r="AU14" i="45"/>
  <c r="AU13" i="45"/>
  <c r="AU12" i="45"/>
  <c r="AS65" i="46"/>
  <c r="AT64" i="46"/>
  <c r="AT65" i="46" s="1"/>
  <c r="AS62" i="46"/>
  <c r="AT61" i="46"/>
  <c r="AT60" i="46"/>
  <c r="AT59" i="46"/>
  <c r="AT56" i="46"/>
  <c r="AS56" i="46"/>
  <c r="AT51" i="46"/>
  <c r="AT50" i="46"/>
  <c r="AT49" i="46"/>
  <c r="AT48" i="46"/>
  <c r="AT47" i="46"/>
  <c r="AT46" i="46"/>
  <c r="AT45" i="46"/>
  <c r="AT44" i="46"/>
  <c r="AS42" i="46"/>
  <c r="AT41" i="46"/>
  <c r="AT40" i="46"/>
  <c r="AT39" i="46"/>
  <c r="AT38" i="46"/>
  <c r="AS35" i="46"/>
  <c r="AT34" i="46"/>
  <c r="AT35" i="46" s="1"/>
  <c r="AT31" i="46"/>
  <c r="AT30" i="46"/>
  <c r="AT29" i="46"/>
  <c r="AS32" i="46"/>
  <c r="AT27" i="46"/>
  <c r="AT24" i="46"/>
  <c r="AT23" i="46"/>
  <c r="AT22" i="46"/>
  <c r="AS25" i="46"/>
  <c r="AT20" i="46"/>
  <c r="AS17" i="46"/>
  <c r="AT16" i="46"/>
  <c r="AT17" i="46" s="1"/>
  <c r="AS15" i="46"/>
  <c r="AT14" i="46"/>
  <c r="AT13" i="46"/>
  <c r="AT12" i="46"/>
  <c r="AV49" i="47"/>
  <c r="AV48" i="47"/>
  <c r="AU47" i="47"/>
  <c r="AU50" i="47" s="1"/>
  <c r="AV43" i="47"/>
  <c r="AV41" i="47"/>
  <c r="AV40" i="47"/>
  <c r="AV39" i="47"/>
  <c r="AV38" i="47"/>
  <c r="AV37" i="47"/>
  <c r="AV36" i="47"/>
  <c r="AU35" i="47"/>
  <c r="AU33" i="47"/>
  <c r="AV32" i="47"/>
  <c r="AV31" i="47"/>
  <c r="AV29" i="47"/>
  <c r="AU26" i="47"/>
  <c r="AV25" i="47"/>
  <c r="AV23" i="47"/>
  <c r="AV22" i="47"/>
  <c r="AV21" i="47"/>
  <c r="AV19" i="47"/>
  <c r="AV18" i="47"/>
  <c r="AV17" i="47"/>
  <c r="AU15" i="47"/>
  <c r="AV14" i="47"/>
  <c r="AV13" i="47"/>
  <c r="AV12" i="47"/>
  <c r="AV10" i="47"/>
  <c r="AS34" i="26"/>
  <c r="AT33" i="26"/>
  <c r="AT32" i="26"/>
  <c r="AT31" i="26"/>
  <c r="AT30" i="26"/>
  <c r="AT29" i="26"/>
  <c r="AT28" i="26"/>
  <c r="AS27" i="26"/>
  <c r="AT26" i="26"/>
  <c r="AT25" i="26"/>
  <c r="AT24" i="26"/>
  <c r="AT23" i="26"/>
  <c r="AS22" i="26"/>
  <c r="AT21" i="26"/>
  <c r="AT20" i="26"/>
  <c r="AT19" i="26"/>
  <c r="AS18" i="26"/>
  <c r="AT17" i="26"/>
  <c r="AT16" i="26"/>
  <c r="AS14" i="26"/>
  <c r="AT13" i="26"/>
  <c r="AT12" i="26"/>
  <c r="AR55" i="25"/>
  <c r="AS54" i="25"/>
  <c r="AS53" i="25"/>
  <c r="AS52" i="25"/>
  <c r="AS51" i="25"/>
  <c r="AS50" i="25"/>
  <c r="AR48" i="25"/>
  <c r="AS47" i="25"/>
  <c r="AS46" i="25"/>
  <c r="AS45" i="25"/>
  <c r="AS43" i="25"/>
  <c r="AS42" i="25"/>
  <c r="AS41" i="25"/>
  <c r="AS40" i="25"/>
  <c r="AS39" i="25"/>
  <c r="AS38" i="25"/>
  <c r="AS37" i="25"/>
  <c r="AS36" i="25"/>
  <c r="AS35" i="25"/>
  <c r="AS34" i="25"/>
  <c r="AR30" i="25"/>
  <c r="AS29" i="25"/>
  <c r="AS28" i="25"/>
  <c r="AS27" i="25"/>
  <c r="AS26" i="25"/>
  <c r="AS25" i="25"/>
  <c r="AS24" i="25"/>
  <c r="AS23" i="25"/>
  <c r="AS22" i="25"/>
  <c r="AS21" i="25"/>
  <c r="AS20" i="25"/>
  <c r="AS17" i="25"/>
  <c r="AR16" i="25"/>
  <c r="AS14" i="25"/>
  <c r="AS13" i="25"/>
  <c r="AS12" i="25"/>
  <c r="AR45" i="41"/>
  <c r="AS44" i="41"/>
  <c r="AS43" i="41"/>
  <c r="AS42" i="41"/>
  <c r="AS41" i="41"/>
  <c r="AS40" i="41"/>
  <c r="AS39" i="41"/>
  <c r="AS38" i="41"/>
  <c r="AR37" i="41"/>
  <c r="AS35" i="41"/>
  <c r="AS34" i="41"/>
  <c r="AS33" i="41"/>
  <c r="AS31" i="41"/>
  <c r="AS29" i="41"/>
  <c r="AS28" i="41"/>
  <c r="AS27" i="41"/>
  <c r="AS23" i="41"/>
  <c r="AS22" i="41"/>
  <c r="AS21" i="41"/>
  <c r="AR20" i="41"/>
  <c r="AS19" i="41"/>
  <c r="AS18" i="41"/>
  <c r="AS17" i="41"/>
  <c r="AS16" i="41"/>
  <c r="AS15" i="41"/>
  <c r="AS12" i="41"/>
  <c r="AT52" i="42"/>
  <c r="AU51" i="42"/>
  <c r="AU49" i="42"/>
  <c r="AU48" i="42"/>
  <c r="AU47" i="42"/>
  <c r="AT46" i="42"/>
  <c r="AU45" i="42"/>
  <c r="AU44" i="42"/>
  <c r="AU42" i="42"/>
  <c r="AU41" i="42"/>
  <c r="AT39" i="42"/>
  <c r="AU38" i="42"/>
  <c r="AU36" i="42"/>
  <c r="AU35" i="42"/>
  <c r="AU32" i="42"/>
  <c r="AU31" i="42"/>
  <c r="AU30" i="42"/>
  <c r="AT28" i="42"/>
  <c r="AU27" i="42"/>
  <c r="AU23" i="42"/>
  <c r="AU22" i="42"/>
  <c r="AU21" i="42"/>
  <c r="AT19" i="42"/>
  <c r="AU18" i="42"/>
  <c r="AU17" i="42"/>
  <c r="AT15" i="42"/>
  <c r="AU14" i="42"/>
  <c r="AU12" i="42"/>
  <c r="AU11" i="42"/>
  <c r="AS64" i="43"/>
  <c r="AT64" i="43"/>
  <c r="AS59" i="43"/>
  <c r="AT58" i="43"/>
  <c r="AT55" i="43"/>
  <c r="AT54" i="43"/>
  <c r="AT52" i="43"/>
  <c r="AT51" i="43"/>
  <c r="AT50" i="43"/>
  <c r="AT49" i="43"/>
  <c r="AT48" i="43"/>
  <c r="AT47" i="43"/>
  <c r="AT46" i="43"/>
  <c r="AS44" i="43"/>
  <c r="AT43" i="43"/>
  <c r="AT42" i="43"/>
  <c r="AT41" i="43"/>
  <c r="AT40" i="43"/>
  <c r="AS37" i="43"/>
  <c r="AT34" i="43"/>
  <c r="AT33" i="43"/>
  <c r="AT31" i="43"/>
  <c r="AT30" i="43"/>
  <c r="AT29" i="43"/>
  <c r="AT28" i="43"/>
  <c r="AT26" i="43"/>
  <c r="AT25" i="43"/>
  <c r="AT24" i="43"/>
  <c r="AS22" i="43"/>
  <c r="AT18" i="43"/>
  <c r="AT17" i="43"/>
  <c r="AS14" i="43"/>
  <c r="AT11" i="43"/>
  <c r="AT14" i="43" s="1"/>
  <c r="AT91" i="44"/>
  <c r="AS89" i="44"/>
  <c r="AT86" i="44"/>
  <c r="AT84" i="44"/>
  <c r="AT83" i="44"/>
  <c r="AS82" i="44"/>
  <c r="AT80" i="44"/>
  <c r="AT73" i="44"/>
  <c r="AT72" i="44"/>
  <c r="AT71" i="44"/>
  <c r="AT65" i="44"/>
  <c r="AS64" i="44"/>
  <c r="AT63" i="44"/>
  <c r="AT62" i="44"/>
  <c r="AT61" i="44"/>
  <c r="AT60" i="44"/>
  <c r="AT57" i="44"/>
  <c r="AT56" i="44"/>
  <c r="AT53" i="44"/>
  <c r="AT52" i="44"/>
  <c r="AT50" i="44"/>
  <c r="AT49" i="44"/>
  <c r="AT48" i="44"/>
  <c r="AT47" i="44"/>
  <c r="AT46" i="44"/>
  <c r="AT44" i="44"/>
  <c r="AT43" i="44"/>
  <c r="AT42" i="44"/>
  <c r="AS40" i="44"/>
  <c r="AT39" i="44"/>
  <c r="AT36" i="44"/>
  <c r="AT35" i="44"/>
  <c r="AT30" i="44"/>
  <c r="AT29" i="44"/>
  <c r="AT27" i="44"/>
  <c r="AT26" i="44"/>
  <c r="AT25" i="44"/>
  <c r="AT21" i="44"/>
  <c r="AT19" i="44"/>
  <c r="AT18" i="44"/>
  <c r="AT17" i="44"/>
  <c r="AT15" i="44"/>
  <c r="AT14" i="44"/>
  <c r="AS13" i="44"/>
  <c r="AS16" i="44" s="1"/>
  <c r="AT12" i="44"/>
  <c r="AT13" i="44" s="1"/>
  <c r="AS99" i="45"/>
  <c r="AS98" i="45"/>
  <c r="AS97" i="45"/>
  <c r="AS96" i="45"/>
  <c r="AS95" i="45"/>
  <c r="AS94" i="45"/>
  <c r="AS93" i="45"/>
  <c r="AS92" i="45"/>
  <c r="AS91" i="45"/>
  <c r="AS90" i="45"/>
  <c r="AS88" i="45"/>
  <c r="AS85" i="45"/>
  <c r="AS84" i="45"/>
  <c r="AS83" i="45"/>
  <c r="AS82" i="45"/>
  <c r="AS75" i="45"/>
  <c r="AS74" i="45"/>
  <c r="AS73" i="45"/>
  <c r="AS72" i="45"/>
  <c r="AS71" i="45"/>
  <c r="AS70" i="45"/>
  <c r="AS69" i="45"/>
  <c r="AS68" i="45"/>
  <c r="AS67" i="45"/>
  <c r="AS66" i="45"/>
  <c r="AS65" i="45"/>
  <c r="AS64" i="45"/>
  <c r="AS63" i="45"/>
  <c r="AS62" i="45"/>
  <c r="AS61" i="45"/>
  <c r="AS60" i="45"/>
  <c r="AS59" i="45"/>
  <c r="AS58" i="45"/>
  <c r="AS55" i="45"/>
  <c r="AS54" i="45"/>
  <c r="AS53" i="45"/>
  <c r="AS51" i="45"/>
  <c r="AS50" i="45"/>
  <c r="AS49" i="45"/>
  <c r="AS48" i="45"/>
  <c r="AS47" i="45"/>
  <c r="AS46" i="45"/>
  <c r="AS45" i="45"/>
  <c r="AS44" i="45"/>
  <c r="AS43" i="45"/>
  <c r="AS42" i="45"/>
  <c r="AS41" i="45"/>
  <c r="AS40" i="45"/>
  <c r="AS33" i="45"/>
  <c r="AS32" i="45"/>
  <c r="AS31" i="45"/>
  <c r="AS30" i="45"/>
  <c r="AS29" i="45"/>
  <c r="AS28" i="45"/>
  <c r="AS27" i="45"/>
  <c r="AS26" i="45"/>
  <c r="AS24" i="45"/>
  <c r="AS23" i="45"/>
  <c r="AS22" i="45"/>
  <c r="AS20" i="45"/>
  <c r="AS19" i="45"/>
  <c r="AS18" i="45"/>
  <c r="AS17" i="45"/>
  <c r="AS15" i="45"/>
  <c r="AS14" i="45"/>
  <c r="AS13" i="45"/>
  <c r="AS12" i="45"/>
  <c r="AR65" i="46"/>
  <c r="AQ65" i="46"/>
  <c r="AR62" i="46"/>
  <c r="AQ62" i="46"/>
  <c r="AR56" i="46"/>
  <c r="AQ53" i="46"/>
  <c r="AR51" i="46"/>
  <c r="AR50" i="46"/>
  <c r="AR49" i="46"/>
  <c r="AR48" i="46"/>
  <c r="AR46" i="46"/>
  <c r="AR45" i="46"/>
  <c r="AR44" i="46"/>
  <c r="AQ42" i="46"/>
  <c r="AR41" i="46"/>
  <c r="AR40" i="46"/>
  <c r="AR39" i="46"/>
  <c r="AR38" i="46"/>
  <c r="AQ35" i="46"/>
  <c r="AR34" i="46"/>
  <c r="AR35" i="46" s="1"/>
  <c r="AR31" i="46"/>
  <c r="AR30" i="46"/>
  <c r="AR29" i="46"/>
  <c r="AQ32" i="46"/>
  <c r="AR27" i="46"/>
  <c r="AR24" i="46"/>
  <c r="AR23" i="46"/>
  <c r="AR22" i="46"/>
  <c r="AQ25" i="46"/>
  <c r="AR20" i="46"/>
  <c r="AQ17" i="46"/>
  <c r="AR16" i="46"/>
  <c r="AR17" i="46" s="1"/>
  <c r="AQ15" i="46"/>
  <c r="AR14" i="46"/>
  <c r="AR13" i="46"/>
  <c r="AR12" i="46"/>
  <c r="AT49" i="47"/>
  <c r="AT50" i="47" s="1"/>
  <c r="AS47" i="47"/>
  <c r="AS50" i="47" s="1"/>
  <c r="AT43" i="47"/>
  <c r="AT41" i="47"/>
  <c r="AT40" i="47"/>
  <c r="AT39" i="47"/>
  <c r="AT38" i="47"/>
  <c r="AT37" i="47"/>
  <c r="AS35" i="47"/>
  <c r="AS45" i="47" s="1"/>
  <c r="AS33" i="47"/>
  <c r="AT32" i="47"/>
  <c r="AT31" i="47"/>
  <c r="AT29" i="47"/>
  <c r="AT25" i="47"/>
  <c r="AS23" i="47"/>
  <c r="AS26" i="47" s="1"/>
  <c r="AT22" i="47"/>
  <c r="AT21" i="47"/>
  <c r="AT19" i="47"/>
  <c r="AT18" i="47"/>
  <c r="AT17" i="47"/>
  <c r="AS15" i="47"/>
  <c r="AT14" i="47"/>
  <c r="AT13" i="47"/>
  <c r="AT12" i="47"/>
  <c r="AT10" i="47"/>
  <c r="AQ34" i="26"/>
  <c r="AR33" i="26"/>
  <c r="AR32" i="26"/>
  <c r="AR31" i="26"/>
  <c r="AR30" i="26"/>
  <c r="AR29" i="26"/>
  <c r="AR28" i="26"/>
  <c r="AQ27" i="26"/>
  <c r="AR26" i="26"/>
  <c r="AR25" i="26"/>
  <c r="AR24" i="26"/>
  <c r="AR23" i="26"/>
  <c r="AQ22" i="26"/>
  <c r="AR21" i="26"/>
  <c r="AR20" i="26"/>
  <c r="AR19" i="26"/>
  <c r="AQ18" i="26"/>
  <c r="AR17" i="26"/>
  <c r="AR16" i="26"/>
  <c r="AQ14" i="26"/>
  <c r="AR13" i="26"/>
  <c r="AR12" i="26"/>
  <c r="AP55" i="25"/>
  <c r="AQ54" i="25"/>
  <c r="AQ53" i="25"/>
  <c r="AQ52" i="25"/>
  <c r="AQ51" i="25"/>
  <c r="AQ50" i="25"/>
  <c r="AP48" i="25"/>
  <c r="AQ47" i="25"/>
  <c r="AQ46" i="25"/>
  <c r="AQ45" i="25"/>
  <c r="AQ43" i="25"/>
  <c r="AQ42" i="25"/>
  <c r="AQ41" i="25"/>
  <c r="AQ40" i="25"/>
  <c r="AQ39" i="25"/>
  <c r="AQ38" i="25"/>
  <c r="AQ37" i="25"/>
  <c r="AQ36" i="25"/>
  <c r="AQ35" i="25"/>
  <c r="AQ34" i="25"/>
  <c r="AP30" i="25"/>
  <c r="AQ29" i="25"/>
  <c r="AQ28" i="25"/>
  <c r="AQ27" i="25"/>
  <c r="AQ26" i="25"/>
  <c r="AQ25" i="25"/>
  <c r="AQ24" i="25"/>
  <c r="AQ23" i="25"/>
  <c r="AQ22" i="25"/>
  <c r="AQ21" i="25"/>
  <c r="AQ20" i="25"/>
  <c r="AQ18" i="25"/>
  <c r="AQ17" i="25"/>
  <c r="AP16" i="25"/>
  <c r="AQ14" i="25"/>
  <c r="AQ13" i="25"/>
  <c r="AQ12" i="25"/>
  <c r="AP45" i="41"/>
  <c r="AQ44" i="41"/>
  <c r="AQ43" i="41"/>
  <c r="AQ42" i="41"/>
  <c r="AQ41" i="41"/>
  <c r="AQ40" i="41"/>
  <c r="AQ39" i="41"/>
  <c r="AQ38" i="41"/>
  <c r="AP37" i="41"/>
  <c r="AQ35" i="41"/>
  <c r="AQ34" i="41"/>
  <c r="AQ33" i="41"/>
  <c r="AQ31" i="41"/>
  <c r="AQ29" i="41"/>
  <c r="AQ28" i="41"/>
  <c r="AQ27" i="41"/>
  <c r="AQ22" i="41"/>
  <c r="AQ21" i="41"/>
  <c r="AP20" i="41"/>
  <c r="AQ19" i="41"/>
  <c r="AQ18" i="41"/>
  <c r="AQ17" i="41"/>
  <c r="AQ16" i="41"/>
  <c r="AQ15" i="41"/>
  <c r="AQ13" i="41"/>
  <c r="AQ12" i="41"/>
  <c r="AR52" i="42"/>
  <c r="AS51" i="42"/>
  <c r="AS50" i="42"/>
  <c r="AS49" i="42"/>
  <c r="AS48" i="42"/>
  <c r="AS47" i="42"/>
  <c r="AR46" i="42"/>
  <c r="AS45" i="42"/>
  <c r="AS43" i="42"/>
  <c r="AS42" i="42"/>
  <c r="AS41" i="42"/>
  <c r="AR39" i="42"/>
  <c r="AS38" i="42"/>
  <c r="AS36" i="42"/>
  <c r="AS35" i="42"/>
  <c r="AS33" i="42"/>
  <c r="AS32" i="42"/>
  <c r="AS31" i="42"/>
  <c r="AS30" i="42"/>
  <c r="AR28" i="42"/>
  <c r="AS27" i="42"/>
  <c r="AS23" i="42"/>
  <c r="AS22" i="42"/>
  <c r="AS21" i="42"/>
  <c r="AR19" i="42"/>
  <c r="AS18" i="42"/>
  <c r="AS17" i="42"/>
  <c r="AR15" i="42"/>
  <c r="AS14" i="42"/>
  <c r="AS12" i="42"/>
  <c r="AS11" i="42"/>
  <c r="AQ64" i="43"/>
  <c r="AR63" i="43"/>
  <c r="AR64" i="43" s="1"/>
  <c r="AQ59" i="43"/>
  <c r="AR58" i="43"/>
  <c r="AR56" i="43"/>
  <c r="AR55" i="43"/>
  <c r="AR54" i="43"/>
  <c r="AR53" i="43"/>
  <c r="AR52" i="43"/>
  <c r="AR51" i="43"/>
  <c r="AR50" i="43"/>
  <c r="AR49" i="43"/>
  <c r="AR48" i="43"/>
  <c r="AR47" i="43"/>
  <c r="AR46" i="43"/>
  <c r="AQ44" i="43"/>
  <c r="AR43" i="43"/>
  <c r="AR42" i="43"/>
  <c r="AR41" i="43"/>
  <c r="AR40" i="43"/>
  <c r="AR39" i="43"/>
  <c r="AQ37" i="43"/>
  <c r="AR36" i="43"/>
  <c r="AR34" i="43"/>
  <c r="AR33" i="43"/>
  <c r="AR32" i="43"/>
  <c r="AR31" i="43"/>
  <c r="AR30" i="43"/>
  <c r="AR29" i="43"/>
  <c r="AR28" i="43"/>
  <c r="AR26" i="43"/>
  <c r="AR25" i="43"/>
  <c r="AR24" i="43"/>
  <c r="AQ22" i="43"/>
  <c r="AR21" i="43"/>
  <c r="AR19" i="43"/>
  <c r="AR18" i="43"/>
  <c r="AR17" i="43"/>
  <c r="AQ14" i="43"/>
  <c r="AR11" i="43"/>
  <c r="AR14" i="43" s="1"/>
  <c r="AR91" i="44"/>
  <c r="AQ89" i="44"/>
  <c r="AR86" i="44"/>
  <c r="AR85" i="44"/>
  <c r="AR84" i="44"/>
  <c r="AR83" i="44"/>
  <c r="AQ82" i="44"/>
  <c r="AR81" i="44"/>
  <c r="AR80" i="44"/>
  <c r="AR73" i="44"/>
  <c r="AR72" i="44"/>
  <c r="AR71" i="44"/>
  <c r="AR65" i="44"/>
  <c r="AQ64" i="44"/>
  <c r="AR63" i="44"/>
  <c r="AR62" i="44"/>
  <c r="AR61" i="44"/>
  <c r="AR60" i="44"/>
  <c r="AR56" i="44"/>
  <c r="AR55" i="44"/>
  <c r="AR54" i="44"/>
  <c r="AR53" i="44"/>
  <c r="AR52" i="44"/>
  <c r="AR51" i="44"/>
  <c r="AR50" i="44"/>
  <c r="AR49" i="44"/>
  <c r="AR48" i="44"/>
  <c r="AR47" i="44"/>
  <c r="AR46" i="44"/>
  <c r="AR45" i="44"/>
  <c r="AR44" i="44"/>
  <c r="AR43" i="44"/>
  <c r="AR42" i="44"/>
  <c r="AQ40" i="44"/>
  <c r="AR39" i="44"/>
  <c r="AR38" i="44"/>
  <c r="AR36" i="44"/>
  <c r="AR35" i="44"/>
  <c r="AR31" i="44"/>
  <c r="AR30" i="44"/>
  <c r="AR29" i="44"/>
  <c r="AR27" i="44"/>
  <c r="AR26" i="44"/>
  <c r="AR25" i="44"/>
  <c r="AR21" i="44"/>
  <c r="AR19" i="44"/>
  <c r="AR18" i="44"/>
  <c r="AR17" i="44"/>
  <c r="AR15" i="44"/>
  <c r="AR14" i="44"/>
  <c r="AQ13" i="44"/>
  <c r="AQ16" i="44" s="1"/>
  <c r="AR12" i="44"/>
  <c r="AR13" i="44" s="1"/>
  <c r="AQ99" i="45"/>
  <c r="AQ97" i="45"/>
  <c r="AQ96" i="45"/>
  <c r="AQ95" i="45"/>
  <c r="AQ94" i="45"/>
  <c r="AQ93" i="45"/>
  <c r="AQ91" i="45"/>
  <c r="AQ90" i="45"/>
  <c r="AQ89" i="45"/>
  <c r="AQ86" i="45"/>
  <c r="AQ85" i="45"/>
  <c r="AQ84" i="45"/>
  <c r="AQ83" i="45"/>
  <c r="AQ80" i="45"/>
  <c r="AQ75" i="45"/>
  <c r="AQ74" i="45"/>
  <c r="AQ73" i="45"/>
  <c r="AQ72" i="45"/>
  <c r="AQ71" i="45"/>
  <c r="AQ70" i="45"/>
  <c r="AQ69" i="45"/>
  <c r="AQ68" i="45"/>
  <c r="AQ67" i="45"/>
  <c r="AQ66" i="45"/>
  <c r="AQ64" i="45"/>
  <c r="AQ63" i="45"/>
  <c r="AQ62" i="45"/>
  <c r="AQ61" i="45"/>
  <c r="AQ60" i="45"/>
  <c r="AQ59" i="45"/>
  <c r="AQ58" i="45"/>
  <c r="AQ57" i="45"/>
  <c r="AQ56" i="45"/>
  <c r="AQ54" i="45"/>
  <c r="AQ53" i="45"/>
  <c r="AQ47" i="45"/>
  <c r="AQ46" i="45"/>
  <c r="AQ45" i="45"/>
  <c r="AQ44" i="45"/>
  <c r="AQ43" i="45"/>
  <c r="AQ42" i="45"/>
  <c r="AQ41" i="45"/>
  <c r="AQ40" i="45"/>
  <c r="AQ36" i="45"/>
  <c r="AQ39" i="45" s="1"/>
  <c r="AQ33" i="45"/>
  <c r="AQ32" i="45"/>
  <c r="AQ31" i="45"/>
  <c r="AQ30" i="45"/>
  <c r="AQ29" i="45"/>
  <c r="AQ28" i="45"/>
  <c r="AQ27" i="45"/>
  <c r="AQ25" i="45"/>
  <c r="AQ24" i="45"/>
  <c r="AQ23" i="45"/>
  <c r="AQ22" i="45"/>
  <c r="AQ20" i="45"/>
  <c r="AQ19" i="45"/>
  <c r="AQ18" i="45"/>
  <c r="AQ17" i="45"/>
  <c r="AQ15" i="45"/>
  <c r="AQ14" i="45"/>
  <c r="AQ13" i="45"/>
  <c r="AQ12" i="45"/>
  <c r="AO65" i="46"/>
  <c r="AP64" i="46"/>
  <c r="AP65" i="46" s="1"/>
  <c r="AO62" i="46"/>
  <c r="AP61" i="46"/>
  <c r="AP60" i="46"/>
  <c r="AP59" i="46"/>
  <c r="AP56" i="46"/>
  <c r="AP52" i="46"/>
  <c r="AP51" i="46"/>
  <c r="AP50" i="46"/>
  <c r="AP49" i="46"/>
  <c r="AP48" i="46"/>
  <c r="AP47" i="46"/>
  <c r="AP46" i="46"/>
  <c r="AP45" i="46"/>
  <c r="AP44" i="46"/>
  <c r="AP41" i="46"/>
  <c r="AO42" i="46"/>
  <c r="AP39" i="46"/>
  <c r="AP38" i="46"/>
  <c r="AO35" i="46"/>
  <c r="AP34" i="46"/>
  <c r="AP35" i="46" s="1"/>
  <c r="AO32" i="46"/>
  <c r="AP31" i="46"/>
  <c r="AP30" i="46"/>
  <c r="AP29" i="46"/>
  <c r="AP28" i="46"/>
  <c r="AP27" i="46"/>
  <c r="AO25" i="46"/>
  <c r="AP24" i="46"/>
  <c r="AP23" i="46"/>
  <c r="AP22" i="46"/>
  <c r="AP21" i="46"/>
  <c r="AP20" i="46"/>
  <c r="AO17" i="46"/>
  <c r="AP16" i="46"/>
  <c r="AP17" i="46" s="1"/>
  <c r="AO15" i="46"/>
  <c r="AP14" i="46"/>
  <c r="AP13" i="46"/>
  <c r="AP12" i="46"/>
  <c r="AQ50" i="47"/>
  <c r="AR49" i="47"/>
  <c r="AR48" i="47"/>
  <c r="AR43" i="47"/>
  <c r="AR41" i="47"/>
  <c r="AR40" i="47"/>
  <c r="AR39" i="47"/>
  <c r="AR38" i="47"/>
  <c r="AR37" i="47"/>
  <c r="AR36" i="47"/>
  <c r="AQ35" i="47"/>
  <c r="AQ45" i="47" s="1"/>
  <c r="AQ33" i="47"/>
  <c r="AR32" i="47"/>
  <c r="AR31" i="47"/>
  <c r="AR29" i="47"/>
  <c r="AR25" i="47"/>
  <c r="AQ23" i="47"/>
  <c r="AR23" i="47" s="1"/>
  <c r="AR22" i="47"/>
  <c r="AR21" i="47"/>
  <c r="AR19" i="47"/>
  <c r="AR18" i="47"/>
  <c r="AQ17" i="47"/>
  <c r="AR17" i="47" s="1"/>
  <c r="AQ15" i="47"/>
  <c r="AR14" i="47"/>
  <c r="AR13" i="47"/>
  <c r="AR12" i="47"/>
  <c r="AP34" i="26"/>
  <c r="AO34" i="26"/>
  <c r="AP27" i="26"/>
  <c r="AO27" i="26"/>
  <c r="AP22" i="26"/>
  <c r="AO22" i="26"/>
  <c r="AO18" i="26"/>
  <c r="AP16" i="26"/>
  <c r="AP18" i="26" s="1"/>
  <c r="AO14" i="26"/>
  <c r="AP13" i="26"/>
  <c r="AP14" i="26" s="1"/>
  <c r="AN55" i="25"/>
  <c r="AO54" i="25"/>
  <c r="AO53" i="25"/>
  <c r="AO52" i="25"/>
  <c r="AO51" i="25"/>
  <c r="AO50" i="25"/>
  <c r="AN48" i="25"/>
  <c r="AO47" i="25"/>
  <c r="AO46" i="25"/>
  <c r="AO45" i="25"/>
  <c r="AO43" i="25"/>
  <c r="AO42" i="25"/>
  <c r="AO41" i="25"/>
  <c r="AO40" i="25"/>
  <c r="AO39" i="25"/>
  <c r="AO38" i="25"/>
  <c r="AO37" i="25"/>
  <c r="AO36" i="25"/>
  <c r="AO35" i="25"/>
  <c r="AO34" i="25"/>
  <c r="AN30" i="25"/>
  <c r="AO29" i="25"/>
  <c r="AO28" i="25"/>
  <c r="AO27" i="25"/>
  <c r="AO26" i="25"/>
  <c r="AO25" i="25"/>
  <c r="AO24" i="25"/>
  <c r="AO23" i="25"/>
  <c r="AO22" i="25"/>
  <c r="AO21" i="25"/>
  <c r="AO20" i="25"/>
  <c r="AO16" i="25"/>
  <c r="AN16" i="25"/>
  <c r="AN45" i="41"/>
  <c r="AO44" i="41"/>
  <c r="AO43" i="41"/>
  <c r="AO42" i="41"/>
  <c r="AO41" i="41"/>
  <c r="AO40" i="41"/>
  <c r="AO39" i="41"/>
  <c r="AO38" i="41"/>
  <c r="AN37" i="41"/>
  <c r="AO35" i="41"/>
  <c r="AO33" i="41"/>
  <c r="AO31" i="41"/>
  <c r="AO29" i="41"/>
  <c r="AO28" i="41"/>
  <c r="AO27" i="41"/>
  <c r="AO26" i="41"/>
  <c r="AO25" i="41"/>
  <c r="AO24" i="41"/>
  <c r="AO23" i="41"/>
  <c r="AO22" i="41"/>
  <c r="AO21" i="41"/>
  <c r="AN20" i="41"/>
  <c r="AO19" i="41"/>
  <c r="AO18" i="41"/>
  <c r="AO17" i="41"/>
  <c r="AO16" i="41"/>
  <c r="AO13" i="41"/>
  <c r="AO12" i="41"/>
  <c r="AP52" i="42"/>
  <c r="AQ51" i="42"/>
  <c r="AQ50" i="42"/>
  <c r="AQ49" i="42"/>
  <c r="AQ48" i="42"/>
  <c r="AQ47" i="42"/>
  <c r="AP46" i="42"/>
  <c r="AQ45" i="42"/>
  <c r="AQ43" i="42"/>
  <c r="AQ42" i="42"/>
  <c r="AQ41" i="42"/>
  <c r="AP39" i="42"/>
  <c r="AQ38" i="42"/>
  <c r="AQ36" i="42"/>
  <c r="AQ35" i="42"/>
  <c r="AQ33" i="42"/>
  <c r="AQ31" i="42"/>
  <c r="AQ30" i="42"/>
  <c r="AP28" i="42"/>
  <c r="AQ27" i="42"/>
  <c r="AQ23" i="42"/>
  <c r="AQ22" i="42"/>
  <c r="AQ21" i="42"/>
  <c r="AP19" i="42"/>
  <c r="AQ18" i="42"/>
  <c r="AQ19" i="42" s="1"/>
  <c r="AP15" i="42"/>
  <c r="AQ14" i="42"/>
  <c r="AQ12" i="42"/>
  <c r="AQ11" i="42"/>
  <c r="AO64" i="43"/>
  <c r="AP63" i="43"/>
  <c r="AP64" i="43"/>
  <c r="AO59" i="43"/>
  <c r="AP58" i="43"/>
  <c r="AP55" i="43"/>
  <c r="AP54" i="43"/>
  <c r="AP52" i="43"/>
  <c r="AP51" i="43"/>
  <c r="AP50" i="43"/>
  <c r="AP49" i="43"/>
  <c r="AP48" i="43"/>
  <c r="AP47" i="43"/>
  <c r="AP46" i="43"/>
  <c r="AP45" i="43"/>
  <c r="AO44" i="43"/>
  <c r="AP43" i="43"/>
  <c r="AP42" i="43"/>
  <c r="AP41" i="43"/>
  <c r="AP40" i="43"/>
  <c r="AP39" i="43"/>
  <c r="AP38" i="43"/>
  <c r="AO37" i="43"/>
  <c r="AP36" i="43"/>
  <c r="AP34" i="43"/>
  <c r="AP33" i="43"/>
  <c r="AP32" i="43"/>
  <c r="AP31" i="43"/>
  <c r="AP29" i="43"/>
  <c r="AP28" i="43"/>
  <c r="AP26" i="43"/>
  <c r="AP25" i="43"/>
  <c r="AP24" i="43"/>
  <c r="AP23" i="43"/>
  <c r="AO22" i="43"/>
  <c r="AP21" i="43"/>
  <c r="AP19" i="43"/>
  <c r="AP18" i="43"/>
  <c r="AP17" i="43"/>
  <c r="AP16" i="43"/>
  <c r="AP15" i="43"/>
  <c r="AO14" i="43"/>
  <c r="AP13" i="43"/>
  <c r="AP11" i="43"/>
  <c r="AO89" i="44"/>
  <c r="AP86" i="44"/>
  <c r="AP84" i="44"/>
  <c r="AP83" i="44"/>
  <c r="AO82" i="44"/>
  <c r="AP81" i="44"/>
  <c r="AP80" i="44"/>
  <c r="AP73" i="44"/>
  <c r="AP72" i="44"/>
  <c r="AP71" i="44"/>
  <c r="AP65" i="44"/>
  <c r="AO64" i="44"/>
  <c r="AP63" i="44"/>
  <c r="AP62" i="44"/>
  <c r="AP61" i="44"/>
  <c r="AP60" i="44"/>
  <c r="AP57" i="44"/>
  <c r="AP56" i="44"/>
  <c r="AP55" i="44"/>
  <c r="AP54" i="44"/>
  <c r="AP53" i="44"/>
  <c r="AP52" i="44"/>
  <c r="AP51" i="44"/>
  <c r="AP50" i="44"/>
  <c r="AP49" i="44"/>
  <c r="AP48" i="44"/>
  <c r="AP47" i="44"/>
  <c r="AP46" i="44"/>
  <c r="AP43" i="44"/>
  <c r="AP42" i="44"/>
  <c r="AO40" i="44"/>
  <c r="AP39" i="44"/>
  <c r="AP38" i="44"/>
  <c r="AP36" i="44"/>
  <c r="AP35" i="44"/>
  <c r="AP31" i="44"/>
  <c r="AP30" i="44"/>
  <c r="AP29" i="44"/>
  <c r="AP27" i="44"/>
  <c r="AP26" i="44"/>
  <c r="AP25" i="44"/>
  <c r="AP21" i="44"/>
  <c r="AP19" i="44"/>
  <c r="AP18" i="44"/>
  <c r="AP17" i="44"/>
  <c r="AP15" i="44"/>
  <c r="AP14" i="44"/>
  <c r="AO13" i="44"/>
  <c r="AO16" i="44" s="1"/>
  <c r="AP12" i="44"/>
  <c r="AP13" i="44" s="1"/>
  <c r="AO99" i="45"/>
  <c r="AO98" i="45"/>
  <c r="AO97" i="45"/>
  <c r="AO96" i="45"/>
  <c r="AO95" i="45"/>
  <c r="AO94" i="45"/>
  <c r="AO93" i="45"/>
  <c r="AO91" i="45"/>
  <c r="AO90" i="45"/>
  <c r="AO89" i="45"/>
  <c r="AO88" i="45"/>
  <c r="AO86" i="45"/>
  <c r="AO85" i="45"/>
  <c r="AO83" i="45"/>
  <c r="AO80" i="45"/>
  <c r="AO79" i="45"/>
  <c r="AO75" i="45"/>
  <c r="AO74" i="45"/>
  <c r="AO73" i="45"/>
  <c r="AO72" i="45"/>
  <c r="AO71" i="45"/>
  <c r="AO70" i="45"/>
  <c r="AO69" i="45"/>
  <c r="AO68" i="45"/>
  <c r="AO67" i="45"/>
  <c r="AO66" i="45"/>
  <c r="AO65" i="45"/>
  <c r="AO64" i="45"/>
  <c r="AO63" i="45"/>
  <c r="AO62" i="45"/>
  <c r="AO61" i="45"/>
  <c r="AO60" i="45"/>
  <c r="AO59" i="45"/>
  <c r="AO58" i="45"/>
  <c r="AO57" i="45"/>
  <c r="AO54" i="45"/>
  <c r="AO53" i="45"/>
  <c r="AO51" i="45"/>
  <c r="AO50" i="45"/>
  <c r="AO48" i="45"/>
  <c r="AO47" i="45"/>
  <c r="AO46" i="45"/>
  <c r="AO45" i="45"/>
  <c r="AO44" i="45"/>
  <c r="AO43" i="45"/>
  <c r="AO42" i="45"/>
  <c r="AO41" i="45"/>
  <c r="AO40" i="45"/>
  <c r="AO36" i="45"/>
  <c r="AO39" i="45" s="1"/>
  <c r="AO33" i="45"/>
  <c r="AO32" i="45"/>
  <c r="AO31" i="45"/>
  <c r="AO30" i="45"/>
  <c r="AO29" i="45"/>
  <c r="AO28" i="45"/>
  <c r="AO27" i="45"/>
  <c r="AO26" i="45"/>
  <c r="AO25" i="45"/>
  <c r="AO24" i="45"/>
  <c r="AO23" i="45"/>
  <c r="AO22" i="45"/>
  <c r="AO20" i="45"/>
  <c r="AO19" i="45"/>
  <c r="AO18" i="45"/>
  <c r="AO17" i="45"/>
  <c r="AO15" i="45"/>
  <c r="AO13" i="45"/>
  <c r="AO12" i="45"/>
  <c r="AM65" i="46"/>
  <c r="AN64" i="46"/>
  <c r="AN65" i="46" s="1"/>
  <c r="AM62" i="46"/>
  <c r="AN61" i="46"/>
  <c r="AN60" i="46"/>
  <c r="AN59" i="46"/>
  <c r="AM56" i="46"/>
  <c r="AN56" i="46"/>
  <c r="AN52" i="46"/>
  <c r="AN51" i="46"/>
  <c r="AN50" i="46"/>
  <c r="AN49" i="46"/>
  <c r="AN48" i="46"/>
  <c r="AN47" i="46"/>
  <c r="AN46" i="46"/>
  <c r="AN45" i="46"/>
  <c r="AN44" i="46"/>
  <c r="AN41" i="46"/>
  <c r="AM42" i="46"/>
  <c r="AN39" i="46"/>
  <c r="AN38" i="46"/>
  <c r="AM35" i="46"/>
  <c r="AN34" i="46"/>
  <c r="AN35" i="46" s="1"/>
  <c r="AM32" i="46"/>
  <c r="AN31" i="46"/>
  <c r="AN30" i="46"/>
  <c r="AN29" i="46"/>
  <c r="AN28" i="46"/>
  <c r="AN27" i="46"/>
  <c r="AN24" i="46"/>
  <c r="AN23" i="46"/>
  <c r="AN22" i="46"/>
  <c r="AM25" i="46"/>
  <c r="AN20" i="46"/>
  <c r="AM17" i="46"/>
  <c r="AN16" i="46"/>
  <c r="AN17" i="46" s="1"/>
  <c r="AM15" i="46"/>
  <c r="AN14" i="46"/>
  <c r="AN13" i="46"/>
  <c r="AN12" i="46"/>
  <c r="AO50" i="47"/>
  <c r="AP49" i="47"/>
  <c r="AP48" i="47"/>
  <c r="AP47" i="47"/>
  <c r="AP44" i="47"/>
  <c r="AP43" i="47"/>
  <c r="AP41" i="47"/>
  <c r="AP40" i="47"/>
  <c r="AP39" i="47"/>
  <c r="AP38" i="47"/>
  <c r="AP37" i="47"/>
  <c r="AP36" i="47"/>
  <c r="AO35" i="47"/>
  <c r="AO33" i="47"/>
  <c r="AP32" i="47"/>
  <c r="AP31" i="47"/>
  <c r="AP29" i="47"/>
  <c r="AP25" i="47"/>
  <c r="AO23" i="47"/>
  <c r="AP23" i="47" s="1"/>
  <c r="AP22" i="47"/>
  <c r="AP21" i="47"/>
  <c r="AP19" i="47"/>
  <c r="AP18" i="47"/>
  <c r="AP17" i="47"/>
  <c r="AO15" i="47"/>
  <c r="AP14" i="47"/>
  <c r="AP13" i="47"/>
  <c r="AP12" i="47"/>
  <c r="AP10" i="47"/>
  <c r="AM34" i="26"/>
  <c r="AN33" i="26"/>
  <c r="AN32" i="26"/>
  <c r="AN31" i="26"/>
  <c r="AN30" i="26"/>
  <c r="AN29" i="26"/>
  <c r="AN28" i="26"/>
  <c r="AM27" i="26"/>
  <c r="AN26" i="26"/>
  <c r="AN25" i="26"/>
  <c r="AN24" i="26"/>
  <c r="AN23" i="26"/>
  <c r="AM22" i="26"/>
  <c r="AN21" i="26"/>
  <c r="AN20" i="26"/>
  <c r="AM18" i="26"/>
  <c r="AN17" i="26"/>
  <c r="AN16" i="26"/>
  <c r="AM14" i="26"/>
  <c r="AN13" i="26"/>
  <c r="AN12" i="26"/>
  <c r="AL55" i="25"/>
  <c r="AM54" i="25"/>
  <c r="AM53" i="25"/>
  <c r="AM52" i="25"/>
  <c r="AM51" i="25"/>
  <c r="AM50" i="25"/>
  <c r="AL48" i="25"/>
  <c r="AM47" i="25"/>
  <c r="AM45" i="25"/>
  <c r="AM43" i="25"/>
  <c r="AM42" i="25"/>
  <c r="AM41" i="25"/>
  <c r="AM40" i="25"/>
  <c r="AM39" i="25"/>
  <c r="AM38" i="25"/>
  <c r="AM37" i="25"/>
  <c r="AM36" i="25"/>
  <c r="AM35" i="25"/>
  <c r="AM34" i="25"/>
  <c r="AL30" i="25"/>
  <c r="AM29" i="25"/>
  <c r="AM28" i="25"/>
  <c r="AM27" i="25"/>
  <c r="AM26" i="25"/>
  <c r="AM25" i="25"/>
  <c r="AM24" i="25"/>
  <c r="AM23" i="25"/>
  <c r="AM22" i="25"/>
  <c r="AM21" i="25"/>
  <c r="AM20" i="25"/>
  <c r="AM17" i="25"/>
  <c r="AL16" i="25"/>
  <c r="AM14" i="25"/>
  <c r="AM13" i="25"/>
  <c r="AM12" i="25"/>
  <c r="AL45" i="41"/>
  <c r="AM44" i="41"/>
  <c r="AM43" i="41"/>
  <c r="AM42" i="41"/>
  <c r="AM41" i="41"/>
  <c r="AM40" i="41"/>
  <c r="AM39" i="41"/>
  <c r="AM38" i="41"/>
  <c r="AL37" i="41"/>
  <c r="AM35" i="41"/>
  <c r="AM34" i="41"/>
  <c r="AM33" i="41"/>
  <c r="AM31" i="41"/>
  <c r="AM29" i="41"/>
  <c r="AM28" i="41"/>
  <c r="AM26" i="41"/>
  <c r="AM25" i="41"/>
  <c r="AM22" i="41"/>
  <c r="AM21" i="41"/>
  <c r="AL20" i="41"/>
  <c r="AM19" i="41"/>
  <c r="AM17" i="41"/>
  <c r="AM16" i="41"/>
  <c r="AM15" i="41"/>
  <c r="AM13" i="41"/>
  <c r="AM12" i="41"/>
  <c r="AN52" i="42"/>
  <c r="AO51" i="42"/>
  <c r="AO50" i="42"/>
  <c r="AO49" i="42"/>
  <c r="AO48" i="42"/>
  <c r="AO47" i="42"/>
  <c r="AN46" i="42"/>
  <c r="AO45" i="42"/>
  <c r="AO44" i="42"/>
  <c r="AO43" i="42"/>
  <c r="AO42" i="42"/>
  <c r="AO41" i="42"/>
  <c r="AN39" i="42"/>
  <c r="AO38" i="42"/>
  <c r="AO36" i="42"/>
  <c r="AO35" i="42"/>
  <c r="AO33" i="42"/>
  <c r="AO31" i="42"/>
  <c r="AO30" i="42"/>
  <c r="AN28" i="42"/>
  <c r="AO27" i="42"/>
  <c r="AO24" i="42"/>
  <c r="AO22" i="42"/>
  <c r="AO21" i="42"/>
  <c r="AN19" i="42"/>
  <c r="AO18" i="42"/>
  <c r="AO17" i="42"/>
  <c r="AN15" i="42"/>
  <c r="AO14" i="42"/>
  <c r="AO12" i="42"/>
  <c r="AO11" i="42"/>
  <c r="AM64" i="43"/>
  <c r="AN64" i="43"/>
  <c r="AM59" i="43"/>
  <c r="AN58" i="43"/>
  <c r="AN57" i="43"/>
  <c r="AN56" i="43"/>
  <c r="AN55" i="43"/>
  <c r="AN54" i="43"/>
  <c r="AN52" i="43"/>
  <c r="AN50" i="43"/>
  <c r="AN49" i="43"/>
  <c r="AN48" i="43"/>
  <c r="AN47" i="43"/>
  <c r="AN46" i="43"/>
  <c r="AM44" i="43"/>
  <c r="AN43" i="43"/>
  <c r="AN42" i="43"/>
  <c r="AN41" i="43"/>
  <c r="AN40" i="43"/>
  <c r="AN39" i="43"/>
  <c r="AM37" i="43"/>
  <c r="AN36" i="43"/>
  <c r="AN34" i="43"/>
  <c r="AN33" i="43"/>
  <c r="AN32" i="43"/>
  <c r="AN31" i="43"/>
  <c r="AN30" i="43"/>
  <c r="AN29" i="43"/>
  <c r="AN28" i="43"/>
  <c r="AN25" i="43"/>
  <c r="AN24" i="43"/>
  <c r="AM22" i="43"/>
  <c r="AN19" i="43"/>
  <c r="AN18" i="43"/>
  <c r="AN17" i="43"/>
  <c r="AN16" i="43"/>
  <c r="AM14" i="43"/>
  <c r="AN13" i="43"/>
  <c r="AN11" i="43"/>
  <c r="AN91" i="44"/>
  <c r="AM89" i="44"/>
  <c r="AN86" i="44"/>
  <c r="AN85" i="44"/>
  <c r="AN84" i="44"/>
  <c r="AN83" i="44"/>
  <c r="AM82" i="44"/>
  <c r="AN81" i="44"/>
  <c r="AN80" i="44"/>
  <c r="AN79" i="44"/>
  <c r="AN73" i="44"/>
  <c r="AN72" i="44"/>
  <c r="AN71" i="44"/>
  <c r="AN65" i="44"/>
  <c r="AM64" i="44"/>
  <c r="AN63" i="44"/>
  <c r="AN62" i="44"/>
  <c r="AN61" i="44"/>
  <c r="AN60" i="44"/>
  <c r="AN59" i="44"/>
  <c r="AN58" i="44"/>
  <c r="AN57" i="44"/>
  <c r="AN56" i="44"/>
  <c r="AN55" i="44"/>
  <c r="AN54" i="44"/>
  <c r="AN53" i="44"/>
  <c r="AN52" i="44"/>
  <c r="AN51" i="44"/>
  <c r="AN49" i="44"/>
  <c r="AN48" i="44"/>
  <c r="AN47" i="44"/>
  <c r="AN46" i="44"/>
  <c r="AN45" i="44"/>
  <c r="AN44" i="44"/>
  <c r="AN43" i="44"/>
  <c r="AM40" i="44"/>
  <c r="AN39" i="44"/>
  <c r="AN38" i="44"/>
  <c r="AN36" i="44"/>
  <c r="AN35" i="44"/>
  <c r="AN30" i="44"/>
  <c r="AN29" i="44"/>
  <c r="AN27" i="44"/>
  <c r="AN26" i="44"/>
  <c r="AN25" i="44"/>
  <c r="AN21" i="44"/>
  <c r="AN19" i="44"/>
  <c r="AN18" i="44"/>
  <c r="AN17" i="44"/>
  <c r="AN15" i="44"/>
  <c r="AN14" i="44"/>
  <c r="AM13" i="44"/>
  <c r="AM16" i="44" s="1"/>
  <c r="AN12" i="44"/>
  <c r="AN13" i="44" s="1"/>
  <c r="AM99" i="45"/>
  <c r="AM98" i="45"/>
  <c r="AM97" i="45"/>
  <c r="AM96" i="45"/>
  <c r="AM95" i="45"/>
  <c r="AM94" i="45"/>
  <c r="AM93" i="45"/>
  <c r="AM91" i="45"/>
  <c r="AM90" i="45"/>
  <c r="AM89" i="45"/>
  <c r="AM88" i="45"/>
  <c r="AM86" i="45"/>
  <c r="AM83" i="45"/>
  <c r="AM81" i="45"/>
  <c r="AM80" i="45"/>
  <c r="AM78" i="45"/>
  <c r="AM75" i="45"/>
  <c r="AM74" i="45"/>
  <c r="AM73" i="45"/>
  <c r="AM72" i="45"/>
  <c r="AM71" i="45"/>
  <c r="AM70" i="45"/>
  <c r="AM69" i="45"/>
  <c r="AM68" i="45"/>
  <c r="AM67" i="45"/>
  <c r="AM66" i="45"/>
  <c r="AM65" i="45"/>
  <c r="AM64" i="45"/>
  <c r="AM63" i="45"/>
  <c r="AM62" i="45"/>
  <c r="AM61" i="45"/>
  <c r="AM60" i="45"/>
  <c r="AM59" i="45"/>
  <c r="AM58" i="45"/>
  <c r="AM57" i="45"/>
  <c r="AM54" i="45"/>
  <c r="AM53" i="45"/>
  <c r="AM45" i="45"/>
  <c r="AM44" i="45"/>
  <c r="AM43" i="45"/>
  <c r="AM42" i="45"/>
  <c r="AM41" i="45"/>
  <c r="AM40" i="45"/>
  <c r="AM36" i="45"/>
  <c r="AM39" i="45" s="1"/>
  <c r="AM33" i="45"/>
  <c r="AM32" i="45"/>
  <c r="AM31" i="45"/>
  <c r="AM30" i="45"/>
  <c r="AM29" i="45"/>
  <c r="AM28" i="45"/>
  <c r="AM27" i="45"/>
  <c r="AM25" i="45"/>
  <c r="AM24" i="45"/>
  <c r="AM23" i="45"/>
  <c r="AM22" i="45"/>
  <c r="AM19" i="45"/>
  <c r="AM18" i="45"/>
  <c r="AM17" i="45"/>
  <c r="AM15" i="45"/>
  <c r="AM14" i="45"/>
  <c r="AM13" i="45"/>
  <c r="AM12" i="45"/>
  <c r="AK65" i="46"/>
  <c r="AL64" i="46"/>
  <c r="AL65" i="46" s="1"/>
  <c r="AK62" i="46"/>
  <c r="AL61" i="46"/>
  <c r="AL60" i="46"/>
  <c r="AL59" i="46"/>
  <c r="AL56" i="46"/>
  <c r="AK53" i="46"/>
  <c r="AL51" i="46"/>
  <c r="AL50" i="46"/>
  <c r="AL49" i="46"/>
  <c r="AL48" i="46"/>
  <c r="AL47" i="46"/>
  <c r="AL46" i="46"/>
  <c r="AL45" i="46"/>
  <c r="AL44" i="46"/>
  <c r="AK42" i="46"/>
  <c r="AL41" i="46"/>
  <c r="AL40" i="46"/>
  <c r="AL39" i="46"/>
  <c r="AL38" i="46"/>
  <c r="AK35" i="46"/>
  <c r="AL34" i="46"/>
  <c r="AL35" i="46" s="1"/>
  <c r="AK32" i="46"/>
  <c r="AL31" i="46"/>
  <c r="AL30" i="46"/>
  <c r="AL29" i="46"/>
  <c r="AL28" i="46"/>
  <c r="AL27" i="46"/>
  <c r="AK25" i="46"/>
  <c r="AL24" i="46"/>
  <c r="AL23" i="46"/>
  <c r="AL22" i="46"/>
  <c r="AL21" i="46"/>
  <c r="AL20" i="46"/>
  <c r="AK17" i="46"/>
  <c r="AL16" i="46"/>
  <c r="AL17" i="46" s="1"/>
  <c r="AK15" i="46"/>
  <c r="AL14" i="46"/>
  <c r="AL13" i="46"/>
  <c r="AL12" i="46"/>
  <c r="AN49" i="47"/>
  <c r="AN48" i="47"/>
  <c r="AM47" i="47"/>
  <c r="AM50" i="47" s="1"/>
  <c r="AN43" i="47"/>
  <c r="AN41" i="47"/>
  <c r="AN40" i="47"/>
  <c r="AN39" i="47"/>
  <c r="AN38" i="47"/>
  <c r="AN37" i="47"/>
  <c r="AN36" i="47"/>
  <c r="AM35" i="47"/>
  <c r="AM45" i="47" s="1"/>
  <c r="AM33" i="47"/>
  <c r="AN32" i="47"/>
  <c r="AN31" i="47"/>
  <c r="AN29" i="47"/>
  <c r="AN25" i="47"/>
  <c r="AM23" i="47"/>
  <c r="AM26" i="47" s="1"/>
  <c r="AN22" i="47"/>
  <c r="AN21" i="47"/>
  <c r="AN19" i="47"/>
  <c r="AN18" i="47"/>
  <c r="AN17" i="47"/>
  <c r="AM15" i="47"/>
  <c r="AN14" i="47"/>
  <c r="AN13" i="47"/>
  <c r="AN12" i="47"/>
  <c r="AN10" i="47"/>
  <c r="F56" i="51" l="1"/>
  <c r="BQ20" i="43"/>
  <c r="BS20" i="43" s="1"/>
  <c r="BW20" i="43" s="1"/>
  <c r="AR33" i="44"/>
  <c r="AT33" i="44"/>
  <c r="AX33" i="44"/>
  <c r="AN33" i="44"/>
  <c r="AP33" i="44"/>
  <c r="AV33" i="44"/>
  <c r="AM21" i="45"/>
  <c r="AS21" i="45"/>
  <c r="AU34" i="45"/>
  <c r="AW16" i="45"/>
  <c r="AM16" i="45"/>
  <c r="AN14" i="26"/>
  <c r="AO16" i="45"/>
  <c r="AR27" i="26"/>
  <c r="AS16" i="45"/>
  <c r="AU21" i="45"/>
  <c r="AS19" i="42"/>
  <c r="AO19" i="42"/>
  <c r="AM100" i="45"/>
  <c r="AO21" i="45"/>
  <c r="AO100" i="45"/>
  <c r="AQ100" i="45"/>
  <c r="AS34" i="45"/>
  <c r="AS100" i="45"/>
  <c r="AU52" i="45"/>
  <c r="AU100" i="45"/>
  <c r="AW21" i="45"/>
  <c r="AQ52" i="45"/>
  <c r="AU76" i="45"/>
  <c r="AQ34" i="45"/>
  <c r="AU16" i="45"/>
  <c r="AM52" i="45"/>
  <c r="AM76" i="45"/>
  <c r="AO76" i="45"/>
  <c r="AQ21" i="45"/>
  <c r="AQ76" i="45"/>
  <c r="AS52" i="45"/>
  <c r="AS76" i="45"/>
  <c r="AW100" i="45"/>
  <c r="AM34" i="45"/>
  <c r="AO34" i="45"/>
  <c r="AO52" i="45"/>
  <c r="AQ16" i="45"/>
  <c r="AW34" i="45"/>
  <c r="AW52" i="45"/>
  <c r="AW76" i="45"/>
  <c r="AN18" i="26"/>
  <c r="AO55" i="25"/>
  <c r="AP62" i="46"/>
  <c r="AU28" i="42"/>
  <c r="AU46" i="42"/>
  <c r="AS16" i="25"/>
  <c r="AN14" i="43"/>
  <c r="AU15" i="42"/>
  <c r="AU39" i="42"/>
  <c r="AN22" i="26"/>
  <c r="AY19" i="42"/>
  <c r="AW28" i="42"/>
  <c r="AR18" i="26"/>
  <c r="AT56" i="25"/>
  <c r="AX22" i="43"/>
  <c r="AO28" i="42"/>
  <c r="AQ39" i="42"/>
  <c r="AR40" i="44"/>
  <c r="AT22" i="26"/>
  <c r="AN50" i="47"/>
  <c r="AN27" i="26"/>
  <c r="AN35" i="26" s="1"/>
  <c r="AP22" i="43"/>
  <c r="AY39" i="42"/>
  <c r="AS15" i="42"/>
  <c r="AY15" i="42"/>
  <c r="AO15" i="42"/>
  <c r="AW15" i="42"/>
  <c r="AV44" i="43"/>
  <c r="AX44" i="43"/>
  <c r="AX14" i="43"/>
  <c r="AN22" i="43"/>
  <c r="AP44" i="43"/>
  <c r="AW39" i="42"/>
  <c r="AV37" i="43"/>
  <c r="AW19" i="42"/>
  <c r="AU52" i="42"/>
  <c r="AP59" i="43"/>
  <c r="AM65" i="43"/>
  <c r="AS37" i="41"/>
  <c r="AM45" i="41"/>
  <c r="AN46" i="41"/>
  <c r="AT46" i="41"/>
  <c r="AN16" i="44"/>
  <c r="AR16" i="44"/>
  <c r="AO90" i="44"/>
  <c r="AO92" i="44" s="1"/>
  <c r="AN82" i="44"/>
  <c r="AP89" i="44"/>
  <c r="AV89" i="44"/>
  <c r="AP101" i="45"/>
  <c r="AP102" i="45" s="1"/>
  <c r="AL101" i="45"/>
  <c r="AL102" i="45" s="1"/>
  <c r="AO45" i="47"/>
  <c r="AT23" i="47"/>
  <c r="AT26" i="47" s="1"/>
  <c r="AU45" i="47"/>
  <c r="AU51" i="47" s="1"/>
  <c r="AR50" i="47"/>
  <c r="AR42" i="46"/>
  <c r="AL42" i="46"/>
  <c r="AV42" i="46"/>
  <c r="AP15" i="46"/>
  <c r="AP25" i="46"/>
  <c r="AW46" i="42"/>
  <c r="AQ37" i="41"/>
  <c r="AM20" i="41"/>
  <c r="AQ20" i="41"/>
  <c r="AO20" i="41"/>
  <c r="AL32" i="46"/>
  <c r="AL53" i="46"/>
  <c r="AM16" i="25"/>
  <c r="AO45" i="41"/>
  <c r="AN56" i="25"/>
  <c r="AR101" i="45"/>
  <c r="AR102" i="45" s="1"/>
  <c r="AT89" i="44"/>
  <c r="AT59" i="43"/>
  <c r="AR56" i="25"/>
  <c r="AT27" i="26"/>
  <c r="AV53" i="42"/>
  <c r="AU20" i="41"/>
  <c r="AU45" i="41"/>
  <c r="AW26" i="47"/>
  <c r="AX53" i="42"/>
  <c r="AW55" i="25"/>
  <c r="AP40" i="46"/>
  <c r="AP42" i="46" s="1"/>
  <c r="AR89" i="44"/>
  <c r="AR37" i="43"/>
  <c r="AR44" i="43"/>
  <c r="AR59" i="43"/>
  <c r="AS39" i="42"/>
  <c r="AR53" i="42"/>
  <c r="AP46" i="41"/>
  <c r="AR14" i="26"/>
  <c r="AR15" i="46"/>
  <c r="AT64" i="44"/>
  <c r="AT44" i="43"/>
  <c r="AU19" i="42"/>
  <c r="AT53" i="42"/>
  <c r="AR46" i="41"/>
  <c r="AV64" i="44"/>
  <c r="AU37" i="41"/>
  <c r="AV32" i="46"/>
  <c r="AY46" i="42"/>
  <c r="AN64" i="44"/>
  <c r="AO39" i="42"/>
  <c r="AN53" i="42"/>
  <c r="AM37" i="41"/>
  <c r="AM55" i="25"/>
  <c r="AN32" i="46"/>
  <c r="AN40" i="46"/>
  <c r="AN42" i="46" s="1"/>
  <c r="AP53" i="42"/>
  <c r="AP32" i="46"/>
  <c r="AS28" i="42"/>
  <c r="AT82" i="44"/>
  <c r="AT14" i="26"/>
  <c r="AT62" i="46"/>
  <c r="AV40" i="44"/>
  <c r="AV82" i="44"/>
  <c r="AV59" i="43"/>
  <c r="AV62" i="46"/>
  <c r="AX37" i="43"/>
  <c r="AY52" i="42"/>
  <c r="AV46" i="41"/>
  <c r="AW45" i="41"/>
  <c r="AN40" i="44"/>
  <c r="AN89" i="44"/>
  <c r="AN37" i="43"/>
  <c r="AO46" i="42"/>
  <c r="AL46" i="41"/>
  <c r="AM35" i="26"/>
  <c r="AP64" i="44"/>
  <c r="AS46" i="42"/>
  <c r="AR22" i="26"/>
  <c r="AT40" i="44"/>
  <c r="AT37" i="43"/>
  <c r="AT42" i="46"/>
  <c r="AW52" i="42"/>
  <c r="AX50" i="47"/>
  <c r="AX16" i="44"/>
  <c r="AX40" i="44"/>
  <c r="AX64" i="44"/>
  <c r="AX82" i="44"/>
  <c r="AX89" i="44"/>
  <c r="AO52" i="42"/>
  <c r="AP40" i="44"/>
  <c r="AQ15" i="42"/>
  <c r="AQ52" i="42"/>
  <c r="AR82" i="44"/>
  <c r="AS52" i="42"/>
  <c r="AQ16" i="25"/>
  <c r="AS45" i="41"/>
  <c r="AL62" i="46"/>
  <c r="AN44" i="43"/>
  <c r="AN59" i="43"/>
  <c r="AP82" i="44"/>
  <c r="AQ28" i="42"/>
  <c r="AQ46" i="42"/>
  <c r="AO37" i="41"/>
  <c r="AR64" i="44"/>
  <c r="AQ45" i="41"/>
  <c r="AS20" i="41"/>
  <c r="AS53" i="46"/>
  <c r="AS66" i="46" s="1"/>
  <c r="AV22" i="43"/>
  <c r="AV101" i="45"/>
  <c r="AV102" i="45" s="1"/>
  <c r="AX59" i="43"/>
  <c r="AY28" i="42"/>
  <c r="AW20" i="41"/>
  <c r="AW37" i="41"/>
  <c r="AW90" i="44"/>
  <c r="AW92" i="44" s="1"/>
  <c r="AU90" i="44"/>
  <c r="AU92" i="44" s="1"/>
  <c r="AQ90" i="44"/>
  <c r="AQ92" i="44" s="1"/>
  <c r="AM90" i="44"/>
  <c r="AM92" i="44" s="1"/>
  <c r="AP33" i="47"/>
  <c r="AX33" i="47"/>
  <c r="AW35" i="26"/>
  <c r="AU35" i="26"/>
  <c r="AT18" i="26"/>
  <c r="AS35" i="26"/>
  <c r="AQ35" i="26"/>
  <c r="AO35" i="26"/>
  <c r="AP35" i="26"/>
  <c r="AU55" i="25"/>
  <c r="AQ55" i="25"/>
  <c r="AS55" i="25"/>
  <c r="AP56" i="25"/>
  <c r="AL56" i="25"/>
  <c r="AV56" i="25"/>
  <c r="AN34" i="26"/>
  <c r="AR34" i="26"/>
  <c r="AT34" i="26"/>
  <c r="AN62" i="46"/>
  <c r="AP37" i="43"/>
  <c r="AU65" i="43"/>
  <c r="AO65" i="43"/>
  <c r="AP14" i="43"/>
  <c r="AW65" i="43"/>
  <c r="AV14" i="43"/>
  <c r="AR22" i="43"/>
  <c r="AS90" i="44"/>
  <c r="AS92" i="44" s="1"/>
  <c r="AN101" i="45"/>
  <c r="AN102" i="45" s="1"/>
  <c r="AT101" i="45"/>
  <c r="AT102" i="45" s="1"/>
  <c r="AV25" i="46"/>
  <c r="AL25" i="46"/>
  <c r="AQ66" i="46"/>
  <c r="AK66" i="46"/>
  <c r="AV15" i="46"/>
  <c r="AT15" i="46"/>
  <c r="AN15" i="46"/>
  <c r="AL15" i="46"/>
  <c r="AQ26" i="47"/>
  <c r="AQ51" i="47" s="1"/>
  <c r="AR35" i="47"/>
  <c r="AR45" i="47" s="1"/>
  <c r="AV35" i="47"/>
  <c r="AV45" i="47" s="1"/>
  <c r="AV26" i="47"/>
  <c r="AT45" i="47"/>
  <c r="AV50" i="47"/>
  <c r="AN15" i="47"/>
  <c r="AP26" i="47"/>
  <c r="AR33" i="47"/>
  <c r="AN33" i="47"/>
  <c r="AT15" i="47"/>
  <c r="AT33" i="47"/>
  <c r="AX26" i="47"/>
  <c r="AV33" i="47"/>
  <c r="AP50" i="47"/>
  <c r="AX15" i="47"/>
  <c r="AR15" i="47"/>
  <c r="AV15" i="47"/>
  <c r="AP15" i="47"/>
  <c r="AX35" i="26"/>
  <c r="AV53" i="46"/>
  <c r="AU53" i="46"/>
  <c r="AU66" i="46" s="1"/>
  <c r="AX45" i="47"/>
  <c r="AW45" i="47"/>
  <c r="AV35" i="26"/>
  <c r="AV16" i="44"/>
  <c r="AT52" i="46"/>
  <c r="AT53" i="46" s="1"/>
  <c r="AT21" i="46"/>
  <c r="AT25" i="46" s="1"/>
  <c r="AT28" i="46"/>
  <c r="AT32" i="46" s="1"/>
  <c r="AS65" i="43"/>
  <c r="AT19" i="43"/>
  <c r="AT22" i="43" s="1"/>
  <c r="AT16" i="44"/>
  <c r="AR21" i="46"/>
  <c r="AR25" i="46" s="1"/>
  <c r="AR52" i="46"/>
  <c r="AR53" i="46" s="1"/>
  <c r="AR28" i="46"/>
  <c r="AR32" i="46" s="1"/>
  <c r="AS51" i="47"/>
  <c r="AQ65" i="43"/>
  <c r="AP53" i="46"/>
  <c r="AO53" i="46"/>
  <c r="AO66" i="46" s="1"/>
  <c r="AR26" i="47"/>
  <c r="AP16" i="44"/>
  <c r="AN53" i="46"/>
  <c r="AN21" i="46"/>
  <c r="AN25" i="46" s="1"/>
  <c r="AM53" i="46"/>
  <c r="AM66" i="46" s="1"/>
  <c r="AO26" i="47"/>
  <c r="AP35" i="47"/>
  <c r="AP45" i="47" s="1"/>
  <c r="AM51" i="47"/>
  <c r="AN23" i="47"/>
  <c r="AN26" i="47" s="1"/>
  <c r="AN35" i="47"/>
  <c r="AN45" i="47" s="1"/>
  <c r="AU53" i="42" l="1"/>
  <c r="AQ101" i="45"/>
  <c r="AQ102" i="45" s="1"/>
  <c r="AR35" i="26"/>
  <c r="AO53" i="42"/>
  <c r="AX65" i="43"/>
  <c r="AV65" i="43"/>
  <c r="AO51" i="47"/>
  <c r="AY53" i="42"/>
  <c r="AO101" i="45"/>
  <c r="AO102" i="45" s="1"/>
  <c r="AS101" i="45"/>
  <c r="AS102" i="45" s="1"/>
  <c r="AQ53" i="42"/>
  <c r="AR65" i="43"/>
  <c r="AN65" i="43"/>
  <c r="AP65" i="43"/>
  <c r="AT65" i="43"/>
  <c r="AS46" i="41"/>
  <c r="AS53" i="42"/>
  <c r="AU46" i="41"/>
  <c r="AP90" i="44"/>
  <c r="AP92" i="44" s="1"/>
  <c r="AN90" i="44"/>
  <c r="AN92" i="44" s="1"/>
  <c r="AV90" i="44"/>
  <c r="AV92" i="44" s="1"/>
  <c r="AT90" i="44"/>
  <c r="AT92" i="44" s="1"/>
  <c r="AM101" i="45"/>
  <c r="AM102" i="45" s="1"/>
  <c r="AU101" i="45"/>
  <c r="AU102" i="45" s="1"/>
  <c r="AW101" i="45"/>
  <c r="AW102" i="45" s="1"/>
  <c r="AW51" i="47"/>
  <c r="AP66" i="46"/>
  <c r="AW53" i="42"/>
  <c r="AW46" i="41"/>
  <c r="AQ46" i="41"/>
  <c r="AM46" i="41"/>
  <c r="AO46" i="41"/>
  <c r="AR90" i="44"/>
  <c r="AR92" i="44" s="1"/>
  <c r="AL66" i="46"/>
  <c r="AX90" i="44"/>
  <c r="AX92" i="44" s="1"/>
  <c r="AT51" i="47"/>
  <c r="AT35" i="26"/>
  <c r="AV66" i="46"/>
  <c r="AT66" i="46"/>
  <c r="AN66" i="46"/>
  <c r="AX51" i="47"/>
  <c r="AV51" i="47"/>
  <c r="AN51" i="47"/>
  <c r="AP51" i="47"/>
  <c r="AR51" i="47"/>
  <c r="AR66" i="46"/>
  <c r="AY30" i="41" l="1"/>
  <c r="AY26" i="41"/>
  <c r="AY25" i="41"/>
  <c r="AY24" i="41"/>
  <c r="AY23" i="41"/>
  <c r="BA34" i="42"/>
  <c r="AY51" i="45"/>
  <c r="AY50" i="47"/>
  <c r="BA26" i="41"/>
  <c r="BA25" i="41"/>
  <c r="BA24" i="41"/>
  <c r="BC34" i="42"/>
  <c r="BB51" i="43"/>
  <c r="BB88" i="44"/>
  <c r="BB87" i="44"/>
  <c r="BE82" i="45"/>
  <c r="BA51" i="45"/>
  <c r="BA50" i="45"/>
  <c r="BA49" i="45"/>
  <c r="BA48" i="45"/>
  <c r="BA47" i="45"/>
  <c r="BA46" i="45"/>
  <c r="BC94" i="45"/>
  <c r="BA50" i="47"/>
  <c r="BD87" i="44"/>
  <c r="BC50" i="47"/>
  <c r="BF27" i="43"/>
  <c r="BF88" i="44"/>
  <c r="BF87" i="44"/>
  <c r="BG50" i="45"/>
  <c r="BG49" i="45"/>
  <c r="BG48" i="45"/>
  <c r="BG47" i="45"/>
  <c r="BH42" i="47"/>
  <c r="AK30" i="41"/>
  <c r="AK26" i="41"/>
  <c r="AK24" i="41"/>
  <c r="AK23" i="41"/>
  <c r="AM34" i="42"/>
  <c r="AL27" i="43"/>
  <c r="AL88" i="44"/>
  <c r="AL87" i="44"/>
  <c r="AL42" i="47"/>
  <c r="AI26" i="41"/>
  <c r="AI25" i="41"/>
  <c r="AI24" i="41"/>
  <c r="AI23" i="41"/>
  <c r="AJ42" i="47"/>
  <c r="AG30" i="41"/>
  <c r="AG26" i="41"/>
  <c r="AG25" i="41"/>
  <c r="AG24" i="41"/>
  <c r="AI34" i="42"/>
  <c r="AH27" i="43"/>
  <c r="AG51" i="45"/>
  <c r="AG50" i="45"/>
  <c r="AG49" i="45"/>
  <c r="AH42" i="47"/>
  <c r="AE26" i="41"/>
  <c r="AE25" i="41"/>
  <c r="AE24" i="41"/>
  <c r="AF51" i="43"/>
  <c r="AF27" i="43"/>
  <c r="AF87" i="44"/>
  <c r="AE51" i="45"/>
  <c r="AF42" i="47"/>
  <c r="AD27" i="43" l="1"/>
  <c r="AD88" i="44"/>
  <c r="AD87" i="44"/>
  <c r="Y65" i="46"/>
  <c r="K37" i="41" l="1"/>
  <c r="M37" i="41"/>
  <c r="N37" i="41"/>
  <c r="O37" i="41"/>
  <c r="Q37" i="41"/>
  <c r="R37" i="41"/>
  <c r="V37" i="41"/>
  <c r="Z37" i="41"/>
  <c r="AB37" i="41"/>
  <c r="AD37" i="41"/>
  <c r="AF37" i="41"/>
  <c r="AH37" i="41"/>
  <c r="AJ37" i="41"/>
  <c r="AX37" i="41"/>
  <c r="AZ37" i="41"/>
  <c r="BB37" i="41"/>
  <c r="BD37" i="41"/>
  <c r="BF37" i="41"/>
  <c r="BH37" i="41"/>
  <c r="BJ32" i="41"/>
  <c r="F32" i="41" s="1"/>
  <c r="BK30" i="41"/>
  <c r="BK32" i="41"/>
  <c r="G32" i="41" s="1"/>
  <c r="BK36" i="41"/>
  <c r="G36" i="41" s="1"/>
  <c r="BK14" i="41"/>
  <c r="J45" i="41"/>
  <c r="K45" i="41"/>
  <c r="M45" i="41"/>
  <c r="N45" i="41"/>
  <c r="O45" i="41"/>
  <c r="P45" i="41"/>
  <c r="Q45" i="41"/>
  <c r="Z45" i="41"/>
  <c r="AB45" i="41"/>
  <c r="AD45" i="41"/>
  <c r="AF45" i="41"/>
  <c r="AH45" i="41"/>
  <c r="AJ45" i="41"/>
  <c r="AX45" i="41"/>
  <c r="AZ45" i="41"/>
  <c r="BB45" i="41"/>
  <c r="BD45" i="41"/>
  <c r="BF45" i="41"/>
  <c r="BH45" i="41"/>
  <c r="Z20" i="41"/>
  <c r="AB20" i="41"/>
  <c r="AD20" i="41"/>
  <c r="AF20" i="41"/>
  <c r="AH20" i="41"/>
  <c r="AJ20" i="41"/>
  <c r="AX20" i="41"/>
  <c r="AZ20" i="41"/>
  <c r="BB20" i="41"/>
  <c r="BD20" i="41"/>
  <c r="BF20" i="41"/>
  <c r="BH20" i="41"/>
  <c r="I13" i="44"/>
  <c r="J13" i="44"/>
  <c r="K13" i="44"/>
  <c r="L13" i="44"/>
  <c r="M13" i="44"/>
  <c r="O13" i="44"/>
  <c r="P13" i="44"/>
  <c r="Q13" i="44"/>
  <c r="R13" i="44"/>
  <c r="AA13" i="44"/>
  <c r="AC13" i="44"/>
  <c r="AE13" i="44"/>
  <c r="AG13" i="44"/>
  <c r="AI13" i="44"/>
  <c r="AK13" i="44"/>
  <c r="AY13" i="44"/>
  <c r="BA13" i="44"/>
  <c r="BC13" i="44"/>
  <c r="BE13" i="44"/>
  <c r="BG13" i="44"/>
  <c r="BI13" i="44"/>
  <c r="K89" i="44"/>
  <c r="L89" i="44"/>
  <c r="M89" i="44"/>
  <c r="N89" i="44"/>
  <c r="O89" i="44"/>
  <c r="P89" i="44"/>
  <c r="BH46" i="41" l="1"/>
  <c r="Z46" i="41"/>
  <c r="AZ46" i="41"/>
  <c r="BB46" i="41"/>
  <c r="BD46" i="41"/>
  <c r="BF46" i="41"/>
  <c r="AJ46" i="41"/>
  <c r="AH46" i="41"/>
  <c r="AF46" i="41"/>
  <c r="AD46" i="41"/>
  <c r="AB46" i="41"/>
  <c r="AX46" i="41"/>
  <c r="BD19" i="47"/>
  <c r="AL19" i="47"/>
  <c r="AF19" i="47"/>
  <c r="BK27" i="43"/>
  <c r="G27" i="43" s="1"/>
  <c r="BL27" i="43"/>
  <c r="H27" i="43" s="1"/>
  <c r="K27" i="43" s="1"/>
  <c r="BJ14" i="41"/>
  <c r="F14" i="41" s="1"/>
  <c r="BJ36" i="41"/>
  <c r="F36" i="41" s="1"/>
  <c r="J36" i="41"/>
  <c r="J37" i="41" s="1"/>
  <c r="BL24" i="42"/>
  <c r="H24" i="42" s="1"/>
  <c r="I24" i="42" s="1"/>
  <c r="L24" i="42" s="1"/>
  <c r="BM24" i="42"/>
  <c r="G14" i="41" l="1"/>
  <c r="L14" i="41" s="1"/>
  <c r="BK15" i="25"/>
  <c r="G15" i="25" s="1"/>
  <c r="BJ15" i="25"/>
  <c r="F15" i="25" s="1"/>
  <c r="BL16" i="25"/>
  <c r="AB29" i="43"/>
  <c r="AD29" i="43"/>
  <c r="AF29" i="43"/>
  <c r="AH29" i="43"/>
  <c r="AJ29" i="43"/>
  <c r="AL29" i="43"/>
  <c r="AZ29" i="43"/>
  <c r="BB29" i="43"/>
  <c r="BD29" i="43"/>
  <c r="BF29" i="43"/>
  <c r="BH29" i="43"/>
  <c r="BK29" i="43"/>
  <c r="G29" i="43" s="1"/>
  <c r="H29" i="43" s="1"/>
  <c r="Z29" i="43" l="1"/>
  <c r="BQ29" i="43"/>
  <c r="BS29" i="43" s="1"/>
  <c r="BW29" i="43" s="1"/>
  <c r="O29" i="43"/>
  <c r="V29" i="43"/>
  <c r="BL29" i="43"/>
  <c r="BC73" i="45" l="1"/>
  <c r="BI23" i="42"/>
  <c r="BG23" i="42"/>
  <c r="BE23" i="42"/>
  <c r="BC23" i="42"/>
  <c r="BA23" i="42"/>
  <c r="AM23" i="42"/>
  <c r="AK23" i="42"/>
  <c r="AI23" i="42"/>
  <c r="AG23" i="42"/>
  <c r="AE23" i="42"/>
  <c r="AC23" i="42"/>
  <c r="BL23" i="42"/>
  <c r="H23" i="42" s="1"/>
  <c r="BG26" i="45"/>
  <c r="BE26" i="45"/>
  <c r="BC26" i="45"/>
  <c r="BA26" i="45"/>
  <c r="AY26" i="45"/>
  <c r="AK26" i="45"/>
  <c r="AI26" i="45"/>
  <c r="AG26" i="45"/>
  <c r="AE26" i="45"/>
  <c r="AC26" i="45"/>
  <c r="AA26" i="45"/>
  <c r="BJ26" i="45"/>
  <c r="F26" i="45" s="1"/>
  <c r="AG82" i="45"/>
  <c r="AY78" i="45"/>
  <c r="AI69" i="45"/>
  <c r="AG79" i="45"/>
  <c r="BC46" i="45"/>
  <c r="BC47" i="45"/>
  <c r="BC48" i="45"/>
  <c r="BC49" i="45"/>
  <c r="BC50" i="45"/>
  <c r="BC51" i="45"/>
  <c r="AY46" i="45"/>
  <c r="AY47" i="45"/>
  <c r="AY48" i="45"/>
  <c r="AY49" i="45"/>
  <c r="AY50" i="45"/>
  <c r="AK48" i="45"/>
  <c r="AK49" i="45"/>
  <c r="AK50" i="45"/>
  <c r="AK51" i="45"/>
  <c r="AK46" i="45"/>
  <c r="AK47" i="45"/>
  <c r="AE49" i="45"/>
  <c r="AE50" i="45"/>
  <c r="BK34" i="42"/>
  <c r="AD36" i="43"/>
  <c r="BH35" i="43"/>
  <c r="BH25" i="43"/>
  <c r="BF25" i="43"/>
  <c r="BD25" i="43"/>
  <c r="BB25" i="43"/>
  <c r="AZ25" i="43"/>
  <c r="AL25" i="43"/>
  <c r="AJ25" i="43"/>
  <c r="AH25" i="43"/>
  <c r="AF25" i="43"/>
  <c r="AD25" i="43"/>
  <c r="AB25" i="43"/>
  <c r="AB24" i="43"/>
  <c r="BK25" i="43"/>
  <c r="G25" i="43" s="1"/>
  <c r="BK26" i="45" l="1"/>
  <c r="G26" i="45" s="1"/>
  <c r="L26" i="45" s="1"/>
  <c r="H25" i="43"/>
  <c r="BQ25" i="43" s="1"/>
  <c r="BS25" i="43" s="1"/>
  <c r="BW25" i="43" s="1"/>
  <c r="V25" i="43"/>
  <c r="BM23" i="42"/>
  <c r="I23" i="42" s="1"/>
  <c r="N23" i="42" s="1"/>
  <c r="BL25" i="43"/>
  <c r="L50" i="42"/>
  <c r="M50" i="42"/>
  <c r="O50" i="42"/>
  <c r="Q50" i="42"/>
  <c r="S50" i="42"/>
  <c r="U50" i="42"/>
  <c r="V50" i="42"/>
  <c r="W50" i="42"/>
  <c r="X50" i="42"/>
  <c r="Y50" i="42"/>
  <c r="Z50" i="42"/>
  <c r="AA50" i="42"/>
  <c r="Z13" i="46"/>
  <c r="AB13" i="46"/>
  <c r="AD13" i="46"/>
  <c r="AF13" i="46"/>
  <c r="AH13" i="46"/>
  <c r="AJ13" i="46"/>
  <c r="AX13" i="46"/>
  <c r="AZ13" i="46"/>
  <c r="BB13" i="46"/>
  <c r="BD13" i="46"/>
  <c r="BF13" i="46"/>
  <c r="BI13" i="46"/>
  <c r="E13" i="46" s="1"/>
  <c r="BF47" i="46"/>
  <c r="BD47" i="46"/>
  <c r="BB47" i="46"/>
  <c r="AZ47" i="46"/>
  <c r="AX47" i="46"/>
  <c r="AJ47" i="46"/>
  <c r="AH47" i="46"/>
  <c r="AF47" i="46"/>
  <c r="AD47" i="46"/>
  <c r="AB47" i="46"/>
  <c r="Z47" i="46"/>
  <c r="BI47" i="46"/>
  <c r="E47" i="46" s="1"/>
  <c r="BI48" i="46"/>
  <c r="BI49" i="46"/>
  <c r="BI51" i="46"/>
  <c r="K45" i="47"/>
  <c r="L45" i="47"/>
  <c r="M45" i="47"/>
  <c r="N45" i="47"/>
  <c r="O45" i="47"/>
  <c r="P45" i="47"/>
  <c r="Q45" i="47"/>
  <c r="R45" i="47"/>
  <c r="BM45" i="47"/>
  <c r="BN45" i="47"/>
  <c r="BQ45" i="47"/>
  <c r="F13" i="46" l="1"/>
  <c r="F24" i="51" s="1"/>
  <c r="E24" i="51"/>
  <c r="O25" i="43"/>
  <c r="Z25" i="43"/>
  <c r="BJ13" i="46"/>
  <c r="BJ30" i="41"/>
  <c r="F30" i="41" s="1"/>
  <c r="G30" i="41"/>
  <c r="H30" i="41" s="1"/>
  <c r="BH32" i="43"/>
  <c r="BF32" i="43"/>
  <c r="BB32" i="43"/>
  <c r="AZ32" i="43"/>
  <c r="AL32" i="43"/>
  <c r="AJ32" i="43"/>
  <c r="AH32" i="43"/>
  <c r="AF32" i="43"/>
  <c r="AD32" i="43"/>
  <c r="AB32" i="43"/>
  <c r="BD32" i="43"/>
  <c r="L30" i="41" l="1"/>
  <c r="I30" i="41"/>
  <c r="BG51" i="45"/>
  <c r="BJ20" i="47"/>
  <c r="BK79" i="44"/>
  <c r="G79" i="44" s="1"/>
  <c r="H79" i="44" s="1"/>
  <c r="AD49" i="47"/>
  <c r="AZ23" i="47"/>
  <c r="BH55" i="46"/>
  <c r="BH56" i="46" s="1"/>
  <c r="BD55" i="46"/>
  <c r="BD56" i="46" s="1"/>
  <c r="AX56" i="46"/>
  <c r="BJ21" i="47"/>
  <c r="BH21" i="47"/>
  <c r="BF21" i="47"/>
  <c r="BD21" i="47"/>
  <c r="BB21" i="47"/>
  <c r="AZ21" i="47"/>
  <c r="AL21" i="47"/>
  <c r="AJ21" i="47"/>
  <c r="AH21" i="47"/>
  <c r="AF21" i="47"/>
  <c r="AB21" i="47"/>
  <c r="BJ19" i="47"/>
  <c r="BH19" i="47"/>
  <c r="BF19" i="47"/>
  <c r="BB19" i="47"/>
  <c r="AZ19" i="47"/>
  <c r="AJ19" i="47"/>
  <c r="AH19" i="47"/>
  <c r="AB19" i="47"/>
  <c r="AF18" i="47"/>
  <c r="F7" i="50"/>
  <c r="F6" i="50"/>
  <c r="F5" i="50"/>
  <c r="F4" i="50"/>
  <c r="F3" i="50"/>
  <c r="E3" i="50"/>
  <c r="AF17" i="47"/>
  <c r="AA33" i="41"/>
  <c r="AC43" i="42"/>
  <c r="AE43" i="42"/>
  <c r="AG43" i="42"/>
  <c r="AI43" i="42"/>
  <c r="AK43" i="42"/>
  <c r="AM43" i="42"/>
  <c r="BA43" i="42"/>
  <c r="BC43" i="42"/>
  <c r="BE43" i="42"/>
  <c r="BG43" i="42"/>
  <c r="BL43" i="42"/>
  <c r="H43" i="42" s="1"/>
  <c r="E71" i="51" s="1"/>
  <c r="AA42" i="41"/>
  <c r="AA41" i="41"/>
  <c r="AC42" i="41"/>
  <c r="AC41" i="41"/>
  <c r="AE42" i="41"/>
  <c r="AE41" i="41"/>
  <c r="AG42" i="41"/>
  <c r="AG41" i="41"/>
  <c r="AI42" i="41"/>
  <c r="AI41" i="41"/>
  <c r="AK42" i="41"/>
  <c r="AK41" i="41"/>
  <c r="AB49" i="43"/>
  <c r="AH49" i="43"/>
  <c r="AZ49" i="43"/>
  <c r="BB49" i="43"/>
  <c r="BF49" i="43"/>
  <c r="AA28" i="45"/>
  <c r="AA27" i="45"/>
  <c r="AC28" i="45"/>
  <c r="AC27" i="45"/>
  <c r="AE28" i="45"/>
  <c r="AE27" i="45"/>
  <c r="AG28" i="45"/>
  <c r="AG27" i="45"/>
  <c r="AI28" i="45"/>
  <c r="AI27" i="45"/>
  <c r="AK28" i="45"/>
  <c r="AK27" i="45"/>
  <c r="AY28" i="45"/>
  <c r="AY27" i="45"/>
  <c r="BA28" i="45"/>
  <c r="BA27" i="45"/>
  <c r="BC28" i="45"/>
  <c r="BC27" i="45"/>
  <c r="BE28" i="45"/>
  <c r="BE27" i="45"/>
  <c r="BG28" i="45"/>
  <c r="BG27" i="45"/>
  <c r="BJ28" i="45"/>
  <c r="F28" i="45" s="1"/>
  <c r="E38" i="51" s="1"/>
  <c r="BJ27" i="45"/>
  <c r="F27" i="45" s="1"/>
  <c r="AC44" i="42"/>
  <c r="AC42" i="42"/>
  <c r="AE44" i="42"/>
  <c r="AE42" i="42"/>
  <c r="AG44" i="42"/>
  <c r="AG42" i="42"/>
  <c r="AI44" i="42"/>
  <c r="AI42" i="42"/>
  <c r="AK44" i="42"/>
  <c r="AK42" i="42"/>
  <c r="AM44" i="42"/>
  <c r="AM42" i="42"/>
  <c r="BA44" i="42"/>
  <c r="BA42" i="42"/>
  <c r="BC44" i="42"/>
  <c r="BC42" i="42"/>
  <c r="BE44" i="42"/>
  <c r="BE42" i="42"/>
  <c r="BG44" i="42"/>
  <c r="BG42" i="42"/>
  <c r="BI44" i="42"/>
  <c r="BI42" i="42"/>
  <c r="BL44" i="42"/>
  <c r="H44" i="42" s="1"/>
  <c r="BL42" i="42"/>
  <c r="BC92" i="45"/>
  <c r="BA92" i="45"/>
  <c r="AI92" i="45"/>
  <c r="AG92" i="45"/>
  <c r="BA20" i="45"/>
  <c r="BE20" i="45"/>
  <c r="BJ20" i="45"/>
  <c r="F20" i="45" s="1"/>
  <c r="BT16" i="45"/>
  <c r="BS16" i="45"/>
  <c r="BQ16" i="45"/>
  <c r="F7" i="52" s="1"/>
  <c r="BP16" i="45"/>
  <c r="E7" i="52" s="1"/>
  <c r="BN16" i="45"/>
  <c r="C7" i="52" s="1"/>
  <c r="BM16" i="45"/>
  <c r="BL16" i="45"/>
  <c r="Z16" i="45"/>
  <c r="Q16" i="45"/>
  <c r="P16" i="45"/>
  <c r="O16" i="45"/>
  <c r="N16" i="45"/>
  <c r="M16" i="45"/>
  <c r="L16" i="45"/>
  <c r="K16" i="45"/>
  <c r="J16" i="45"/>
  <c r="AC14" i="45"/>
  <c r="AC15" i="45"/>
  <c r="BC15" i="45"/>
  <c r="BA15" i="45"/>
  <c r="AY15" i="45"/>
  <c r="AK15" i="45"/>
  <c r="AI15" i="45"/>
  <c r="AG15" i="45"/>
  <c r="AE15" i="45"/>
  <c r="AA15" i="45"/>
  <c r="BE15" i="45"/>
  <c r="BG15" i="45"/>
  <c r="BJ15" i="45"/>
  <c r="F15" i="45" s="1"/>
  <c r="BI42" i="47"/>
  <c r="BI45" i="47" s="1"/>
  <c r="AB41" i="47"/>
  <c r="AB40" i="47"/>
  <c r="AD41" i="47"/>
  <c r="AD40" i="47"/>
  <c r="AF41" i="47"/>
  <c r="AF40" i="47"/>
  <c r="AH41" i="47"/>
  <c r="AH40" i="47"/>
  <c r="AJ41" i="47"/>
  <c r="AJ40" i="47"/>
  <c r="AL41" i="47"/>
  <c r="AL40" i="47"/>
  <c r="AZ41" i="47"/>
  <c r="AZ40" i="47"/>
  <c r="BB41" i="47"/>
  <c r="BB40" i="47"/>
  <c r="BD41" i="47"/>
  <c r="BD40" i="47"/>
  <c r="BF41" i="47"/>
  <c r="BF40" i="47"/>
  <c r="BH41" i="47"/>
  <c r="BK41" i="47"/>
  <c r="G41" i="47" s="1"/>
  <c r="BK40" i="47"/>
  <c r="G40" i="47" s="1"/>
  <c r="BH40" i="47"/>
  <c r="BE45" i="47"/>
  <c r="BB38" i="47"/>
  <c r="BD38" i="47"/>
  <c r="BI32" i="42"/>
  <c r="BG32" i="42"/>
  <c r="BE32" i="42"/>
  <c r="BC32" i="42"/>
  <c r="BA32" i="42"/>
  <c r="AM32" i="42"/>
  <c r="AK32" i="42"/>
  <c r="AI32" i="42"/>
  <c r="AG32" i="42"/>
  <c r="AE32" i="42"/>
  <c r="AC32" i="42"/>
  <c r="BL32" i="42"/>
  <c r="H32" i="42" s="1"/>
  <c r="BK28" i="44"/>
  <c r="G28" i="44" s="1"/>
  <c r="W28" i="44"/>
  <c r="X28" i="44"/>
  <c r="Y28" i="44"/>
  <c r="BJ28" i="44"/>
  <c r="BJ27" i="44"/>
  <c r="BJ26" i="44"/>
  <c r="BJ25" i="44"/>
  <c r="BJ24" i="44"/>
  <c r="BJ23" i="44"/>
  <c r="BJ22" i="44"/>
  <c r="BJ21" i="44"/>
  <c r="BJ65" i="45"/>
  <c r="F65" i="45" s="1"/>
  <c r="BG65" i="45"/>
  <c r="BE65" i="45"/>
  <c r="BC65" i="45"/>
  <c r="BA65" i="45"/>
  <c r="AY65" i="45"/>
  <c r="AK65" i="45"/>
  <c r="AI65" i="45"/>
  <c r="AE65" i="45"/>
  <c r="AC65" i="45"/>
  <c r="BI65" i="45"/>
  <c r="BM34" i="42"/>
  <c r="BL34" i="42"/>
  <c r="H34" i="42" s="1"/>
  <c r="I34" i="42" s="1"/>
  <c r="M34" i="42" s="1"/>
  <c r="BK49" i="43"/>
  <c r="G49" i="43" s="1"/>
  <c r="H49" i="43" s="1"/>
  <c r="K49" i="43" s="1"/>
  <c r="BH49" i="43"/>
  <c r="BD49" i="43"/>
  <c r="AI59" i="43"/>
  <c r="AG59" i="43"/>
  <c r="AF49" i="43"/>
  <c r="AA59" i="43"/>
  <c r="AL49" i="43"/>
  <c r="AJ49" i="43"/>
  <c r="AD49" i="43"/>
  <c r="BJ95" i="45"/>
  <c r="F95" i="45" s="1"/>
  <c r="G95" i="45" s="1"/>
  <c r="J95" i="45" s="1"/>
  <c r="BG95" i="45"/>
  <c r="BE95" i="45"/>
  <c r="BC95" i="45"/>
  <c r="BA95" i="45"/>
  <c r="AY95" i="45"/>
  <c r="AK95" i="45"/>
  <c r="AI95" i="45"/>
  <c r="AG95" i="45"/>
  <c r="AE95" i="45"/>
  <c r="AC95" i="45"/>
  <c r="AA95" i="45"/>
  <c r="BJ92" i="45"/>
  <c r="F92" i="45" s="1"/>
  <c r="G92" i="45" s="1"/>
  <c r="J92" i="45" s="1"/>
  <c r="BG94" i="45"/>
  <c r="BJ94" i="45"/>
  <c r="F94" i="45" s="1"/>
  <c r="R94" i="45" s="1"/>
  <c r="V94" i="45" s="1"/>
  <c r="BE94" i="45"/>
  <c r="BA94" i="45"/>
  <c r="AY94" i="45"/>
  <c r="AK94" i="45"/>
  <c r="AI94" i="45"/>
  <c r="AG94" i="45"/>
  <c r="AE94" i="45"/>
  <c r="AC94" i="45"/>
  <c r="AA94" i="45"/>
  <c r="BG61" i="45"/>
  <c r="BJ61" i="45"/>
  <c r="F61" i="45" s="1"/>
  <c r="BE61" i="45"/>
  <c r="BC61" i="45"/>
  <c r="BA61" i="45"/>
  <c r="AY61" i="45"/>
  <c r="AK61" i="45"/>
  <c r="AI61" i="45"/>
  <c r="AG61" i="45"/>
  <c r="AE61" i="45"/>
  <c r="AC61" i="45"/>
  <c r="AA61" i="45"/>
  <c r="BI61" i="45"/>
  <c r="BI36" i="42"/>
  <c r="BL36" i="42"/>
  <c r="H36" i="42" s="1"/>
  <c r="I36" i="42" s="1"/>
  <c r="M36" i="42" s="1"/>
  <c r="BG36" i="42"/>
  <c r="BE36" i="42"/>
  <c r="BC36" i="42"/>
  <c r="BA36" i="42"/>
  <c r="AM36" i="42"/>
  <c r="AK36" i="42"/>
  <c r="AI36" i="42"/>
  <c r="AG36" i="42"/>
  <c r="AE36" i="42"/>
  <c r="AC36" i="42"/>
  <c r="BI37" i="42"/>
  <c r="BI35" i="42"/>
  <c r="BG37" i="42"/>
  <c r="BG35" i="42"/>
  <c r="BE37" i="42"/>
  <c r="BE35" i="42"/>
  <c r="BC37" i="42"/>
  <c r="BC35" i="42"/>
  <c r="BA37" i="42"/>
  <c r="BA35" i="42"/>
  <c r="AM37" i="42"/>
  <c r="AM35" i="42"/>
  <c r="AK37" i="42"/>
  <c r="AK35" i="42"/>
  <c r="AI37" i="42"/>
  <c r="AI35" i="42"/>
  <c r="AG37" i="42"/>
  <c r="AG35" i="42"/>
  <c r="AE37" i="42"/>
  <c r="AE35" i="42"/>
  <c r="AC37" i="42"/>
  <c r="AC35" i="42"/>
  <c r="BL35" i="42"/>
  <c r="H35" i="42" s="1"/>
  <c r="BL37" i="42"/>
  <c r="H37" i="42" s="1"/>
  <c r="AF21" i="43"/>
  <c r="BG55" i="45"/>
  <c r="BE55" i="45"/>
  <c r="BC55" i="45"/>
  <c r="BA55" i="45"/>
  <c r="AY55" i="45"/>
  <c r="AI55" i="45"/>
  <c r="AG55" i="45"/>
  <c r="AE55" i="45"/>
  <c r="AC55" i="45"/>
  <c r="AA55" i="45"/>
  <c r="BG54" i="45"/>
  <c r="BE54" i="45"/>
  <c r="BC54" i="45"/>
  <c r="BA54" i="45"/>
  <c r="AY54" i="45"/>
  <c r="AK54" i="45"/>
  <c r="AI54" i="45"/>
  <c r="AG54" i="45"/>
  <c r="AE54" i="45"/>
  <c r="AC54" i="45"/>
  <c r="AA54" i="45"/>
  <c r="BE51" i="45"/>
  <c r="AI51" i="45"/>
  <c r="AC51" i="45"/>
  <c r="AA51" i="45"/>
  <c r="BE50" i="45"/>
  <c r="AI50" i="45"/>
  <c r="AC50" i="45"/>
  <c r="AA50" i="45"/>
  <c r="BE49" i="45"/>
  <c r="AI49" i="45"/>
  <c r="AC49" i="45"/>
  <c r="AA49" i="45"/>
  <c r="BE48" i="45"/>
  <c r="AI48" i="45"/>
  <c r="AG48" i="45"/>
  <c r="AE48" i="45"/>
  <c r="AC48" i="45"/>
  <c r="AA48" i="45"/>
  <c r="BE47" i="45"/>
  <c r="AI47" i="45"/>
  <c r="AG47" i="45"/>
  <c r="AE47" i="45"/>
  <c r="AC47" i="45"/>
  <c r="BG46" i="45"/>
  <c r="BE46" i="45"/>
  <c r="AI46" i="45"/>
  <c r="AG46" i="45"/>
  <c r="AE46" i="45"/>
  <c r="AC46" i="45"/>
  <c r="AA46" i="45"/>
  <c r="BG45" i="45"/>
  <c r="BE45" i="45"/>
  <c r="BC45" i="45"/>
  <c r="BA45" i="45"/>
  <c r="AY45" i="45"/>
  <c r="AK45" i="45"/>
  <c r="AI45" i="45"/>
  <c r="AG45" i="45"/>
  <c r="AE45" i="45"/>
  <c r="AC45" i="45"/>
  <c r="AA45" i="45"/>
  <c r="BG44" i="45"/>
  <c r="BE44" i="45"/>
  <c r="BC44" i="45"/>
  <c r="BA44" i="45"/>
  <c r="AY44" i="45"/>
  <c r="AK44" i="45"/>
  <c r="AI44" i="45"/>
  <c r="AG44" i="45"/>
  <c r="AE44" i="45"/>
  <c r="AC44" i="45"/>
  <c r="AA44" i="45"/>
  <c r="BG43" i="45"/>
  <c r="BE43" i="45"/>
  <c r="BC43" i="45"/>
  <c r="BA43" i="45"/>
  <c r="AY43" i="45"/>
  <c r="AK43" i="45"/>
  <c r="AI43" i="45"/>
  <c r="AG43" i="45"/>
  <c r="AE43" i="45"/>
  <c r="AC43" i="45"/>
  <c r="AA43" i="45"/>
  <c r="BG42" i="45"/>
  <c r="BE42" i="45"/>
  <c r="BC42" i="45"/>
  <c r="BA42" i="45"/>
  <c r="AY42" i="45"/>
  <c r="AK42" i="45"/>
  <c r="AI42" i="45"/>
  <c r="AG42" i="45"/>
  <c r="AE42" i="45"/>
  <c r="AC42" i="45"/>
  <c r="AA42" i="45"/>
  <c r="BG41" i="45"/>
  <c r="BE41" i="45"/>
  <c r="BC41" i="45"/>
  <c r="BA41" i="45"/>
  <c r="AY41" i="45"/>
  <c r="AK41" i="45"/>
  <c r="AG41" i="45"/>
  <c r="AE41" i="45"/>
  <c r="AC41" i="45"/>
  <c r="BG37" i="45"/>
  <c r="BG36" i="45"/>
  <c r="BE36" i="45"/>
  <c r="BE39" i="45" s="1"/>
  <c r="BC36" i="45"/>
  <c r="BC39" i="45" s="1"/>
  <c r="BA36" i="45"/>
  <c r="BA39" i="45" s="1"/>
  <c r="AY36" i="45"/>
  <c r="AY39" i="45" s="1"/>
  <c r="AK36" i="45"/>
  <c r="AK39" i="45" s="1"/>
  <c r="AI36" i="45"/>
  <c r="AI39" i="45" s="1"/>
  <c r="AG36" i="45"/>
  <c r="AG39" i="45" s="1"/>
  <c r="AE36" i="45"/>
  <c r="AE39" i="45" s="1"/>
  <c r="AC36" i="45"/>
  <c r="AC39" i="45" s="1"/>
  <c r="AA36" i="45"/>
  <c r="AA39" i="45" s="1"/>
  <c r="BG33" i="45"/>
  <c r="BE33" i="45"/>
  <c r="BC33" i="45"/>
  <c r="BA33" i="45"/>
  <c r="AY33" i="45"/>
  <c r="AK33" i="45"/>
  <c r="AI33" i="45"/>
  <c r="AG33" i="45"/>
  <c r="AE33" i="45"/>
  <c r="AC33" i="45"/>
  <c r="AA33" i="45"/>
  <c r="BG32" i="45"/>
  <c r="BC32" i="45"/>
  <c r="BA32" i="45"/>
  <c r="AY32" i="45"/>
  <c r="AK32" i="45"/>
  <c r="AI32" i="45"/>
  <c r="AG32" i="45"/>
  <c r="AE32" i="45"/>
  <c r="AC32" i="45"/>
  <c r="AA32" i="45"/>
  <c r="BG31" i="45"/>
  <c r="BE31" i="45"/>
  <c r="BC31" i="45"/>
  <c r="BA31" i="45"/>
  <c r="AY31" i="45"/>
  <c r="AK31" i="45"/>
  <c r="AI31" i="45"/>
  <c r="AE31" i="45"/>
  <c r="AC31" i="45"/>
  <c r="AA31" i="45"/>
  <c r="BG30" i="45"/>
  <c r="BE30" i="45"/>
  <c r="BC30" i="45"/>
  <c r="BA30" i="45"/>
  <c r="AY30" i="45"/>
  <c r="AK30" i="45"/>
  <c r="AI30" i="45"/>
  <c r="AG30" i="45"/>
  <c r="AE30" i="45"/>
  <c r="AC30" i="45"/>
  <c r="AA30" i="45"/>
  <c r="BG29" i="45"/>
  <c r="BE29" i="45"/>
  <c r="BC29" i="45"/>
  <c r="BA29" i="45"/>
  <c r="AY29" i="45"/>
  <c r="AK29" i="45"/>
  <c r="AI29" i="45"/>
  <c r="AG29" i="45"/>
  <c r="AE29" i="45"/>
  <c r="AC29" i="45"/>
  <c r="AA29" i="45"/>
  <c r="BG25" i="45"/>
  <c r="BE25" i="45"/>
  <c r="BC25" i="45"/>
  <c r="BA25" i="45"/>
  <c r="AY25" i="45"/>
  <c r="AK25" i="45"/>
  <c r="AI25" i="45"/>
  <c r="AG25" i="45"/>
  <c r="AE25" i="45"/>
  <c r="AC25" i="45"/>
  <c r="AA25" i="45"/>
  <c r="BG24" i="45"/>
  <c r="BE24" i="45"/>
  <c r="BC24" i="45"/>
  <c r="BA24" i="45"/>
  <c r="AY24" i="45"/>
  <c r="AK24" i="45"/>
  <c r="AI24" i="45"/>
  <c r="AG24" i="45"/>
  <c r="AE24" i="45"/>
  <c r="AC24" i="45"/>
  <c r="AA24" i="45"/>
  <c r="BG90" i="45"/>
  <c r="BE90" i="45"/>
  <c r="BC90" i="45"/>
  <c r="BA90" i="45"/>
  <c r="AY90" i="45"/>
  <c r="AK90" i="45"/>
  <c r="AI90" i="45"/>
  <c r="AG90" i="45"/>
  <c r="AE90" i="45"/>
  <c r="AC90" i="45"/>
  <c r="AA90" i="45"/>
  <c r="BG89" i="45"/>
  <c r="BE89" i="45"/>
  <c r="BC89" i="45"/>
  <c r="BA89" i="45"/>
  <c r="AY89" i="45"/>
  <c r="AK89" i="45"/>
  <c r="AI89" i="45"/>
  <c r="AG89" i="45"/>
  <c r="AE89" i="45"/>
  <c r="AC89" i="45"/>
  <c r="AA89" i="45"/>
  <c r="BG88" i="45"/>
  <c r="BE88" i="45"/>
  <c r="BA88" i="45"/>
  <c r="AY88" i="45"/>
  <c r="AK88" i="45"/>
  <c r="AI88" i="45"/>
  <c r="AG88" i="45"/>
  <c r="AE88" i="45"/>
  <c r="AA88" i="45"/>
  <c r="BG86" i="45"/>
  <c r="BE86" i="45"/>
  <c r="BC86" i="45"/>
  <c r="BA86" i="45"/>
  <c r="AY86" i="45"/>
  <c r="AK86" i="45"/>
  <c r="AI86" i="45"/>
  <c r="AG86" i="45"/>
  <c r="AE86" i="45"/>
  <c r="AC86" i="45"/>
  <c r="AA86" i="45"/>
  <c r="BG85" i="45"/>
  <c r="BE85" i="45"/>
  <c r="BC85" i="45"/>
  <c r="BA85" i="45"/>
  <c r="AY85" i="45"/>
  <c r="AK85" i="45"/>
  <c r="AI85" i="45"/>
  <c r="AG85" i="45"/>
  <c r="AE85" i="45"/>
  <c r="AC85" i="45"/>
  <c r="BG84" i="45"/>
  <c r="BE84" i="45"/>
  <c r="BC84" i="45"/>
  <c r="AY84" i="45"/>
  <c r="AI84" i="45"/>
  <c r="AG84" i="45"/>
  <c r="AE84" i="45"/>
  <c r="AC84" i="45"/>
  <c r="AA84" i="45"/>
  <c r="BG83" i="45"/>
  <c r="BE83" i="45"/>
  <c r="BC83" i="45"/>
  <c r="BA83" i="45"/>
  <c r="AY83" i="45"/>
  <c r="AK83" i="45"/>
  <c r="AI83" i="45"/>
  <c r="AE83" i="45"/>
  <c r="AC83" i="45"/>
  <c r="AA83" i="45"/>
  <c r="BG82" i="45"/>
  <c r="BC82" i="45"/>
  <c r="AY82" i="45"/>
  <c r="AK82" i="45"/>
  <c r="AI82" i="45"/>
  <c r="AC82" i="45"/>
  <c r="BE81" i="45"/>
  <c r="AI81" i="45"/>
  <c r="BE80" i="45"/>
  <c r="BC80" i="45"/>
  <c r="BA80" i="45"/>
  <c r="AY80" i="45"/>
  <c r="AK80" i="45"/>
  <c r="AI80" i="45"/>
  <c r="AG80" i="45"/>
  <c r="AE80" i="45"/>
  <c r="AC80" i="45"/>
  <c r="AA80" i="45"/>
  <c r="BG79" i="45"/>
  <c r="BE79" i="45"/>
  <c r="BC79" i="45"/>
  <c r="BA79" i="45"/>
  <c r="AY79" i="45"/>
  <c r="AI79" i="45"/>
  <c r="BE78" i="45"/>
  <c r="BA78" i="45"/>
  <c r="BJ18" i="47"/>
  <c r="BH37" i="47"/>
  <c r="BF37" i="47"/>
  <c r="BD37" i="47"/>
  <c r="BB37" i="47"/>
  <c r="AZ37" i="47"/>
  <c r="AL37" i="47"/>
  <c r="AJ37" i="47"/>
  <c r="AF37" i="47"/>
  <c r="AD37" i="47"/>
  <c r="AB37" i="47"/>
  <c r="AH37" i="47"/>
  <c r="BG23" i="47"/>
  <c r="BH23" i="47" s="1"/>
  <c r="BF23" i="47"/>
  <c r="BC23" i="47"/>
  <c r="BD23" i="47" s="1"/>
  <c r="BA23" i="47"/>
  <c r="BB23" i="47" s="1"/>
  <c r="AL23" i="47"/>
  <c r="AJ23" i="47"/>
  <c r="AG23" i="47"/>
  <c r="AH23" i="47" s="1"/>
  <c r="AE23" i="47"/>
  <c r="AE26" i="47" s="1"/>
  <c r="AC23" i="47"/>
  <c r="AD23" i="47" s="1"/>
  <c r="AD18" i="47"/>
  <c r="AH18" i="47"/>
  <c r="AJ18" i="47"/>
  <c r="AL18" i="47"/>
  <c r="AZ18" i="47"/>
  <c r="BB18" i="47"/>
  <c r="BD18" i="47"/>
  <c r="BF18" i="47"/>
  <c r="BH18" i="47"/>
  <c r="AB18" i="47"/>
  <c r="BF17" i="47"/>
  <c r="BD17" i="47"/>
  <c r="BK17" i="47"/>
  <c r="G17" i="47" s="1"/>
  <c r="AL17" i="47"/>
  <c r="AJ17" i="47"/>
  <c r="AH17" i="47"/>
  <c r="BI41" i="41"/>
  <c r="BI42" i="41"/>
  <c r="BG41" i="41"/>
  <c r="BG42" i="41"/>
  <c r="BE41" i="41"/>
  <c r="BE42" i="41"/>
  <c r="BC41" i="41"/>
  <c r="BC42" i="41"/>
  <c r="BA41" i="41"/>
  <c r="BA42" i="41"/>
  <c r="AY41" i="41"/>
  <c r="AY42" i="41"/>
  <c r="BJ41" i="41"/>
  <c r="F41" i="41" s="1"/>
  <c r="BJ42" i="41"/>
  <c r="F42" i="41" s="1"/>
  <c r="G42" i="41" s="1"/>
  <c r="L42" i="41" s="1"/>
  <c r="BT20" i="41"/>
  <c r="BS20" i="41"/>
  <c r="BQ20" i="41"/>
  <c r="BO20" i="41"/>
  <c r="BM20" i="41"/>
  <c r="BG19" i="41"/>
  <c r="BE19" i="41"/>
  <c r="BC19" i="41"/>
  <c r="BA19" i="41"/>
  <c r="AY19" i="41"/>
  <c r="AK19" i="41"/>
  <c r="AI19" i="41"/>
  <c r="AG19" i="41"/>
  <c r="AE19" i="41"/>
  <c r="AA19" i="41"/>
  <c r="BG15" i="41"/>
  <c r="BG16" i="41"/>
  <c r="BE15" i="41"/>
  <c r="BE16" i="41"/>
  <c r="BC16" i="41"/>
  <c r="BA15" i="41"/>
  <c r="BA16" i="41"/>
  <c r="AY15" i="41"/>
  <c r="AY16" i="41"/>
  <c r="AK15" i="41"/>
  <c r="AK16" i="41"/>
  <c r="AI15" i="41"/>
  <c r="AI16" i="41"/>
  <c r="AG15" i="41"/>
  <c r="AG16" i="41"/>
  <c r="AE15" i="41"/>
  <c r="AE16" i="41"/>
  <c r="AC15" i="41"/>
  <c r="AC16" i="41"/>
  <c r="AA15" i="41"/>
  <c r="AA16" i="41"/>
  <c r="BJ15" i="41"/>
  <c r="F15" i="41" s="1"/>
  <c r="E75" i="51" s="1"/>
  <c r="BJ16" i="41"/>
  <c r="AA12" i="41"/>
  <c r="AC12" i="41"/>
  <c r="AE12" i="41"/>
  <c r="AG12" i="41"/>
  <c r="AI12" i="41"/>
  <c r="AK12" i="41"/>
  <c r="AY12" i="41"/>
  <c r="BA12" i="41"/>
  <c r="BC12" i="41"/>
  <c r="BE12" i="41"/>
  <c r="BG12" i="41"/>
  <c r="BI12" i="41"/>
  <c r="BJ12" i="41"/>
  <c r="F12" i="41" s="1"/>
  <c r="R12" i="41" s="1"/>
  <c r="V12" i="41" s="1"/>
  <c r="BU12" i="41"/>
  <c r="AC48" i="42"/>
  <c r="AE48" i="42"/>
  <c r="AG48" i="42"/>
  <c r="AI48" i="42"/>
  <c r="AK48" i="42"/>
  <c r="AM48" i="42"/>
  <c r="BF58" i="43"/>
  <c r="AB55" i="43"/>
  <c r="AD55" i="43"/>
  <c r="AF55" i="43"/>
  <c r="AH55" i="43"/>
  <c r="AJ55" i="43"/>
  <c r="AL55" i="43"/>
  <c r="BB47" i="43"/>
  <c r="BB48" i="43"/>
  <c r="BF47" i="43"/>
  <c r="BF48" i="43"/>
  <c r="BH48" i="43"/>
  <c r="AZ47" i="43"/>
  <c r="AZ48" i="43"/>
  <c r="AL47" i="43"/>
  <c r="AL48" i="43"/>
  <c r="AJ47" i="43"/>
  <c r="AJ48" i="43"/>
  <c r="AH48" i="43"/>
  <c r="AF48" i="43"/>
  <c r="AJ46" i="43"/>
  <c r="AZ46" i="43"/>
  <c r="BF34" i="43"/>
  <c r="BF35" i="43"/>
  <c r="BD34" i="43"/>
  <c r="BD35" i="43"/>
  <c r="AZ34" i="43"/>
  <c r="AZ35" i="43"/>
  <c r="AJ34" i="43"/>
  <c r="AJ35" i="43"/>
  <c r="AH34" i="43"/>
  <c r="AH35" i="43"/>
  <c r="AF34" i="43"/>
  <c r="AF35" i="43"/>
  <c r="AD34" i="43"/>
  <c r="AD35" i="43"/>
  <c r="AB35" i="43"/>
  <c r="AD33" i="43"/>
  <c r="BH19" i="43"/>
  <c r="AF19" i="43"/>
  <c r="BE14" i="43"/>
  <c r="BB13" i="43"/>
  <c r="AY14" i="43"/>
  <c r="AE14" i="43"/>
  <c r="AC14" i="43"/>
  <c r="AA14" i="43"/>
  <c r="AB11" i="43"/>
  <c r="AD11" i="43"/>
  <c r="AF11" i="43"/>
  <c r="AH11" i="43"/>
  <c r="AJ11" i="43"/>
  <c r="AL11" i="43"/>
  <c r="BH86" i="44"/>
  <c r="BF86" i="44"/>
  <c r="BD86" i="44"/>
  <c r="BB86" i="44"/>
  <c r="AZ86" i="44"/>
  <c r="AL86" i="44"/>
  <c r="AJ86" i="44"/>
  <c r="AD86" i="44"/>
  <c r="AB86" i="44"/>
  <c r="AH86" i="44"/>
  <c r="AF86" i="44"/>
  <c r="AD57" i="43"/>
  <c r="AJ57" i="43"/>
  <c r="AL57" i="43"/>
  <c r="BL57" i="43" s="1"/>
  <c r="H57" i="43" s="1"/>
  <c r="BH57" i="43"/>
  <c r="BK57" i="43"/>
  <c r="G57" i="43" s="1"/>
  <c r="E62" i="51" s="1"/>
  <c r="BJ57" i="45"/>
  <c r="F57" i="45" s="1"/>
  <c r="BI57" i="45"/>
  <c r="BG57" i="45"/>
  <c r="BE57" i="45"/>
  <c r="BC57" i="45"/>
  <c r="BA57" i="45"/>
  <c r="AY57" i="45"/>
  <c r="AK57" i="45"/>
  <c r="AI57" i="45"/>
  <c r="AG57" i="45"/>
  <c r="AE57" i="45"/>
  <c r="AC57" i="45"/>
  <c r="Z4" i="46"/>
  <c r="AA4" i="46"/>
  <c r="AB4" i="46"/>
  <c r="AC4" i="46"/>
  <c r="AD4" i="46"/>
  <c r="AE4" i="46"/>
  <c r="AF4" i="46"/>
  <c r="AG4" i="46"/>
  <c r="AH4" i="46"/>
  <c r="AI4" i="46"/>
  <c r="AJ4" i="46"/>
  <c r="AK4" i="46"/>
  <c r="AL4" i="46"/>
  <c r="AM4" i="46"/>
  <c r="AN4" i="46"/>
  <c r="AO4" i="46"/>
  <c r="AP4" i="46"/>
  <c r="AQ4" i="46"/>
  <c r="AR4" i="46"/>
  <c r="AS4" i="46"/>
  <c r="AT4" i="46"/>
  <c r="AU4" i="46"/>
  <c r="AV4" i="46"/>
  <c r="AW4" i="46"/>
  <c r="AX4" i="46"/>
  <c r="AY4" i="46"/>
  <c r="AZ4" i="46"/>
  <c r="BA4" i="46"/>
  <c r="BB4" i="46"/>
  <c r="BC4" i="46"/>
  <c r="BD4" i="46"/>
  <c r="BE4" i="46"/>
  <c r="BF4" i="46"/>
  <c r="BJ29" i="47"/>
  <c r="G62" i="24"/>
  <c r="I62" i="24" s="1"/>
  <c r="BI62" i="24"/>
  <c r="BJ62" i="24"/>
  <c r="BJ61" i="24"/>
  <c r="F61" i="24" s="1"/>
  <c r="BJ63" i="24"/>
  <c r="BI16" i="24"/>
  <c r="BK16" i="24" s="1"/>
  <c r="BJ16" i="24"/>
  <c r="F16" i="24" s="1"/>
  <c r="G16" i="24" s="1"/>
  <c r="V16" i="24"/>
  <c r="X16" i="24"/>
  <c r="Y16" i="24"/>
  <c r="BK53" i="43"/>
  <c r="G53" i="43" s="1"/>
  <c r="E60" i="51" s="1"/>
  <c r="L59" i="45"/>
  <c r="AK25" i="41"/>
  <c r="BJ61" i="43"/>
  <c r="BJ64" i="43" s="1"/>
  <c r="BF46" i="43"/>
  <c r="BK87" i="44"/>
  <c r="G87" i="44" s="1"/>
  <c r="H87" i="44" s="1"/>
  <c r="J87" i="44" s="1"/>
  <c r="BK86" i="44"/>
  <c r="G86" i="44" s="1"/>
  <c r="BJ86" i="44"/>
  <c r="F47" i="46"/>
  <c r="G42" i="47"/>
  <c r="H42" i="47" s="1"/>
  <c r="BJ41" i="47"/>
  <c r="BJ40" i="47"/>
  <c r="AZ56" i="43"/>
  <c r="BE66" i="45"/>
  <c r="BC23" i="41"/>
  <c r="AE23" i="41"/>
  <c r="AC23" i="41"/>
  <c r="BJ24" i="41"/>
  <c r="F24" i="41" s="1"/>
  <c r="BJ25" i="41"/>
  <c r="F25" i="41" s="1"/>
  <c r="G25" i="41" s="1"/>
  <c r="BJ26" i="41"/>
  <c r="F26" i="41" s="1"/>
  <c r="G26" i="41" s="1"/>
  <c r="BL13" i="42"/>
  <c r="BK34" i="43"/>
  <c r="G34" i="43" s="1"/>
  <c r="BK35" i="43"/>
  <c r="G35" i="43" s="1"/>
  <c r="E57" i="51" s="1"/>
  <c r="Z37" i="44"/>
  <c r="BK37" i="44"/>
  <c r="G37" i="44" s="1"/>
  <c r="U37" i="44" s="1"/>
  <c r="Y37" i="44" s="1"/>
  <c r="X87" i="45"/>
  <c r="Y87" i="45"/>
  <c r="BJ87" i="45"/>
  <c r="F87" i="45" s="1"/>
  <c r="S87" i="45" s="1"/>
  <c r="W87" i="45" s="1"/>
  <c r="H52" i="45"/>
  <c r="I52" i="45"/>
  <c r="J52" i="45"/>
  <c r="K52" i="45"/>
  <c r="L52" i="45"/>
  <c r="N52" i="45"/>
  <c r="O52" i="45"/>
  <c r="P52" i="45"/>
  <c r="Q52" i="45"/>
  <c r="Z52" i="45"/>
  <c r="BJ46" i="45"/>
  <c r="F46" i="45" s="1"/>
  <c r="T46" i="45" s="1"/>
  <c r="X46" i="45" s="1"/>
  <c r="BJ47" i="45"/>
  <c r="F47" i="45" s="1"/>
  <c r="BJ48" i="45"/>
  <c r="F48" i="45" s="1"/>
  <c r="BJ49" i="45"/>
  <c r="F49" i="45" s="1"/>
  <c r="T49" i="45" s="1"/>
  <c r="X49" i="45" s="1"/>
  <c r="BJ50" i="45"/>
  <c r="F50" i="45" s="1"/>
  <c r="BJ51" i="45"/>
  <c r="F51" i="45" s="1"/>
  <c r="T51" i="45" s="1"/>
  <c r="X51" i="45" s="1"/>
  <c r="AB56" i="43"/>
  <c r="AB51" i="43"/>
  <c r="Z56" i="46"/>
  <c r="Z50" i="46"/>
  <c r="Z20" i="46"/>
  <c r="AB39" i="47"/>
  <c r="AK36" i="47"/>
  <c r="AL36" i="47" s="1"/>
  <c r="AI36" i="47"/>
  <c r="AJ36" i="47" s="1"/>
  <c r="AE36" i="47"/>
  <c r="AF36" i="47" s="1"/>
  <c r="BD58" i="43"/>
  <c r="BD56" i="43"/>
  <c r="BD48" i="43"/>
  <c r="BD50" i="43"/>
  <c r="BD51" i="43"/>
  <c r="BD47" i="43"/>
  <c r="BB52" i="46"/>
  <c r="BD40" i="46"/>
  <c r="BB40" i="46"/>
  <c r="BB20" i="46"/>
  <c r="BD54" i="25"/>
  <c r="BE24" i="41"/>
  <c r="BK24" i="41" s="1"/>
  <c r="BE25" i="41"/>
  <c r="BE26" i="41"/>
  <c r="BK26" i="41" s="1"/>
  <c r="BE23" i="41"/>
  <c r="BF56" i="43"/>
  <c r="BC53" i="46"/>
  <c r="BF35" i="47"/>
  <c r="AF56" i="43"/>
  <c r="AD50" i="46"/>
  <c r="AD21" i="46"/>
  <c r="AD20" i="46"/>
  <c r="AF38" i="47"/>
  <c r="X83" i="45"/>
  <c r="Y83" i="45"/>
  <c r="AJ56" i="43"/>
  <c r="AH52" i="46"/>
  <c r="AH50" i="46"/>
  <c r="AG25" i="46"/>
  <c r="AJ39" i="47"/>
  <c r="AJ38" i="47"/>
  <c r="AL17" i="43"/>
  <c r="AI32" i="46"/>
  <c r="AL39" i="47"/>
  <c r="AL38" i="47"/>
  <c r="BA23" i="41"/>
  <c r="BB54" i="43"/>
  <c r="BB46" i="43"/>
  <c r="AZ24" i="46"/>
  <c r="AZ21" i="46"/>
  <c r="AZ20" i="46"/>
  <c r="BB39" i="47"/>
  <c r="AD51" i="43"/>
  <c r="AD48" i="43"/>
  <c r="AB50" i="46"/>
  <c r="AA32" i="46"/>
  <c r="AB21" i="46"/>
  <c r="BK47" i="43"/>
  <c r="G47" i="43" s="1"/>
  <c r="T47" i="43" s="1"/>
  <c r="BH58" i="43"/>
  <c r="BH56" i="43"/>
  <c r="BH51" i="43"/>
  <c r="BH47" i="43"/>
  <c r="BF56" i="46"/>
  <c r="BF20" i="46"/>
  <c r="BH38" i="47"/>
  <c r="AH53" i="43"/>
  <c r="AI45" i="42"/>
  <c r="AG34" i="41"/>
  <c r="AG23" i="41"/>
  <c r="AH63" i="43"/>
  <c r="AH46" i="43"/>
  <c r="AH87" i="44"/>
  <c r="AF52" i="46"/>
  <c r="AF28" i="46"/>
  <c r="AG36" i="47"/>
  <c r="AH36" i="47" s="1"/>
  <c r="E19" i="25"/>
  <c r="BM13" i="42"/>
  <c r="BJ87" i="44"/>
  <c r="BL37" i="44"/>
  <c r="BI87" i="45"/>
  <c r="BK87" i="45" s="1"/>
  <c r="AZ11" i="43"/>
  <c r="AX40" i="46"/>
  <c r="V12" i="25"/>
  <c r="W12" i="25"/>
  <c r="X12" i="25"/>
  <c r="W20" i="25"/>
  <c r="X20" i="25"/>
  <c r="Y20" i="25"/>
  <c r="V22" i="25"/>
  <c r="W22" i="25"/>
  <c r="X22" i="25"/>
  <c r="Y22" i="25"/>
  <c r="V52" i="25"/>
  <c r="X52" i="25"/>
  <c r="Y52" i="25"/>
  <c r="W23" i="41"/>
  <c r="X23" i="41"/>
  <c r="W32" i="43"/>
  <c r="X32" i="43"/>
  <c r="Y32" i="43"/>
  <c r="Z32" i="43"/>
  <c r="Y33" i="43"/>
  <c r="W34" i="43"/>
  <c r="X34" i="43"/>
  <c r="Y34" i="43"/>
  <c r="Z34" i="43"/>
  <c r="W58" i="43"/>
  <c r="X58" i="43"/>
  <c r="Y58" i="43"/>
  <c r="W21" i="44"/>
  <c r="X21" i="44"/>
  <c r="Y21" i="44"/>
  <c r="Z21" i="44"/>
  <c r="W22" i="44"/>
  <c r="X22" i="44"/>
  <c r="Y22" i="44"/>
  <c r="Z22" i="44"/>
  <c r="W23" i="44"/>
  <c r="X23" i="44"/>
  <c r="Y23" i="44"/>
  <c r="Z23" i="44"/>
  <c r="W24" i="44"/>
  <c r="X24" i="44"/>
  <c r="Y24" i="44"/>
  <c r="Z24" i="44"/>
  <c r="W25" i="44"/>
  <c r="X25" i="44"/>
  <c r="Y25" i="44"/>
  <c r="Z25" i="44"/>
  <c r="W26" i="44"/>
  <c r="X26" i="44"/>
  <c r="Y26" i="44"/>
  <c r="Z26" i="44"/>
  <c r="W27" i="44"/>
  <c r="X27" i="44"/>
  <c r="Y27" i="44"/>
  <c r="Z27" i="44"/>
  <c r="W29" i="44"/>
  <c r="X29" i="44"/>
  <c r="Y29" i="44"/>
  <c r="Z29" i="44"/>
  <c r="W55" i="44"/>
  <c r="X55" i="44"/>
  <c r="Y55" i="44"/>
  <c r="Z55" i="44"/>
  <c r="W79" i="44"/>
  <c r="X79" i="44"/>
  <c r="Y79" i="44"/>
  <c r="Z79" i="44"/>
  <c r="W80" i="44"/>
  <c r="X80" i="44"/>
  <c r="Y80" i="44"/>
  <c r="Z80" i="44"/>
  <c r="Z91" i="44"/>
  <c r="Y91" i="44"/>
  <c r="X91" i="44"/>
  <c r="W91" i="44"/>
  <c r="Y81" i="45"/>
  <c r="Z10" i="47"/>
  <c r="I62" i="46"/>
  <c r="J62" i="46"/>
  <c r="K62" i="46"/>
  <c r="L62" i="46"/>
  <c r="M62" i="46"/>
  <c r="N62" i="46"/>
  <c r="O62" i="46"/>
  <c r="P62" i="46"/>
  <c r="I56" i="46"/>
  <c r="J56" i="46"/>
  <c r="K56" i="46"/>
  <c r="L56" i="46"/>
  <c r="M56" i="46"/>
  <c r="N56" i="46"/>
  <c r="O56" i="46"/>
  <c r="P56" i="46"/>
  <c r="Q56" i="46"/>
  <c r="R56" i="46"/>
  <c r="S56" i="46"/>
  <c r="T56" i="46"/>
  <c r="I53" i="46"/>
  <c r="J53" i="46"/>
  <c r="K53" i="46"/>
  <c r="L53" i="46"/>
  <c r="M53" i="46"/>
  <c r="N53" i="46"/>
  <c r="O53" i="46"/>
  <c r="P53" i="46"/>
  <c r="I42" i="46"/>
  <c r="J42" i="46"/>
  <c r="K42" i="46"/>
  <c r="L42" i="46"/>
  <c r="M42" i="46"/>
  <c r="N42" i="46"/>
  <c r="O42" i="46"/>
  <c r="P42" i="46"/>
  <c r="I35" i="46"/>
  <c r="J35" i="46"/>
  <c r="K35" i="46"/>
  <c r="L35" i="46"/>
  <c r="M35" i="46"/>
  <c r="N35" i="46"/>
  <c r="O35" i="46"/>
  <c r="P35" i="46"/>
  <c r="BK63" i="43"/>
  <c r="G63" i="43" s="1"/>
  <c r="S63" i="43" s="1"/>
  <c r="S64" i="43" s="1"/>
  <c r="BK56" i="43"/>
  <c r="G56" i="43" s="1"/>
  <c r="BK55" i="43"/>
  <c r="BK54" i="43"/>
  <c r="G54" i="43" s="1"/>
  <c r="BK52" i="43"/>
  <c r="G52" i="43" s="1"/>
  <c r="T52" i="43" s="1"/>
  <c r="X52" i="43" s="1"/>
  <c r="BK51" i="43"/>
  <c r="G51" i="43" s="1"/>
  <c r="T51" i="43" s="1"/>
  <c r="X51" i="43" s="1"/>
  <c r="BK50" i="43"/>
  <c r="G50" i="43" s="1"/>
  <c r="BK48" i="43"/>
  <c r="G48" i="43" s="1"/>
  <c r="H48" i="43" s="1"/>
  <c r="BK46" i="43"/>
  <c r="G46" i="43" s="1"/>
  <c r="BK43" i="43"/>
  <c r="G43" i="43" s="1"/>
  <c r="T43" i="43" s="1"/>
  <c r="X43" i="43" s="1"/>
  <c r="BK42" i="43"/>
  <c r="G42" i="43" s="1"/>
  <c r="S42" i="43" s="1"/>
  <c r="W42" i="43" s="1"/>
  <c r="BK41" i="43"/>
  <c r="G41" i="43" s="1"/>
  <c r="S41" i="43" s="1"/>
  <c r="W41" i="43" s="1"/>
  <c r="BK40" i="43"/>
  <c r="G40" i="43" s="1"/>
  <c r="T40" i="43" s="1"/>
  <c r="BK39" i="43"/>
  <c r="G39" i="43" s="1"/>
  <c r="T39" i="43" s="1"/>
  <c r="X39" i="43" s="1"/>
  <c r="BK36" i="43"/>
  <c r="G36" i="43" s="1"/>
  <c r="E58" i="51" s="1"/>
  <c r="BK33" i="43"/>
  <c r="G33" i="43" s="1"/>
  <c r="U33" i="43" s="1"/>
  <c r="BK32" i="43"/>
  <c r="G32" i="43" s="1"/>
  <c r="BK31" i="43"/>
  <c r="G31" i="43" s="1"/>
  <c r="BK30" i="43"/>
  <c r="G30" i="43" s="1"/>
  <c r="BK28" i="43"/>
  <c r="BK26" i="43"/>
  <c r="G26" i="43" s="1"/>
  <c r="BK24" i="43"/>
  <c r="G24" i="43" s="1"/>
  <c r="BK21" i="43"/>
  <c r="G21" i="43" s="1"/>
  <c r="BK18" i="43"/>
  <c r="G18" i="43" s="1"/>
  <c r="V18" i="43" s="1"/>
  <c r="Z18" i="43" s="1"/>
  <c r="BK17" i="43"/>
  <c r="G17" i="43" s="1"/>
  <c r="BK15" i="43"/>
  <c r="BK91" i="44"/>
  <c r="G91" i="44" s="1"/>
  <c r="E52" i="51" s="1"/>
  <c r="BK88" i="44"/>
  <c r="G88" i="44" s="1"/>
  <c r="BK85" i="44"/>
  <c r="G85" i="44" s="1"/>
  <c r="V85" i="44" s="1"/>
  <c r="Z85" i="44" s="1"/>
  <c r="BK84" i="44"/>
  <c r="G84" i="44" s="1"/>
  <c r="H84" i="44" s="1"/>
  <c r="Q84" i="44" s="1"/>
  <c r="BK81" i="44"/>
  <c r="G81" i="44" s="1"/>
  <c r="BK80" i="44"/>
  <c r="G80" i="44" s="1"/>
  <c r="H80" i="44" s="1"/>
  <c r="BK78" i="44"/>
  <c r="G78" i="44" s="1"/>
  <c r="BK77" i="44"/>
  <c r="G77" i="44" s="1"/>
  <c r="BK76" i="44"/>
  <c r="G76" i="44" s="1"/>
  <c r="BK75" i="44"/>
  <c r="G75" i="44" s="1"/>
  <c r="H75" i="44" s="1"/>
  <c r="Q75" i="44" s="1"/>
  <c r="BK74" i="44"/>
  <c r="G74" i="44" s="1"/>
  <c r="H74" i="44" s="1"/>
  <c r="Q74" i="44" s="1"/>
  <c r="BK73" i="44"/>
  <c r="G73" i="44" s="1"/>
  <c r="BK72" i="44"/>
  <c r="G72" i="44" s="1"/>
  <c r="BK71" i="44"/>
  <c r="G71" i="44" s="1"/>
  <c r="BK70" i="44"/>
  <c r="G70" i="44" s="1"/>
  <c r="BK69" i="44"/>
  <c r="G69" i="44" s="1"/>
  <c r="BK68" i="44"/>
  <c r="G68" i="44" s="1"/>
  <c r="BK67" i="44"/>
  <c r="G67" i="44" s="1"/>
  <c r="S67" i="44" s="1"/>
  <c r="W67" i="44" s="1"/>
  <c r="BK66" i="44"/>
  <c r="G66" i="44" s="1"/>
  <c r="U66" i="44" s="1"/>
  <c r="Y66" i="44" s="1"/>
  <c r="BK63" i="44"/>
  <c r="G63" i="44" s="1"/>
  <c r="BK62" i="44"/>
  <c r="G62" i="44" s="1"/>
  <c r="H62" i="44" s="1"/>
  <c r="BK61" i="44"/>
  <c r="G61" i="44" s="1"/>
  <c r="H61" i="44" s="1"/>
  <c r="J61" i="44" s="1"/>
  <c r="BK60" i="44"/>
  <c r="G60" i="44" s="1"/>
  <c r="H60" i="44" s="1"/>
  <c r="BK59" i="44"/>
  <c r="G59" i="44" s="1"/>
  <c r="BK58" i="44"/>
  <c r="G58" i="44" s="1"/>
  <c r="BK57" i="44"/>
  <c r="G57" i="44" s="1"/>
  <c r="BK56" i="44"/>
  <c r="G56" i="44" s="1"/>
  <c r="H56" i="44" s="1"/>
  <c r="Q56" i="44" s="1"/>
  <c r="BK55" i="44"/>
  <c r="G55" i="44" s="1"/>
  <c r="BK54" i="44"/>
  <c r="G54" i="44" s="1"/>
  <c r="U54" i="44" s="1"/>
  <c r="Y54" i="44" s="1"/>
  <c r="BK53" i="44"/>
  <c r="G53" i="44" s="1"/>
  <c r="BK52" i="44"/>
  <c r="G52" i="44" s="1"/>
  <c r="BK51" i="44"/>
  <c r="G51" i="44" s="1"/>
  <c r="BK50" i="44"/>
  <c r="G50" i="44" s="1"/>
  <c r="BK49" i="44"/>
  <c r="BK48" i="44"/>
  <c r="G48" i="44" s="1"/>
  <c r="BK46" i="44"/>
  <c r="G46" i="44" s="1"/>
  <c r="BK45" i="44"/>
  <c r="G45" i="44" s="1"/>
  <c r="BK44" i="44"/>
  <c r="G44" i="44" s="1"/>
  <c r="BK43" i="44"/>
  <c r="G43" i="44" s="1"/>
  <c r="BK42" i="44"/>
  <c r="G42" i="44" s="1"/>
  <c r="BK39" i="44"/>
  <c r="G39" i="44" s="1"/>
  <c r="BK38" i="44"/>
  <c r="G38" i="44" s="1"/>
  <c r="BK36" i="44"/>
  <c r="G36" i="44" s="1"/>
  <c r="BK35" i="44"/>
  <c r="G35" i="44" s="1"/>
  <c r="BK31" i="44"/>
  <c r="G31" i="44" s="1"/>
  <c r="BK30" i="44"/>
  <c r="G30" i="44" s="1"/>
  <c r="BK29" i="44"/>
  <c r="BK27" i="44"/>
  <c r="G27" i="44" s="1"/>
  <c r="BK26" i="44"/>
  <c r="G26" i="44" s="1"/>
  <c r="BK25" i="44"/>
  <c r="G25" i="44" s="1"/>
  <c r="BK24" i="44"/>
  <c r="G24" i="44" s="1"/>
  <c r="BK23" i="44"/>
  <c r="G23" i="44" s="1"/>
  <c r="BK22" i="44"/>
  <c r="G22" i="44" s="1"/>
  <c r="BK21" i="44"/>
  <c r="G21" i="44" s="1"/>
  <c r="BK19" i="44"/>
  <c r="BK15" i="44"/>
  <c r="G15" i="44" s="1"/>
  <c r="BK14" i="44"/>
  <c r="BK12" i="44"/>
  <c r="BK13" i="44" s="1"/>
  <c r="Z48" i="43"/>
  <c r="Y48" i="43"/>
  <c r="X48" i="43"/>
  <c r="W48" i="43"/>
  <c r="BK30" i="47"/>
  <c r="G30" i="47" s="1"/>
  <c r="E16" i="51" s="1"/>
  <c r="BL30" i="47"/>
  <c r="H30" i="47" s="1"/>
  <c r="F16" i="51" s="1"/>
  <c r="BI55" i="46"/>
  <c r="E55" i="46" s="1"/>
  <c r="BJ34" i="41"/>
  <c r="F34" i="41" s="1"/>
  <c r="E82" i="51" s="1"/>
  <c r="BH46" i="43"/>
  <c r="BJ23" i="41"/>
  <c r="AZ58" i="43"/>
  <c r="AZ47" i="47"/>
  <c r="BK20" i="44"/>
  <c r="G20" i="44" s="1"/>
  <c r="BL32" i="43"/>
  <c r="AL56" i="43"/>
  <c r="AL46" i="43"/>
  <c r="AL58" i="43"/>
  <c r="AJ58" i="43"/>
  <c r="AH58" i="43"/>
  <c r="AF58" i="43"/>
  <c r="AA34" i="41"/>
  <c r="AA23" i="41"/>
  <c r="AB58" i="43"/>
  <c r="AB47" i="43"/>
  <c r="AB48" i="43"/>
  <c r="AB34" i="43"/>
  <c r="BL34" i="43" s="1"/>
  <c r="H34" i="43" s="1"/>
  <c r="Z21" i="45"/>
  <c r="AG58" i="45"/>
  <c r="AG69" i="45"/>
  <c r="BI51" i="45"/>
  <c r="BI50" i="45"/>
  <c r="BI49" i="45"/>
  <c r="BI48" i="45"/>
  <c r="BB21" i="43"/>
  <c r="BI47" i="45"/>
  <c r="BI46" i="45"/>
  <c r="AG62" i="45"/>
  <c r="BJ66" i="45"/>
  <c r="AG66" i="45"/>
  <c r="BG66" i="45"/>
  <c r="BC66" i="45"/>
  <c r="BA66" i="45"/>
  <c r="AY66" i="45"/>
  <c r="AK66" i="45"/>
  <c r="AI66" i="45"/>
  <c r="AE66" i="45"/>
  <c r="AC66" i="45"/>
  <c r="AA66" i="45"/>
  <c r="BI66" i="45"/>
  <c r="BJ64" i="45"/>
  <c r="F64" i="45" s="1"/>
  <c r="S64" i="45" s="1"/>
  <c r="W64" i="45" s="1"/>
  <c r="BA34" i="25"/>
  <c r="BA18" i="25"/>
  <c r="BB18" i="43"/>
  <c r="BI64" i="45"/>
  <c r="BG64" i="45"/>
  <c r="BE64" i="45"/>
  <c r="BC64" i="45"/>
  <c r="BA64" i="45"/>
  <c r="AY64" i="45"/>
  <c r="AK64" i="45"/>
  <c r="AI64" i="45"/>
  <c r="AG64" i="45"/>
  <c r="AE64" i="45"/>
  <c r="AC64" i="45"/>
  <c r="AA64" i="45"/>
  <c r="BJ62" i="45"/>
  <c r="F62" i="45" s="1"/>
  <c r="R62" i="45" s="1"/>
  <c r="V62" i="45" s="1"/>
  <c r="BI62" i="45"/>
  <c r="BG62" i="45"/>
  <c r="BE62" i="45"/>
  <c r="BC62" i="45"/>
  <c r="BA62" i="45"/>
  <c r="AY62" i="45"/>
  <c r="AK62" i="45"/>
  <c r="AI62" i="45"/>
  <c r="AE62" i="45"/>
  <c r="AC62" i="45"/>
  <c r="BJ63" i="45"/>
  <c r="F63" i="45" s="1"/>
  <c r="S63" i="45" s="1"/>
  <c r="W63" i="45" s="1"/>
  <c r="BI63" i="45"/>
  <c r="BG63" i="45"/>
  <c r="BE63" i="45"/>
  <c r="BC63" i="45"/>
  <c r="BA63" i="45"/>
  <c r="AY63" i="45"/>
  <c r="AK63" i="45"/>
  <c r="AI63" i="45"/>
  <c r="AG63" i="45"/>
  <c r="AE63" i="45"/>
  <c r="AC63" i="45"/>
  <c r="AA63" i="45"/>
  <c r="K64" i="43"/>
  <c r="L64" i="43"/>
  <c r="M64" i="43"/>
  <c r="N64" i="43"/>
  <c r="O64" i="43"/>
  <c r="P64" i="43"/>
  <c r="R64" i="43"/>
  <c r="AA64" i="43"/>
  <c r="AC64" i="43"/>
  <c r="AE64" i="43"/>
  <c r="AG64" i="43"/>
  <c r="AI64" i="43"/>
  <c r="AK64" i="43"/>
  <c r="AY64" i="43"/>
  <c r="BA64" i="43"/>
  <c r="BC64" i="43"/>
  <c r="BE64" i="43"/>
  <c r="BG64" i="43"/>
  <c r="BM64" i="43"/>
  <c r="BO64" i="43"/>
  <c r="BM59" i="43"/>
  <c r="BP59" i="43"/>
  <c r="BP61" i="43" s="1"/>
  <c r="BR59" i="43"/>
  <c r="BR61" i="43" s="1"/>
  <c r="BR64" i="43" s="1"/>
  <c r="BT59" i="43"/>
  <c r="BT61" i="43" s="1"/>
  <c r="BT64" i="43" s="1"/>
  <c r="BU59" i="43"/>
  <c r="BU61" i="43" s="1"/>
  <c r="BU64" i="43" s="1"/>
  <c r="BB63" i="43"/>
  <c r="BB64" i="43" s="1"/>
  <c r="AD47" i="43"/>
  <c r="AH47" i="43"/>
  <c r="AF47" i="43"/>
  <c r="AF46" i="43"/>
  <c r="AB46" i="43"/>
  <c r="BD47" i="47"/>
  <c r="BJ55" i="45"/>
  <c r="F55" i="45" s="1"/>
  <c r="S55" i="45" s="1"/>
  <c r="BI55" i="45"/>
  <c r="BJ73" i="45"/>
  <c r="F73" i="45" s="1"/>
  <c r="BE73" i="45"/>
  <c r="BA73" i="45"/>
  <c r="AY73" i="45"/>
  <c r="AE73" i="45"/>
  <c r="AA73" i="45"/>
  <c r="AC73" i="45"/>
  <c r="AG73" i="45"/>
  <c r="AI73" i="45"/>
  <c r="AK73" i="45"/>
  <c r="BG73" i="45"/>
  <c r="BI73" i="45"/>
  <c r="AK20" i="25"/>
  <c r="AY20" i="25"/>
  <c r="BC20" i="25"/>
  <c r="BE20" i="25"/>
  <c r="BG20" i="25"/>
  <c r="BJ20" i="25"/>
  <c r="F20" i="25" s="1"/>
  <c r="G20" i="25" s="1"/>
  <c r="BA20" i="25"/>
  <c r="AG20" i="25"/>
  <c r="AI20" i="25"/>
  <c r="AC20" i="25"/>
  <c r="AE20" i="25"/>
  <c r="AA20" i="25"/>
  <c r="AK29" i="25"/>
  <c r="AH13" i="26"/>
  <c r="BF13" i="26"/>
  <c r="BF14" i="26" s="1"/>
  <c r="BK65" i="46"/>
  <c r="BL65" i="46"/>
  <c r="BO65" i="46"/>
  <c r="BP65" i="46"/>
  <c r="BR65" i="46"/>
  <c r="BS65" i="46"/>
  <c r="BT65" i="46"/>
  <c r="BK56" i="46"/>
  <c r="BL56" i="46"/>
  <c r="BM56" i="46"/>
  <c r="BO56" i="46"/>
  <c r="BP56" i="46"/>
  <c r="BR56" i="46"/>
  <c r="BS56" i="46"/>
  <c r="BT56" i="46"/>
  <c r="BK62" i="46"/>
  <c r="BL62" i="46"/>
  <c r="BM62" i="46"/>
  <c r="BN62" i="46"/>
  <c r="BP62" i="46"/>
  <c r="BR62" i="46"/>
  <c r="BS62" i="46"/>
  <c r="BK53" i="46"/>
  <c r="BL53" i="46"/>
  <c r="BO53" i="46"/>
  <c r="BP53" i="46"/>
  <c r="BR53" i="46"/>
  <c r="BS53" i="46"/>
  <c r="BT53" i="46"/>
  <c r="BK42" i="46"/>
  <c r="BL42" i="46"/>
  <c r="BM42" i="46"/>
  <c r="BO42" i="46"/>
  <c r="BP42" i="46"/>
  <c r="BR42" i="46"/>
  <c r="BS42" i="46"/>
  <c r="BT42" i="46"/>
  <c r="BK35" i="46"/>
  <c r="BL35" i="46"/>
  <c r="BM35" i="46"/>
  <c r="BO35" i="46"/>
  <c r="BP35" i="46"/>
  <c r="BR35" i="46"/>
  <c r="BS35" i="46"/>
  <c r="BT35" i="46"/>
  <c r="BK32" i="46"/>
  <c r="BL32" i="46"/>
  <c r="BK25" i="46"/>
  <c r="BL25" i="46"/>
  <c r="BM25" i="46"/>
  <c r="BO25" i="46"/>
  <c r="BP25" i="46"/>
  <c r="BR25" i="46"/>
  <c r="BS25" i="46"/>
  <c r="BK17" i="46"/>
  <c r="BL17" i="46"/>
  <c r="BM17" i="46"/>
  <c r="BN17" i="46"/>
  <c r="BP17" i="46"/>
  <c r="BR17" i="46"/>
  <c r="BS17" i="46"/>
  <c r="BT17" i="46"/>
  <c r="BK15" i="46"/>
  <c r="BL15" i="46"/>
  <c r="BM15" i="46"/>
  <c r="BO15" i="46"/>
  <c r="BP15" i="46"/>
  <c r="BR15" i="46"/>
  <c r="BS15" i="46"/>
  <c r="I65" i="46"/>
  <c r="J65" i="46"/>
  <c r="K65" i="46"/>
  <c r="L65" i="46"/>
  <c r="M65" i="46"/>
  <c r="N65" i="46"/>
  <c r="O65" i="46"/>
  <c r="P65" i="46"/>
  <c r="AA65" i="46"/>
  <c r="AC65" i="46"/>
  <c r="AE65" i="46"/>
  <c r="AG65" i="46"/>
  <c r="AI65" i="46"/>
  <c r="AW65" i="46"/>
  <c r="AY65" i="46"/>
  <c r="BA65" i="46"/>
  <c r="BC65" i="46"/>
  <c r="BE65" i="46"/>
  <c r="BG65" i="46"/>
  <c r="BM50" i="47"/>
  <c r="BN50" i="47"/>
  <c r="BN33" i="47"/>
  <c r="BO33" i="47"/>
  <c r="BR33" i="47"/>
  <c r="BT33" i="47"/>
  <c r="BU33" i="47"/>
  <c r="BV33" i="47"/>
  <c r="BN26" i="47"/>
  <c r="BM15" i="47"/>
  <c r="BN15" i="47"/>
  <c r="BO15" i="47"/>
  <c r="BQ15" i="47"/>
  <c r="BR15" i="47"/>
  <c r="BT15" i="47"/>
  <c r="BU15" i="47"/>
  <c r="BL100" i="45"/>
  <c r="BM100" i="45"/>
  <c r="BN100" i="45"/>
  <c r="BO100" i="45"/>
  <c r="BQ100" i="45"/>
  <c r="BS100" i="45"/>
  <c r="BT100" i="45"/>
  <c r="BU100" i="45"/>
  <c r="BL76" i="45"/>
  <c r="BM76" i="45"/>
  <c r="BQ76" i="45"/>
  <c r="BS76" i="45"/>
  <c r="BT76" i="45"/>
  <c r="BU76" i="45"/>
  <c r="BL52" i="45"/>
  <c r="BM52" i="45"/>
  <c r="BO52" i="45"/>
  <c r="BP52" i="45"/>
  <c r="BQ52" i="45"/>
  <c r="BS52" i="45"/>
  <c r="BT52" i="45"/>
  <c r="BU52" i="45"/>
  <c r="BL39" i="45"/>
  <c r="BM39" i="45"/>
  <c r="BO39" i="45"/>
  <c r="BP39" i="45"/>
  <c r="BQ39" i="45"/>
  <c r="BS39" i="45"/>
  <c r="BT39" i="45"/>
  <c r="BU39" i="45"/>
  <c r="BL34" i="45"/>
  <c r="BM34" i="45"/>
  <c r="BO34" i="45"/>
  <c r="BQ34" i="45"/>
  <c r="BS34" i="45"/>
  <c r="BT34" i="45"/>
  <c r="BU34" i="45"/>
  <c r="BO64" i="44"/>
  <c r="C20" i="52" s="1"/>
  <c r="BO82" i="44"/>
  <c r="C21" i="52" s="1"/>
  <c r="BP82" i="44"/>
  <c r="D21" i="52" s="1"/>
  <c r="BR82" i="44"/>
  <c r="F21" i="52" s="1"/>
  <c r="BT82" i="44"/>
  <c r="BU82" i="44"/>
  <c r="BV82" i="44"/>
  <c r="BP64" i="44"/>
  <c r="D20" i="52" s="1"/>
  <c r="BR64" i="44"/>
  <c r="F20" i="52" s="1"/>
  <c r="BT64" i="44"/>
  <c r="BU64" i="44"/>
  <c r="BV64" i="44"/>
  <c r="BR40" i="44"/>
  <c r="F19" i="52" s="1"/>
  <c r="BT40" i="44"/>
  <c r="BU40" i="44"/>
  <c r="BV40" i="44"/>
  <c r="BN40" i="44"/>
  <c r="BO40" i="44"/>
  <c r="C19" i="52" s="1"/>
  <c r="BP40" i="44"/>
  <c r="D19" i="52" s="1"/>
  <c r="BV20" i="44"/>
  <c r="BV21" i="44"/>
  <c r="BV30" i="44"/>
  <c r="BV31" i="44"/>
  <c r="BS22" i="44"/>
  <c r="BS23" i="44"/>
  <c r="BS24" i="44"/>
  <c r="BS25" i="44"/>
  <c r="BS26" i="44"/>
  <c r="BS27" i="44"/>
  <c r="BS29" i="44"/>
  <c r="BS30" i="44"/>
  <c r="BI14" i="43"/>
  <c r="BM44" i="43"/>
  <c r="BN44" i="43"/>
  <c r="BO44" i="43"/>
  <c r="BP44" i="43"/>
  <c r="BR44" i="43"/>
  <c r="BT44" i="43"/>
  <c r="BU44" i="43"/>
  <c r="BV13" i="43"/>
  <c r="BW31" i="42"/>
  <c r="BW33" i="42"/>
  <c r="BW38" i="42"/>
  <c r="BN52" i="42"/>
  <c r="BO52" i="42"/>
  <c r="BN46" i="42"/>
  <c r="BO46" i="42"/>
  <c r="BQ46" i="42"/>
  <c r="BS46" i="42"/>
  <c r="BU46" i="42"/>
  <c r="BV46" i="42"/>
  <c r="BN39" i="42"/>
  <c r="BO39" i="42"/>
  <c r="BS39" i="42"/>
  <c r="BU39" i="42"/>
  <c r="BV39" i="42"/>
  <c r="BN28" i="42"/>
  <c r="BO28" i="42"/>
  <c r="BQ28" i="42"/>
  <c r="BR28" i="42"/>
  <c r="BS28" i="42"/>
  <c r="BU28" i="42"/>
  <c r="BU49" i="42" s="1"/>
  <c r="BU52" i="42" s="1"/>
  <c r="BV28" i="42"/>
  <c r="BN19" i="42"/>
  <c r="BO19" i="42"/>
  <c r="BQ19" i="42"/>
  <c r="BR19" i="42"/>
  <c r="BS19" i="42"/>
  <c r="BU19" i="42"/>
  <c r="BV19" i="42"/>
  <c r="BN15" i="42"/>
  <c r="BO15" i="42"/>
  <c r="BQ15" i="42"/>
  <c r="BR15" i="42"/>
  <c r="BS15" i="42"/>
  <c r="BU15" i="42"/>
  <c r="BV15" i="42"/>
  <c r="BM35" i="26"/>
  <c r="K34" i="26"/>
  <c r="L34" i="26"/>
  <c r="M34" i="26"/>
  <c r="N34" i="26"/>
  <c r="O34" i="26"/>
  <c r="P34" i="26"/>
  <c r="Q34" i="26"/>
  <c r="R34" i="26"/>
  <c r="S34" i="26"/>
  <c r="U34" i="26"/>
  <c r="V34" i="26"/>
  <c r="AA34" i="26"/>
  <c r="AC34" i="26"/>
  <c r="AE34" i="26"/>
  <c r="AG34" i="26"/>
  <c r="AI34" i="26"/>
  <c r="AK34" i="26"/>
  <c r="AL34" i="26"/>
  <c r="AY34" i="26"/>
  <c r="AZ34" i="26"/>
  <c r="BA34" i="26"/>
  <c r="BC34" i="26"/>
  <c r="BD34" i="26"/>
  <c r="BE34" i="26"/>
  <c r="BF34" i="26"/>
  <c r="BG34" i="26"/>
  <c r="BH34" i="26"/>
  <c r="BI34" i="26"/>
  <c r="BN34" i="26"/>
  <c r="K27" i="26"/>
  <c r="L27" i="26"/>
  <c r="M27" i="26"/>
  <c r="N27" i="26"/>
  <c r="O27" i="26"/>
  <c r="P27" i="26"/>
  <c r="Q27" i="26"/>
  <c r="R27" i="26"/>
  <c r="S27" i="26"/>
  <c r="T27" i="26"/>
  <c r="U27" i="26"/>
  <c r="AA27" i="26"/>
  <c r="AC27" i="26"/>
  <c r="AE27" i="26"/>
  <c r="AG27" i="26"/>
  <c r="AI27" i="26"/>
  <c r="AK27" i="26"/>
  <c r="AL27" i="26"/>
  <c r="AY27" i="26"/>
  <c r="AZ27" i="26"/>
  <c r="BA27" i="26"/>
  <c r="BC27" i="26"/>
  <c r="BD27" i="26"/>
  <c r="BE27" i="26"/>
  <c r="BF27" i="26"/>
  <c r="BG27" i="26"/>
  <c r="BH27" i="26"/>
  <c r="BI27" i="26"/>
  <c r="BN27" i="26"/>
  <c r="BO27" i="26"/>
  <c r="BQ27" i="26"/>
  <c r="BR27" i="26"/>
  <c r="BT27" i="26"/>
  <c r="BU27" i="26"/>
  <c r="K22" i="26"/>
  <c r="L22" i="26"/>
  <c r="M22" i="26"/>
  <c r="N22" i="26"/>
  <c r="O22" i="26"/>
  <c r="P22" i="26"/>
  <c r="Q22" i="26"/>
  <c r="R22" i="26"/>
  <c r="S22" i="26"/>
  <c r="T22" i="26"/>
  <c r="V22" i="26"/>
  <c r="AA22" i="26"/>
  <c r="AC22" i="26"/>
  <c r="AE22" i="26"/>
  <c r="AG22" i="26"/>
  <c r="AI22" i="26"/>
  <c r="AK22" i="26"/>
  <c r="AL22" i="26"/>
  <c r="AY22" i="26"/>
  <c r="AZ22" i="26"/>
  <c r="BA22" i="26"/>
  <c r="BC22" i="26"/>
  <c r="BD22" i="26"/>
  <c r="BE22" i="26"/>
  <c r="BF22" i="26"/>
  <c r="BG22" i="26"/>
  <c r="BH22" i="26"/>
  <c r="BI22" i="26"/>
  <c r="BN22" i="26"/>
  <c r="BO22" i="26"/>
  <c r="BQ22" i="26"/>
  <c r="BR22" i="26"/>
  <c r="BT22" i="26"/>
  <c r="BU22" i="26"/>
  <c r="K18" i="26"/>
  <c r="L18" i="26"/>
  <c r="M18" i="26"/>
  <c r="N18" i="26"/>
  <c r="O18" i="26"/>
  <c r="P18" i="26"/>
  <c r="Q18" i="26"/>
  <c r="R18" i="26"/>
  <c r="AA18" i="26"/>
  <c r="AC18" i="26"/>
  <c r="AE18" i="26"/>
  <c r="AG18" i="26"/>
  <c r="AI18" i="26"/>
  <c r="AK18" i="26"/>
  <c r="AY18" i="26"/>
  <c r="BA18" i="26"/>
  <c r="BC18" i="26"/>
  <c r="BE18" i="26"/>
  <c r="BG18" i="26"/>
  <c r="BI18" i="26"/>
  <c r="BN18" i="26"/>
  <c r="BO18" i="26"/>
  <c r="BQ18" i="26"/>
  <c r="BR18" i="26"/>
  <c r="BT18" i="26"/>
  <c r="BU18" i="26"/>
  <c r="BN14" i="26"/>
  <c r="BO14" i="26"/>
  <c r="BQ14" i="26"/>
  <c r="BR14" i="26"/>
  <c r="BT14" i="26"/>
  <c r="BU14" i="26"/>
  <c r="BK13" i="26"/>
  <c r="G13" i="26" s="1"/>
  <c r="BL88" i="24"/>
  <c r="BM88" i="24"/>
  <c r="BN88" i="24"/>
  <c r="BO88" i="24"/>
  <c r="BP88" i="24"/>
  <c r="BQ88" i="24"/>
  <c r="BS88" i="24"/>
  <c r="BU36" i="24"/>
  <c r="BU37" i="24"/>
  <c r="BU38" i="24"/>
  <c r="BU40" i="24"/>
  <c r="BV40" i="24" s="1"/>
  <c r="BU41" i="24"/>
  <c r="BU42" i="24"/>
  <c r="BU43" i="24"/>
  <c r="BU47" i="24"/>
  <c r="BL48" i="24"/>
  <c r="BM48" i="24"/>
  <c r="BR44" i="24"/>
  <c r="BU13" i="24"/>
  <c r="BU14" i="24"/>
  <c r="BU15" i="24"/>
  <c r="BU17" i="24"/>
  <c r="BU18" i="24"/>
  <c r="BU19" i="24"/>
  <c r="BU20" i="24"/>
  <c r="BU21" i="24"/>
  <c r="BU22" i="24"/>
  <c r="BU23" i="24"/>
  <c r="BU24" i="24"/>
  <c r="BO16" i="25"/>
  <c r="BP16" i="25"/>
  <c r="BQ16" i="25"/>
  <c r="BQ21" i="25" s="1"/>
  <c r="BQ30" i="25" s="1"/>
  <c r="BS16" i="25"/>
  <c r="BR19" i="25"/>
  <c r="BU22" i="25"/>
  <c r="BU23" i="25"/>
  <c r="BU24" i="25"/>
  <c r="BU25" i="25"/>
  <c r="BU26" i="25"/>
  <c r="BU27" i="25"/>
  <c r="BU28" i="25"/>
  <c r="BU29" i="25"/>
  <c r="BL55" i="25"/>
  <c r="BM55" i="25"/>
  <c r="BP55" i="25"/>
  <c r="BL48" i="25"/>
  <c r="BM48" i="25"/>
  <c r="BN48" i="25"/>
  <c r="BO48" i="25"/>
  <c r="BP48" i="25"/>
  <c r="BQ48" i="25"/>
  <c r="BT48" i="25"/>
  <c r="BL30" i="25"/>
  <c r="BM30" i="25"/>
  <c r="BO30" i="25"/>
  <c r="BM16" i="25"/>
  <c r="BQ45" i="41"/>
  <c r="BS45" i="41"/>
  <c r="BT45" i="41"/>
  <c r="BU45" i="41"/>
  <c r="BN39" i="41"/>
  <c r="BN40" i="41" s="1"/>
  <c r="BO37" i="41"/>
  <c r="BQ37" i="41"/>
  <c r="BS37" i="41"/>
  <c r="BT37" i="41"/>
  <c r="BU37" i="41"/>
  <c r="BW45" i="43"/>
  <c r="L37" i="43"/>
  <c r="N37" i="43"/>
  <c r="O37" i="43"/>
  <c r="P37" i="43"/>
  <c r="R37" i="43"/>
  <c r="AA37" i="43"/>
  <c r="AC37" i="43"/>
  <c r="AE37" i="43"/>
  <c r="AG37" i="43"/>
  <c r="AI37" i="43"/>
  <c r="AK37" i="43"/>
  <c r="AY37" i="43"/>
  <c r="BA37" i="43"/>
  <c r="BC37" i="43"/>
  <c r="BE37" i="43"/>
  <c r="BG37" i="43"/>
  <c r="BI37" i="43"/>
  <c r="BM37" i="43"/>
  <c r="BN37" i="43"/>
  <c r="BO37" i="43"/>
  <c r="BP37" i="43"/>
  <c r="BR37" i="43"/>
  <c r="BT37" i="43"/>
  <c r="BU37" i="43"/>
  <c r="K22" i="43"/>
  <c r="L22" i="43"/>
  <c r="N22" i="43"/>
  <c r="O22" i="43"/>
  <c r="P22" i="43"/>
  <c r="R22" i="43"/>
  <c r="AE22" i="43"/>
  <c r="BG22" i="43"/>
  <c r="BI22" i="43"/>
  <c r="BM22" i="43"/>
  <c r="BN22" i="43"/>
  <c r="BO22" i="43"/>
  <c r="BP22" i="43"/>
  <c r="BR22" i="43"/>
  <c r="BT22" i="43"/>
  <c r="BU22" i="43"/>
  <c r="K14" i="43"/>
  <c r="M14" i="43"/>
  <c r="N14" i="43"/>
  <c r="P14" i="43"/>
  <c r="Q14" i="43"/>
  <c r="R14" i="43"/>
  <c r="BM14" i="43"/>
  <c r="BN14" i="43"/>
  <c r="BO14" i="43"/>
  <c r="BR14" i="43"/>
  <c r="BT14" i="43"/>
  <c r="BU14" i="43"/>
  <c r="J15" i="42"/>
  <c r="L15" i="42"/>
  <c r="M15" i="42"/>
  <c r="O15" i="42"/>
  <c r="P15" i="42"/>
  <c r="Q15" i="42"/>
  <c r="AB15" i="42"/>
  <c r="AD15" i="42"/>
  <c r="AF15" i="42"/>
  <c r="AH15" i="42"/>
  <c r="AJ15" i="42"/>
  <c r="AL15" i="42"/>
  <c r="AZ15" i="42"/>
  <c r="BB15" i="42"/>
  <c r="BD15" i="42"/>
  <c r="BF15" i="42"/>
  <c r="BH15" i="42"/>
  <c r="J28" i="42"/>
  <c r="K28" i="42"/>
  <c r="L28" i="42"/>
  <c r="O28" i="42"/>
  <c r="P28" i="42"/>
  <c r="Q28" i="42"/>
  <c r="R28" i="42"/>
  <c r="S28" i="42"/>
  <c r="AB28" i="42"/>
  <c r="AD28" i="42"/>
  <c r="AF28" i="42"/>
  <c r="AH28" i="42"/>
  <c r="AJ28" i="42"/>
  <c r="AL28" i="42"/>
  <c r="AZ28" i="42"/>
  <c r="BB28" i="42"/>
  <c r="BD28" i="42"/>
  <c r="BF28" i="42"/>
  <c r="BH28" i="42"/>
  <c r="BJ28" i="42"/>
  <c r="BG68" i="45"/>
  <c r="BJ68" i="45"/>
  <c r="F68" i="45" s="1"/>
  <c r="G68" i="45" s="1"/>
  <c r="L68" i="45" s="1"/>
  <c r="BE68" i="45"/>
  <c r="BC68" i="45"/>
  <c r="BA68" i="45"/>
  <c r="AY68" i="45"/>
  <c r="AK68" i="45"/>
  <c r="AI68" i="45"/>
  <c r="AG68" i="45"/>
  <c r="AE68" i="45"/>
  <c r="AC68" i="45"/>
  <c r="AA68" i="45"/>
  <c r="BG67" i="45"/>
  <c r="BJ67" i="45"/>
  <c r="F67" i="45" s="1"/>
  <c r="S67" i="45" s="1"/>
  <c r="W67" i="45" s="1"/>
  <c r="BE67" i="45"/>
  <c r="BC67" i="45"/>
  <c r="BA67" i="45"/>
  <c r="AY67" i="45"/>
  <c r="AK67" i="45"/>
  <c r="AI67" i="45"/>
  <c r="AG67" i="45"/>
  <c r="AE67" i="45"/>
  <c r="AC67" i="45"/>
  <c r="AA67" i="45"/>
  <c r="BE15" i="46"/>
  <c r="BA15" i="46"/>
  <c r="BL44" i="47"/>
  <c r="BK44" i="47"/>
  <c r="G44" i="47" s="1"/>
  <c r="AA43" i="47"/>
  <c r="AC43" i="47"/>
  <c r="AE43" i="47"/>
  <c r="AG43" i="47"/>
  <c r="AK43" i="47"/>
  <c r="AL43" i="47" s="1"/>
  <c r="W88" i="44"/>
  <c r="BJ88" i="44"/>
  <c r="BD88" i="44"/>
  <c r="M46" i="42"/>
  <c r="O46" i="42"/>
  <c r="P46" i="42"/>
  <c r="Q46" i="42"/>
  <c r="R46" i="42"/>
  <c r="S46" i="42"/>
  <c r="AB46" i="42"/>
  <c r="AD46" i="42"/>
  <c r="AF46" i="42"/>
  <c r="AH46" i="42"/>
  <c r="AJ46" i="42"/>
  <c r="AL46" i="42"/>
  <c r="AZ46" i="42"/>
  <c r="BB46" i="42"/>
  <c r="BD46" i="42"/>
  <c r="BF46" i="42"/>
  <c r="BH46" i="42"/>
  <c r="BJ46" i="42"/>
  <c r="BF51" i="43"/>
  <c r="AH51" i="43"/>
  <c r="BJ55" i="43"/>
  <c r="BH55" i="43"/>
  <c r="BF55" i="43"/>
  <c r="BD55" i="43"/>
  <c r="BB55" i="43"/>
  <c r="AZ55" i="43"/>
  <c r="BH54" i="43"/>
  <c r="BF54" i="43"/>
  <c r="BD54" i="43"/>
  <c r="AZ54" i="43"/>
  <c r="AL54" i="43"/>
  <c r="AJ54" i="43"/>
  <c r="AH54" i="43"/>
  <c r="AF54" i="43"/>
  <c r="AD54" i="43"/>
  <c r="AB54" i="43"/>
  <c r="BH52" i="43"/>
  <c r="BF52" i="43"/>
  <c r="BD52" i="43"/>
  <c r="BB52" i="43"/>
  <c r="AZ52" i="43"/>
  <c r="AL52" i="43"/>
  <c r="AJ52" i="43"/>
  <c r="AH52" i="43"/>
  <c r="AF52" i="43"/>
  <c r="AD52" i="43"/>
  <c r="AB52" i="43"/>
  <c r="BJ50" i="43"/>
  <c r="BH50" i="43"/>
  <c r="BF50" i="43"/>
  <c r="BB50" i="43"/>
  <c r="AZ50" i="43"/>
  <c r="AL50" i="43"/>
  <c r="AJ50" i="43"/>
  <c r="AH50" i="43"/>
  <c r="AF50" i="43"/>
  <c r="AD50" i="43"/>
  <c r="AB50" i="43"/>
  <c r="K58" i="43"/>
  <c r="L58" i="43"/>
  <c r="L59" i="43" s="1"/>
  <c r="M58" i="43"/>
  <c r="N58" i="43"/>
  <c r="O58" i="43"/>
  <c r="O59" i="43" s="1"/>
  <c r="P58" i="43"/>
  <c r="P59" i="43" s="1"/>
  <c r="R58" i="43"/>
  <c r="AD58" i="43"/>
  <c r="AC59" i="43"/>
  <c r="AK59" i="43"/>
  <c r="AY59" i="43"/>
  <c r="BB58" i="43"/>
  <c r="BC59" i="43"/>
  <c r="BE59" i="43"/>
  <c r="BG59" i="43"/>
  <c r="BI58" i="43"/>
  <c r="BJ58" i="43"/>
  <c r="BB56" i="43"/>
  <c r="AH56" i="43"/>
  <c r="AF45" i="43"/>
  <c r="AA31" i="41"/>
  <c r="AC31" i="41"/>
  <c r="AE31" i="41"/>
  <c r="AG31" i="41"/>
  <c r="AI31" i="41"/>
  <c r="AK31" i="41"/>
  <c r="AY31" i="41"/>
  <c r="BA31" i="41"/>
  <c r="BC31" i="41"/>
  <c r="BE31" i="41"/>
  <c r="BI31" i="41"/>
  <c r="BG31" i="41"/>
  <c r="BJ31" i="41"/>
  <c r="F31" i="41" s="1"/>
  <c r="BK38" i="42"/>
  <c r="BK33" i="42"/>
  <c r="BK31" i="42"/>
  <c r="BI31" i="42"/>
  <c r="BI33" i="42"/>
  <c r="BG31" i="42"/>
  <c r="BG33" i="42"/>
  <c r="BE31" i="42"/>
  <c r="BE33" i="42"/>
  <c r="BC31" i="42"/>
  <c r="BC33" i="42"/>
  <c r="BA31" i="42"/>
  <c r="BA33" i="42"/>
  <c r="AM31" i="42"/>
  <c r="AM33" i="42"/>
  <c r="AK31" i="42"/>
  <c r="AK33" i="42"/>
  <c r="AI31" i="42"/>
  <c r="AI33" i="42"/>
  <c r="AG31" i="42"/>
  <c r="AG33" i="42"/>
  <c r="AE31" i="42"/>
  <c r="AE33" i="42"/>
  <c r="AC31" i="42"/>
  <c r="AC33" i="42"/>
  <c r="BL33" i="42"/>
  <c r="H33" i="42" s="1"/>
  <c r="AC28" i="41"/>
  <c r="AC29" i="41"/>
  <c r="AA28" i="41"/>
  <c r="AA29" i="41"/>
  <c r="AA27" i="41"/>
  <c r="AC27" i="41"/>
  <c r="BI25" i="42"/>
  <c r="BI26" i="42"/>
  <c r="AK25" i="42"/>
  <c r="AK26" i="42"/>
  <c r="AI25" i="42"/>
  <c r="AI26" i="42"/>
  <c r="AG26" i="42"/>
  <c r="AC21" i="42"/>
  <c r="AE21" i="42"/>
  <c r="AG21" i="42"/>
  <c r="AI21" i="42"/>
  <c r="AK21" i="42"/>
  <c r="AM21" i="42"/>
  <c r="AC22" i="42"/>
  <c r="AE22" i="42"/>
  <c r="AG22" i="42"/>
  <c r="AI22" i="42"/>
  <c r="AK22" i="42"/>
  <c r="AM22" i="42"/>
  <c r="BA22" i="42"/>
  <c r="BC22" i="42"/>
  <c r="BE22" i="42"/>
  <c r="BL25" i="42"/>
  <c r="H25" i="42" s="1"/>
  <c r="I25" i="42" s="1"/>
  <c r="H26" i="42"/>
  <c r="W26" i="42" s="1"/>
  <c r="AG25" i="42"/>
  <c r="AB27" i="44"/>
  <c r="AB29" i="44"/>
  <c r="AD27" i="44"/>
  <c r="AD29" i="44"/>
  <c r="AF27" i="44"/>
  <c r="AF29" i="44"/>
  <c r="AH26" i="44"/>
  <c r="AH27" i="44"/>
  <c r="AH29" i="44"/>
  <c r="AJ26" i="44"/>
  <c r="AJ27" i="44"/>
  <c r="AJ29" i="44"/>
  <c r="AL26" i="44"/>
  <c r="AL27" i="44"/>
  <c r="AL29" i="44"/>
  <c r="AZ26" i="44"/>
  <c r="AZ27" i="44"/>
  <c r="AZ29" i="44"/>
  <c r="BB26" i="44"/>
  <c r="BB27" i="44"/>
  <c r="BB29" i="44"/>
  <c r="BD26" i="44"/>
  <c r="BD27" i="44"/>
  <c r="BD29" i="44"/>
  <c r="BF26" i="44"/>
  <c r="BF27" i="44"/>
  <c r="BF29" i="44"/>
  <c r="BH26" i="44"/>
  <c r="BH27" i="44"/>
  <c r="BH29" i="44"/>
  <c r="BL31" i="42"/>
  <c r="H31" i="42" s="1"/>
  <c r="I31" i="42" s="1"/>
  <c r="N76" i="45"/>
  <c r="O76" i="45"/>
  <c r="P76" i="45"/>
  <c r="Z76" i="45"/>
  <c r="H76" i="45"/>
  <c r="I76" i="45"/>
  <c r="K76" i="45"/>
  <c r="AF26" i="44"/>
  <c r="AD26" i="44"/>
  <c r="AB26" i="44"/>
  <c r="BH25" i="44"/>
  <c r="BF25" i="44"/>
  <c r="BD25" i="44"/>
  <c r="BB25" i="44"/>
  <c r="AZ25" i="44"/>
  <c r="AL25" i="44"/>
  <c r="AJ25" i="44"/>
  <c r="AH25" i="44"/>
  <c r="AF25" i="44"/>
  <c r="AD25" i="44"/>
  <c r="AB25" i="44"/>
  <c r="BH21" i="44"/>
  <c r="BF21" i="44"/>
  <c r="BD21" i="44"/>
  <c r="BB21" i="44"/>
  <c r="AZ21" i="44"/>
  <c r="AL21" i="44"/>
  <c r="AJ21" i="44"/>
  <c r="AH21" i="44"/>
  <c r="AF21" i="44"/>
  <c r="AD21" i="44"/>
  <c r="AB21" i="44"/>
  <c r="BJ20" i="44"/>
  <c r="BH20" i="44"/>
  <c r="AJ20" i="44"/>
  <c r="AH20" i="44"/>
  <c r="BL45" i="42"/>
  <c r="H45" i="42" s="1"/>
  <c r="T45" i="42" s="1"/>
  <c r="BL41" i="42"/>
  <c r="H41" i="42" s="1"/>
  <c r="E69" i="51" s="1"/>
  <c r="BI45" i="42"/>
  <c r="BG45" i="42"/>
  <c r="BE45" i="42"/>
  <c r="BC45" i="42"/>
  <c r="BA45" i="42"/>
  <c r="AM45" i="42"/>
  <c r="AK45" i="42"/>
  <c r="AG45" i="42"/>
  <c r="AE45" i="42"/>
  <c r="AC45" i="42"/>
  <c r="BB24" i="43"/>
  <c r="BJ60" i="45"/>
  <c r="F60" i="45" s="1"/>
  <c r="U60" i="45" s="1"/>
  <c r="Y60" i="45" s="1"/>
  <c r="BG60" i="45"/>
  <c r="BE60" i="45"/>
  <c r="BC60" i="45"/>
  <c r="BA60" i="45"/>
  <c r="AY60" i="45"/>
  <c r="AK60" i="45"/>
  <c r="AI60" i="45"/>
  <c r="AG60" i="45"/>
  <c r="AE60" i="45"/>
  <c r="AC60" i="45"/>
  <c r="AA60" i="45"/>
  <c r="BI60" i="45"/>
  <c r="BJ56" i="45"/>
  <c r="F56" i="45" s="1"/>
  <c r="U56" i="45" s="1"/>
  <c r="Y56" i="45" s="1"/>
  <c r="BJ27" i="41"/>
  <c r="F27" i="41" s="1"/>
  <c r="S27" i="41" s="1"/>
  <c r="W27" i="41" s="1"/>
  <c r="BJ28" i="41"/>
  <c r="F28" i="41" s="1"/>
  <c r="BJ29" i="41"/>
  <c r="F29" i="41" s="1"/>
  <c r="BI27" i="41"/>
  <c r="BI28" i="41"/>
  <c r="BI29" i="41"/>
  <c r="BG27" i="41"/>
  <c r="BG28" i="41"/>
  <c r="BG29" i="41"/>
  <c r="BE27" i="41"/>
  <c r="BE28" i="41"/>
  <c r="BE29" i="41"/>
  <c r="BC27" i="41"/>
  <c r="BC28" i="41"/>
  <c r="BC29" i="41"/>
  <c r="BA27" i="41"/>
  <c r="BA28" i="41"/>
  <c r="BA29" i="41"/>
  <c r="AY27" i="41"/>
  <c r="AY28" i="41"/>
  <c r="AY29" i="41"/>
  <c r="AK27" i="41"/>
  <c r="AK28" i="41"/>
  <c r="AK29" i="41"/>
  <c r="AI27" i="41"/>
  <c r="AI28" i="41"/>
  <c r="AI29" i="41"/>
  <c r="AG27" i="41"/>
  <c r="AG28" i="41"/>
  <c r="AG29" i="41"/>
  <c r="AE27" i="41"/>
  <c r="AE28" i="41"/>
  <c r="AE29" i="41"/>
  <c r="BL51" i="42"/>
  <c r="T51" i="42" s="1"/>
  <c r="X51" i="42" s="1"/>
  <c r="BK51" i="42"/>
  <c r="BG51" i="42"/>
  <c r="BE51" i="42"/>
  <c r="BC51" i="42"/>
  <c r="BA51" i="42"/>
  <c r="AM51" i="42"/>
  <c r="AK51" i="42"/>
  <c r="AI51" i="42"/>
  <c r="AG51" i="42"/>
  <c r="AE51" i="42"/>
  <c r="AC51" i="42"/>
  <c r="BI51" i="42"/>
  <c r="AB52" i="42"/>
  <c r="AD52" i="42"/>
  <c r="AF52" i="42"/>
  <c r="AH52" i="42"/>
  <c r="AJ52" i="42"/>
  <c r="AL52" i="42"/>
  <c r="AZ52" i="42"/>
  <c r="BB52" i="42"/>
  <c r="BD52" i="42"/>
  <c r="BF52" i="42"/>
  <c r="BH52" i="42"/>
  <c r="BJ52" i="42"/>
  <c r="BJ43" i="41"/>
  <c r="F43" i="41" s="1"/>
  <c r="U43" i="41" s="1"/>
  <c r="Y43" i="41" s="1"/>
  <c r="BJ40" i="41"/>
  <c r="F40" i="41" s="1"/>
  <c r="U40" i="41" s="1"/>
  <c r="Y40" i="41" s="1"/>
  <c r="BJ39" i="41"/>
  <c r="F39" i="41" s="1"/>
  <c r="R39" i="41" s="1"/>
  <c r="V39" i="41" s="1"/>
  <c r="BI43" i="41"/>
  <c r="BI40" i="41"/>
  <c r="BI39" i="41"/>
  <c r="BG43" i="41"/>
  <c r="BG40" i="41"/>
  <c r="BG39" i="41"/>
  <c r="BE43" i="41"/>
  <c r="BE40" i="41"/>
  <c r="BE39" i="41"/>
  <c r="BC43" i="41"/>
  <c r="BC40" i="41"/>
  <c r="BC39" i="41"/>
  <c r="BA43" i="41"/>
  <c r="BA40" i="41"/>
  <c r="BA39" i="41"/>
  <c r="AY43" i="41"/>
  <c r="AY39" i="41"/>
  <c r="AK43" i="41"/>
  <c r="AK40" i="41"/>
  <c r="AK39" i="41"/>
  <c r="AI43" i="41"/>
  <c r="AI40" i="41"/>
  <c r="AI39" i="41"/>
  <c r="AG43" i="41"/>
  <c r="AG40" i="41"/>
  <c r="AG39" i="41"/>
  <c r="AE43" i="41"/>
  <c r="AE40" i="41"/>
  <c r="AE39" i="41"/>
  <c r="AC43" i="41"/>
  <c r="AC40" i="41"/>
  <c r="AC39" i="41"/>
  <c r="AA43" i="41"/>
  <c r="AA40" i="41"/>
  <c r="AA39" i="41"/>
  <c r="BH64" i="43"/>
  <c r="BF64" i="43"/>
  <c r="BD64" i="43"/>
  <c r="AZ64" i="43"/>
  <c r="AJ64" i="43"/>
  <c r="AF64" i="43"/>
  <c r="AD64" i="43"/>
  <c r="AB64" i="43"/>
  <c r="BB43" i="43"/>
  <c r="BB42" i="43"/>
  <c r="BB41" i="43"/>
  <c r="BB40" i="43"/>
  <c r="T61" i="43"/>
  <c r="T64" i="43" s="1"/>
  <c r="U61" i="43"/>
  <c r="U64" i="43" s="1"/>
  <c r="V61" i="43"/>
  <c r="V64" i="43" s="1"/>
  <c r="W61" i="43"/>
  <c r="X61" i="43"/>
  <c r="X64" i="43" s="1"/>
  <c r="Y61" i="43"/>
  <c r="Y64" i="43" s="1"/>
  <c r="Z61" i="43"/>
  <c r="Z64" i="43" s="1"/>
  <c r="K44" i="43"/>
  <c r="L44" i="43"/>
  <c r="M44" i="43"/>
  <c r="N44" i="43"/>
  <c r="O44" i="43"/>
  <c r="P44" i="43"/>
  <c r="R44" i="43"/>
  <c r="AA44" i="43"/>
  <c r="AC44" i="43"/>
  <c r="AE44" i="43"/>
  <c r="AG44" i="43"/>
  <c r="AI44" i="43"/>
  <c r="AK44" i="43"/>
  <c r="AY44" i="43"/>
  <c r="BA44" i="43"/>
  <c r="BC44" i="43"/>
  <c r="BE44" i="43"/>
  <c r="BG44" i="43"/>
  <c r="BI44" i="43"/>
  <c r="K16" i="44"/>
  <c r="L16" i="44"/>
  <c r="M16" i="44"/>
  <c r="O16" i="44"/>
  <c r="R16" i="44"/>
  <c r="Z30" i="44"/>
  <c r="Y30" i="44"/>
  <c r="W30" i="44"/>
  <c r="Z19" i="44"/>
  <c r="Y19" i="44"/>
  <c r="W19" i="44"/>
  <c r="Z15" i="44"/>
  <c r="Y15" i="44"/>
  <c r="X15" i="44"/>
  <c r="W15" i="44"/>
  <c r="BJ33" i="26"/>
  <c r="BJ32" i="26"/>
  <c r="BJ31" i="26"/>
  <c r="BJ30" i="26"/>
  <c r="Y97" i="45"/>
  <c r="Y98" i="45"/>
  <c r="Y99" i="45"/>
  <c r="BJ74" i="45"/>
  <c r="F74" i="45" s="1"/>
  <c r="R74" i="45" s="1"/>
  <c r="V74" i="45" s="1"/>
  <c r="BJ75" i="45"/>
  <c r="F75" i="45" s="1"/>
  <c r="S75" i="45" s="1"/>
  <c r="W75" i="45" s="1"/>
  <c r="BE75" i="45"/>
  <c r="BE74" i="45"/>
  <c r="BA75" i="45"/>
  <c r="BA74" i="45"/>
  <c r="AY75" i="45"/>
  <c r="AY74" i="45"/>
  <c r="AE75" i="45"/>
  <c r="AE74" i="45"/>
  <c r="AA75" i="45"/>
  <c r="AC75" i="45"/>
  <c r="AG75" i="45"/>
  <c r="AI75" i="45"/>
  <c r="AK75" i="45"/>
  <c r="BC75" i="45"/>
  <c r="BG75" i="45"/>
  <c r="BI75" i="45"/>
  <c r="AA74" i="45"/>
  <c r="AC74" i="45"/>
  <c r="AG74" i="45"/>
  <c r="AI74" i="45"/>
  <c r="AK74" i="45"/>
  <c r="BC74" i="45"/>
  <c r="BG74" i="45"/>
  <c r="BI74" i="45"/>
  <c r="BH30" i="43"/>
  <c r="BF30" i="43"/>
  <c r="BD30" i="43"/>
  <c r="BB30" i="43"/>
  <c r="AZ30" i="43"/>
  <c r="AL30" i="43"/>
  <c r="AJ30" i="43"/>
  <c r="AH30" i="43"/>
  <c r="AF30" i="43"/>
  <c r="AD30" i="43"/>
  <c r="AB30" i="43"/>
  <c r="AB28" i="43"/>
  <c r="AD28" i="43"/>
  <c r="AF28" i="43"/>
  <c r="AH28" i="43"/>
  <c r="AJ28" i="43"/>
  <c r="AZ28" i="43"/>
  <c r="BB28" i="43"/>
  <c r="BD28" i="43"/>
  <c r="BF28" i="43"/>
  <c r="BH28" i="43"/>
  <c r="AL28" i="43"/>
  <c r="BK16" i="43"/>
  <c r="BJ26" i="43"/>
  <c r="BJ31" i="43"/>
  <c r="BH26" i="43"/>
  <c r="BH31" i="43"/>
  <c r="BF26" i="43"/>
  <c r="BF31" i="43"/>
  <c r="BD26" i="43"/>
  <c r="BD31" i="43"/>
  <c r="BB36" i="43"/>
  <c r="BB33" i="43"/>
  <c r="BB31" i="43"/>
  <c r="BB26" i="43"/>
  <c r="AZ26" i="43"/>
  <c r="AZ31" i="43"/>
  <c r="AL31" i="43"/>
  <c r="AL26" i="43"/>
  <c r="AJ26" i="43"/>
  <c r="AJ31" i="43"/>
  <c r="AH26" i="43"/>
  <c r="AH31" i="43"/>
  <c r="AF26" i="43"/>
  <c r="AF31" i="43"/>
  <c r="AD26" i="43"/>
  <c r="AD31" i="43"/>
  <c r="AB26" i="43"/>
  <c r="AB31" i="43"/>
  <c r="BI68" i="45"/>
  <c r="BI67" i="45"/>
  <c r="BL38" i="43"/>
  <c r="AE29" i="48"/>
  <c r="AC29" i="48"/>
  <c r="AA29" i="48"/>
  <c r="Y29" i="48"/>
  <c r="W29" i="48"/>
  <c r="U29" i="48"/>
  <c r="S29" i="48"/>
  <c r="Q29" i="48"/>
  <c r="O29" i="48"/>
  <c r="M29" i="48"/>
  <c r="K29" i="48"/>
  <c r="I29" i="48"/>
  <c r="E29" i="48"/>
  <c r="BF47" i="47"/>
  <c r="AC12" i="25"/>
  <c r="BJ84" i="24"/>
  <c r="F84" i="24" s="1"/>
  <c r="E44" i="25"/>
  <c r="BI44" i="25" s="1"/>
  <c r="BJ42" i="24"/>
  <c r="F42" i="24" s="1"/>
  <c r="G42" i="24" s="1"/>
  <c r="BI43" i="24"/>
  <c r="BK43" i="24" s="1"/>
  <c r="BP43" i="24" s="1"/>
  <c r="BR43" i="24" s="1"/>
  <c r="BV43" i="24" s="1"/>
  <c r="BJ43" i="24"/>
  <c r="F43" i="24" s="1"/>
  <c r="BA35" i="47"/>
  <c r="BB35" i="47" s="1"/>
  <c r="AE35" i="47"/>
  <c r="AF35" i="47" s="1"/>
  <c r="AY53" i="46"/>
  <c r="BH50" i="46"/>
  <c r="BD50" i="46"/>
  <c r="AB45" i="46"/>
  <c r="BH39" i="46"/>
  <c r="BF39" i="46"/>
  <c r="BI39" i="46"/>
  <c r="E39" i="46" s="1"/>
  <c r="R39" i="46" s="1"/>
  <c r="V39" i="46" s="1"/>
  <c r="BD39" i="46"/>
  <c r="BB39" i="46"/>
  <c r="AZ39" i="46"/>
  <c r="AX39" i="46"/>
  <c r="AJ39" i="46"/>
  <c r="AH39" i="46"/>
  <c r="AF39" i="46"/>
  <c r="AD39" i="46"/>
  <c r="AB39" i="46"/>
  <c r="Z39" i="46"/>
  <c r="BF38" i="46"/>
  <c r="BD38" i="46"/>
  <c r="BB38" i="46"/>
  <c r="AZ38" i="46"/>
  <c r="AX38" i="46"/>
  <c r="AJ38" i="46"/>
  <c r="AH38" i="46"/>
  <c r="AF38" i="46"/>
  <c r="AD38" i="46"/>
  <c r="AB38" i="46"/>
  <c r="Z38" i="46"/>
  <c r="BD34" i="46"/>
  <c r="BD35" i="46" s="1"/>
  <c r="AZ34" i="46"/>
  <c r="AZ35" i="46" s="1"/>
  <c r="AX34" i="46"/>
  <c r="AX35" i="46" s="1"/>
  <c r="AH34" i="46"/>
  <c r="AH35" i="46" s="1"/>
  <c r="AF34" i="46"/>
  <c r="AF35" i="46" s="1"/>
  <c r="AD34" i="46"/>
  <c r="AD35" i="46" s="1"/>
  <c r="AB34" i="46"/>
  <c r="Z34" i="46"/>
  <c r="Z35" i="46" s="1"/>
  <c r="BH34" i="46"/>
  <c r="BH35" i="46" s="1"/>
  <c r="BB34" i="46"/>
  <c r="BB35" i="46" s="1"/>
  <c r="BH30" i="46"/>
  <c r="BD30" i="46"/>
  <c r="BB30" i="46"/>
  <c r="AZ30" i="46"/>
  <c r="AX30" i="46"/>
  <c r="AJ30" i="46"/>
  <c r="AH30" i="46"/>
  <c r="AF30" i="46"/>
  <c r="AD30" i="46"/>
  <c r="AB30" i="46"/>
  <c r="Z30" i="46"/>
  <c r="BB28" i="46"/>
  <c r="AX28" i="46"/>
  <c r="BH28" i="46"/>
  <c r="BF28" i="46"/>
  <c r="BI27" i="46"/>
  <c r="E27" i="46" s="1"/>
  <c r="Q27" i="46" s="1"/>
  <c r="U27" i="46" s="1"/>
  <c r="AJ24" i="46"/>
  <c r="AB24" i="46"/>
  <c r="AB23" i="46"/>
  <c r="AB22" i="46"/>
  <c r="BG20" i="46"/>
  <c r="AB64" i="46"/>
  <c r="AB65" i="46" s="1"/>
  <c r="AB61" i="46"/>
  <c r="AB60" i="46"/>
  <c r="AB59" i="46"/>
  <c r="AB51" i="46"/>
  <c r="AB49" i="46"/>
  <c r="AB48" i="46"/>
  <c r="AB46" i="46"/>
  <c r="AB44" i="46"/>
  <c r="AB41" i="46"/>
  <c r="AB31" i="46"/>
  <c r="AB29" i="46"/>
  <c r="AB27" i="46"/>
  <c r="AB14" i="46"/>
  <c r="AB12" i="46"/>
  <c r="AB16" i="46"/>
  <c r="AB17" i="46" s="1"/>
  <c r="AX14" i="46"/>
  <c r="BK10" i="47"/>
  <c r="G10" i="47" s="1"/>
  <c r="AC47" i="47"/>
  <c r="AC50" i="47" s="1"/>
  <c r="AE47" i="47"/>
  <c r="AE50" i="47" s="1"/>
  <c r="AG47" i="47"/>
  <c r="AG50" i="47" s="1"/>
  <c r="AI47" i="47"/>
  <c r="AI50" i="47" s="1"/>
  <c r="AK47" i="47"/>
  <c r="AK50" i="47" s="1"/>
  <c r="BH43" i="47"/>
  <c r="BF43" i="47"/>
  <c r="BD43" i="47"/>
  <c r="BB43" i="47"/>
  <c r="AZ43" i="47"/>
  <c r="BH39" i="47"/>
  <c r="BF39" i="47"/>
  <c r="BD39" i="47"/>
  <c r="AZ39" i="47"/>
  <c r="AH39" i="47"/>
  <c r="AF39" i="47"/>
  <c r="BH36" i="47"/>
  <c r="BF36" i="47"/>
  <c r="BD36" i="47"/>
  <c r="BB36" i="47"/>
  <c r="AZ36" i="47"/>
  <c r="AD36" i="47"/>
  <c r="AB36" i="47"/>
  <c r="BG35" i="47"/>
  <c r="BC35" i="47"/>
  <c r="BD35" i="47" s="1"/>
  <c r="AY35" i="47"/>
  <c r="AY45" i="47" s="1"/>
  <c r="AK35" i="47"/>
  <c r="AI35" i="47"/>
  <c r="AG35" i="47"/>
  <c r="AH35" i="47" s="1"/>
  <c r="AC35" i="47"/>
  <c r="AD35" i="47" s="1"/>
  <c r="AA35" i="47"/>
  <c r="V17" i="41"/>
  <c r="X17" i="41"/>
  <c r="Y17" i="41"/>
  <c r="Y33" i="26"/>
  <c r="W25" i="26"/>
  <c r="X25" i="26"/>
  <c r="Y25" i="26"/>
  <c r="W26" i="26"/>
  <c r="X26" i="26"/>
  <c r="Y26" i="26"/>
  <c r="V13" i="24"/>
  <c r="X13" i="24"/>
  <c r="Y13" i="24"/>
  <c r="V14" i="24"/>
  <c r="X14" i="24"/>
  <c r="Y14" i="24"/>
  <c r="V15" i="24"/>
  <c r="X15" i="24"/>
  <c r="Y15" i="24"/>
  <c r="V17" i="24"/>
  <c r="X17" i="24"/>
  <c r="Y17" i="24"/>
  <c r="V18" i="24"/>
  <c r="X18" i="24"/>
  <c r="Y18" i="24"/>
  <c r="V19" i="24"/>
  <c r="X19" i="24"/>
  <c r="Y19" i="24"/>
  <c r="V20" i="24"/>
  <c r="X20" i="24"/>
  <c r="Y20" i="24"/>
  <c r="V21" i="24"/>
  <c r="X21" i="24"/>
  <c r="Y21" i="24"/>
  <c r="V22" i="24"/>
  <c r="X22" i="24"/>
  <c r="Y22" i="24"/>
  <c r="V23" i="24"/>
  <c r="X23" i="24"/>
  <c r="Y23" i="24"/>
  <c r="V24" i="24"/>
  <c r="X24" i="24"/>
  <c r="Y24" i="24"/>
  <c r="BJ99" i="45"/>
  <c r="F99" i="45" s="1"/>
  <c r="G99" i="45" s="1"/>
  <c r="H99" i="45" s="1"/>
  <c r="BJ98" i="45"/>
  <c r="F98" i="45" s="1"/>
  <c r="E41" i="51" s="1"/>
  <c r="BJ97" i="45"/>
  <c r="F97" i="45" s="1"/>
  <c r="BJ96" i="45"/>
  <c r="F96" i="45" s="1"/>
  <c r="BJ93" i="45"/>
  <c r="F93" i="45" s="1"/>
  <c r="E40" i="51" s="1"/>
  <c r="BJ91" i="45"/>
  <c r="F91" i="45" s="1"/>
  <c r="BJ90" i="45"/>
  <c r="F90" i="45" s="1"/>
  <c r="BJ89" i="45"/>
  <c r="F89" i="45" s="1"/>
  <c r="BJ88" i="45"/>
  <c r="F88" i="45" s="1"/>
  <c r="BJ86" i="45"/>
  <c r="BJ85" i="45"/>
  <c r="F85" i="45" s="1"/>
  <c r="BJ84" i="45"/>
  <c r="F84" i="45" s="1"/>
  <c r="S84" i="45" s="1"/>
  <c r="W84" i="45" s="1"/>
  <c r="BJ82" i="45"/>
  <c r="F82" i="45" s="1"/>
  <c r="BJ81" i="45"/>
  <c r="F81" i="45" s="1"/>
  <c r="BJ80" i="45"/>
  <c r="F80" i="45" s="1"/>
  <c r="BJ79" i="45"/>
  <c r="F79" i="45" s="1"/>
  <c r="BJ78" i="45"/>
  <c r="BJ72" i="45"/>
  <c r="F72" i="45" s="1"/>
  <c r="U72" i="45" s="1"/>
  <c r="Y72" i="45" s="1"/>
  <c r="BJ71" i="45"/>
  <c r="F71" i="45" s="1"/>
  <c r="R71" i="45" s="1"/>
  <c r="V71" i="45" s="1"/>
  <c r="BJ70" i="45"/>
  <c r="F70" i="45" s="1"/>
  <c r="S70" i="45" s="1"/>
  <c r="W70" i="45" s="1"/>
  <c r="BJ69" i="45"/>
  <c r="F69" i="45" s="1"/>
  <c r="R69" i="45" s="1"/>
  <c r="BJ59" i="45"/>
  <c r="F59" i="45" s="1"/>
  <c r="U59" i="45" s="1"/>
  <c r="Y59" i="45" s="1"/>
  <c r="BJ58" i="45"/>
  <c r="F58" i="45" s="1"/>
  <c r="BJ54" i="45"/>
  <c r="BJ53" i="45"/>
  <c r="BJ37" i="45"/>
  <c r="F37" i="45" s="1"/>
  <c r="BJ36" i="45"/>
  <c r="BJ19" i="45"/>
  <c r="F19" i="45" s="1"/>
  <c r="S19" i="45" s="1"/>
  <c r="W19" i="45" s="1"/>
  <c r="BJ18" i="45"/>
  <c r="BJ14" i="45"/>
  <c r="F14" i="45" s="1"/>
  <c r="T14" i="45" s="1"/>
  <c r="BJ13" i="45"/>
  <c r="F13" i="45" s="1"/>
  <c r="AJ64" i="46"/>
  <c r="AJ65" i="46" s="1"/>
  <c r="AJ61" i="46"/>
  <c r="AJ60" i="46"/>
  <c r="AJ59" i="46"/>
  <c r="AJ52" i="46"/>
  <c r="AJ51" i="46"/>
  <c r="AJ49" i="46"/>
  <c r="AJ48" i="46"/>
  <c r="AJ46" i="46"/>
  <c r="AJ45" i="46"/>
  <c r="AJ44" i="46"/>
  <c r="AJ41" i="46"/>
  <c r="AJ31" i="46"/>
  <c r="AJ29" i="46"/>
  <c r="AJ27" i="46"/>
  <c r="AJ23" i="46"/>
  <c r="AJ22" i="46"/>
  <c r="AJ20" i="46"/>
  <c r="AJ16" i="46"/>
  <c r="AJ17" i="46" s="1"/>
  <c r="AJ14" i="46"/>
  <c r="AJ15" i="46" s="1"/>
  <c r="AJ12" i="46"/>
  <c r="BB64" i="46"/>
  <c r="BB65" i="46" s="1"/>
  <c r="BB61" i="46"/>
  <c r="BB60" i="46"/>
  <c r="BB59" i="46"/>
  <c r="BB51" i="46"/>
  <c r="BB49" i="46"/>
  <c r="BB48" i="46"/>
  <c r="BB46" i="46"/>
  <c r="BB45" i="46"/>
  <c r="BB44" i="46"/>
  <c r="BB41" i="46"/>
  <c r="BB31" i="46"/>
  <c r="BB29" i="46"/>
  <c r="BB27" i="46"/>
  <c r="BB24" i="46"/>
  <c r="BB23" i="46"/>
  <c r="BB22" i="46"/>
  <c r="BB16" i="46"/>
  <c r="BB14" i="46"/>
  <c r="BB12" i="46"/>
  <c r="AZ12" i="46"/>
  <c r="BI64" i="46"/>
  <c r="E64" i="46" s="1"/>
  <c r="E31" i="51" s="1"/>
  <c r="BI61" i="46"/>
  <c r="E61" i="46" s="1"/>
  <c r="S61" i="46" s="1"/>
  <c r="BI60" i="46"/>
  <c r="E60" i="46" s="1"/>
  <c r="T60" i="46" s="1"/>
  <c r="X60" i="46" s="1"/>
  <c r="BI59" i="46"/>
  <c r="E59" i="46" s="1"/>
  <c r="S59" i="46" s="1"/>
  <c r="W59" i="46" s="1"/>
  <c r="E51" i="46"/>
  <c r="T51" i="46" s="1"/>
  <c r="X51" i="46" s="1"/>
  <c r="E49" i="46"/>
  <c r="E48" i="46"/>
  <c r="F48" i="46" s="1"/>
  <c r="BI46" i="46"/>
  <c r="E46" i="46" s="1"/>
  <c r="BI44" i="46"/>
  <c r="E44" i="46" s="1"/>
  <c r="S44" i="46" s="1"/>
  <c r="W44" i="46" s="1"/>
  <c r="BI41" i="46"/>
  <c r="E41" i="46" s="1"/>
  <c r="S41" i="46" s="1"/>
  <c r="W41" i="46" s="1"/>
  <c r="BI31" i="46"/>
  <c r="E31" i="46" s="1"/>
  <c r="T31" i="46" s="1"/>
  <c r="X31" i="46" s="1"/>
  <c r="BI29" i="46"/>
  <c r="E29" i="46" s="1"/>
  <c r="Q29" i="46" s="1"/>
  <c r="U29" i="46" s="1"/>
  <c r="BI16" i="46"/>
  <c r="E16" i="46" s="1"/>
  <c r="Q16" i="46" s="1"/>
  <c r="U16" i="46" s="1"/>
  <c r="U17" i="46" s="1"/>
  <c r="BI14" i="46"/>
  <c r="E14" i="46" s="1"/>
  <c r="E25" i="51" s="1"/>
  <c r="BI12" i="46"/>
  <c r="E12" i="46" s="1"/>
  <c r="E23" i="51" s="1"/>
  <c r="I32" i="46"/>
  <c r="J32" i="46"/>
  <c r="K32" i="46"/>
  <c r="L32" i="46"/>
  <c r="M32" i="46"/>
  <c r="N32" i="46"/>
  <c r="O32" i="46"/>
  <c r="P32" i="46"/>
  <c r="I25" i="46"/>
  <c r="J25" i="46"/>
  <c r="K25" i="46"/>
  <c r="L25" i="46"/>
  <c r="M25" i="46"/>
  <c r="N25" i="46"/>
  <c r="O25" i="46"/>
  <c r="P25" i="46"/>
  <c r="I17" i="46"/>
  <c r="J17" i="46"/>
  <c r="K17" i="46"/>
  <c r="L17" i="46"/>
  <c r="M17" i="46"/>
  <c r="N17" i="46"/>
  <c r="O17" i="46"/>
  <c r="P17" i="46"/>
  <c r="I15" i="46"/>
  <c r="J15" i="46"/>
  <c r="K15" i="46"/>
  <c r="L15" i="46"/>
  <c r="M15" i="46"/>
  <c r="N15" i="46"/>
  <c r="O15" i="46"/>
  <c r="P15" i="46"/>
  <c r="K15" i="47"/>
  <c r="L15" i="47"/>
  <c r="M15" i="47"/>
  <c r="N15" i="47"/>
  <c r="O15" i="47"/>
  <c r="P15" i="47"/>
  <c r="Q15" i="47"/>
  <c r="R15" i="47"/>
  <c r="K26" i="47"/>
  <c r="L26" i="47"/>
  <c r="M26" i="47"/>
  <c r="N26" i="47"/>
  <c r="O26" i="47"/>
  <c r="P26" i="47"/>
  <c r="Q26" i="47"/>
  <c r="R26" i="47"/>
  <c r="K33" i="47"/>
  <c r="L33" i="47"/>
  <c r="M33" i="47"/>
  <c r="N33" i="47"/>
  <c r="O33" i="47"/>
  <c r="P33" i="47"/>
  <c r="Q33" i="47"/>
  <c r="R33" i="47"/>
  <c r="K50" i="47"/>
  <c r="L50" i="47"/>
  <c r="M50" i="47"/>
  <c r="N50" i="47"/>
  <c r="O50" i="47"/>
  <c r="P50" i="47"/>
  <c r="Q50" i="47"/>
  <c r="R50" i="47"/>
  <c r="AC33" i="47"/>
  <c r="AE33" i="47"/>
  <c r="AG33" i="47"/>
  <c r="AI33" i="47"/>
  <c r="AK33" i="47"/>
  <c r="AY33" i="47"/>
  <c r="BA33" i="47"/>
  <c r="BC33" i="47"/>
  <c r="BE33" i="47"/>
  <c r="BG33" i="47"/>
  <c r="BI33" i="47"/>
  <c r="AC15" i="47"/>
  <c r="AE15" i="47"/>
  <c r="AG15" i="47"/>
  <c r="AI15" i="47"/>
  <c r="AK15" i="47"/>
  <c r="AY15" i="47"/>
  <c r="BA15" i="47"/>
  <c r="BC15" i="47"/>
  <c r="BE15" i="47"/>
  <c r="BG15" i="47"/>
  <c r="BI15" i="47"/>
  <c r="BK49" i="47"/>
  <c r="G49" i="47" s="1"/>
  <c r="E20" i="51" s="1"/>
  <c r="BK48" i="47"/>
  <c r="G48" i="47" s="1"/>
  <c r="BK25" i="47"/>
  <c r="G25" i="47" s="1"/>
  <c r="E14" i="51" s="1"/>
  <c r="BK22" i="47"/>
  <c r="BK33" i="26"/>
  <c r="G33" i="26" s="1"/>
  <c r="H33" i="26" s="1"/>
  <c r="BK32" i="26"/>
  <c r="G32" i="26" s="1"/>
  <c r="H32" i="26" s="1"/>
  <c r="J32" i="26" s="1"/>
  <c r="BK31" i="26"/>
  <c r="G31" i="26" s="1"/>
  <c r="H31" i="26" s="1"/>
  <c r="BK30" i="26"/>
  <c r="BK29" i="26"/>
  <c r="G29" i="26" s="1"/>
  <c r="H29" i="26" s="1"/>
  <c r="BK28" i="26"/>
  <c r="BK26" i="26"/>
  <c r="G26" i="26" s="1"/>
  <c r="V26" i="26" s="1"/>
  <c r="Z26" i="26" s="1"/>
  <c r="BK25" i="26"/>
  <c r="G25" i="26" s="1"/>
  <c r="H25" i="26" s="1"/>
  <c r="J25" i="26" s="1"/>
  <c r="BK24" i="26"/>
  <c r="G24" i="26" s="1"/>
  <c r="H24" i="26" s="1"/>
  <c r="BK23" i="26"/>
  <c r="BK21" i="26"/>
  <c r="G21" i="26" s="1"/>
  <c r="U21" i="26" s="1"/>
  <c r="Y21" i="26" s="1"/>
  <c r="BK20" i="26"/>
  <c r="G20" i="26" s="1"/>
  <c r="H20" i="26" s="1"/>
  <c r="BP20" i="26" s="1"/>
  <c r="BS20" i="26" s="1"/>
  <c r="BK19" i="26"/>
  <c r="BK17" i="26"/>
  <c r="G17" i="26" s="1"/>
  <c r="H17" i="26" s="1"/>
  <c r="I17" i="26" s="1"/>
  <c r="BK16" i="26"/>
  <c r="G16" i="26" s="1"/>
  <c r="U16" i="26" s="1"/>
  <c r="Y16" i="26" s="1"/>
  <c r="BK12" i="26"/>
  <c r="G12" i="26" s="1"/>
  <c r="V12" i="26" s="1"/>
  <c r="BJ25" i="26"/>
  <c r="BJ26" i="26"/>
  <c r="BJ24" i="26"/>
  <c r="BJ21" i="26"/>
  <c r="BJ20" i="26"/>
  <c r="BJ17" i="26"/>
  <c r="BJ18" i="26" s="1"/>
  <c r="AL16" i="26"/>
  <c r="AL18" i="26" s="1"/>
  <c r="AZ16" i="26"/>
  <c r="AZ18" i="26" s="1"/>
  <c r="BB16" i="26"/>
  <c r="BD16" i="26"/>
  <c r="BD18" i="26" s="1"/>
  <c r="BF16" i="26"/>
  <c r="BF18" i="26" s="1"/>
  <c r="BH16" i="26"/>
  <c r="BH18" i="26" s="1"/>
  <c r="BJ12" i="26"/>
  <c r="BJ13" i="26"/>
  <c r="BH13" i="26"/>
  <c r="BH14" i="26" s="1"/>
  <c r="BD13" i="26"/>
  <c r="BD14" i="26" s="1"/>
  <c r="AZ13" i="26"/>
  <c r="AZ14" i="26" s="1"/>
  <c r="AL13" i="26"/>
  <c r="AL14" i="26" s="1"/>
  <c r="J88" i="24"/>
  <c r="K88" i="24"/>
  <c r="L88" i="24"/>
  <c r="M88" i="24"/>
  <c r="N88" i="24"/>
  <c r="O88" i="24"/>
  <c r="P88" i="24"/>
  <c r="Q88" i="24"/>
  <c r="Z88" i="24"/>
  <c r="AA88" i="24"/>
  <c r="AB88" i="24"/>
  <c r="AC88" i="24"/>
  <c r="AD88" i="24"/>
  <c r="AE88" i="24"/>
  <c r="AF88" i="24"/>
  <c r="AG88" i="24"/>
  <c r="AH88" i="24"/>
  <c r="AI88" i="24"/>
  <c r="AJ88" i="24"/>
  <c r="AK88" i="24"/>
  <c r="AL88" i="24"/>
  <c r="AM88" i="24"/>
  <c r="AN88" i="24"/>
  <c r="AO88" i="24"/>
  <c r="AP88" i="24"/>
  <c r="AQ88" i="24"/>
  <c r="AR88" i="24"/>
  <c r="AS88" i="24"/>
  <c r="AT88" i="24"/>
  <c r="AU88" i="24"/>
  <c r="AV88" i="24"/>
  <c r="AW88" i="24"/>
  <c r="AX88" i="24"/>
  <c r="AY88" i="24"/>
  <c r="AZ88" i="24"/>
  <c r="BA88" i="24"/>
  <c r="BB88" i="24"/>
  <c r="BC88" i="24"/>
  <c r="BD88" i="24"/>
  <c r="BE88" i="24"/>
  <c r="BF88" i="24"/>
  <c r="BG88" i="24"/>
  <c r="BG89" i="24" s="1"/>
  <c r="AL26" i="39" s="1"/>
  <c r="BH88" i="24"/>
  <c r="J79" i="24"/>
  <c r="K79" i="24"/>
  <c r="L79" i="24"/>
  <c r="M79" i="24"/>
  <c r="N79" i="24"/>
  <c r="O79" i="24"/>
  <c r="P79" i="24"/>
  <c r="Q79" i="24"/>
  <c r="Z79" i="24"/>
  <c r="AA79" i="24"/>
  <c r="AB79" i="24"/>
  <c r="AC79" i="24"/>
  <c r="AD79" i="24"/>
  <c r="AE79" i="24"/>
  <c r="AF79" i="24"/>
  <c r="AG79" i="24"/>
  <c r="AH79" i="24"/>
  <c r="AI79" i="24"/>
  <c r="AJ79" i="24"/>
  <c r="AK79" i="24"/>
  <c r="AL79" i="24"/>
  <c r="AM79" i="24"/>
  <c r="AN79" i="24"/>
  <c r="AO79" i="24"/>
  <c r="AP79" i="24"/>
  <c r="AQ79" i="24"/>
  <c r="AR79" i="24"/>
  <c r="AS79" i="24"/>
  <c r="AT79" i="24"/>
  <c r="AU79" i="24"/>
  <c r="AV79" i="24"/>
  <c r="AW79" i="24"/>
  <c r="AX79" i="24"/>
  <c r="AY79" i="24"/>
  <c r="AZ79" i="24"/>
  <c r="BA79" i="24"/>
  <c r="BB79" i="24"/>
  <c r="BC79" i="24"/>
  <c r="BD79" i="24"/>
  <c r="BE79" i="24"/>
  <c r="BF79" i="24"/>
  <c r="BG79" i="24"/>
  <c r="BH79" i="24"/>
  <c r="BD48" i="24"/>
  <c r="BE48" i="24"/>
  <c r="BF48" i="24"/>
  <c r="BG48" i="24"/>
  <c r="BH48" i="24"/>
  <c r="J33" i="24"/>
  <c r="K33" i="24"/>
  <c r="L33" i="24"/>
  <c r="M33" i="24"/>
  <c r="N33" i="24"/>
  <c r="O33" i="24"/>
  <c r="P33" i="24"/>
  <c r="Q33" i="24"/>
  <c r="R33" i="24"/>
  <c r="T33" i="24"/>
  <c r="U33" i="24"/>
  <c r="V33" i="24"/>
  <c r="X33" i="24"/>
  <c r="Y33" i="24"/>
  <c r="Z33" i="24"/>
  <c r="AA33" i="24"/>
  <c r="AB33" i="24"/>
  <c r="AC33" i="24"/>
  <c r="AD33" i="24"/>
  <c r="AE33" i="24"/>
  <c r="AF33" i="24"/>
  <c r="AG33" i="24"/>
  <c r="AH33" i="24"/>
  <c r="AI33" i="24"/>
  <c r="AJ33" i="24"/>
  <c r="AK33" i="24"/>
  <c r="AL33" i="24"/>
  <c r="AM33" i="24"/>
  <c r="AN33" i="24"/>
  <c r="AO33" i="24"/>
  <c r="AP33" i="24"/>
  <c r="AQ33" i="24"/>
  <c r="AR33" i="24"/>
  <c r="AS33" i="24"/>
  <c r="AT33" i="24"/>
  <c r="AU33" i="24"/>
  <c r="AV33" i="24"/>
  <c r="AW33" i="24"/>
  <c r="AX33" i="24"/>
  <c r="AY33" i="24"/>
  <c r="AZ33" i="24"/>
  <c r="BA33" i="24"/>
  <c r="BB33" i="24"/>
  <c r="BC33" i="24"/>
  <c r="BD33" i="24"/>
  <c r="BE33" i="24"/>
  <c r="BF33" i="24"/>
  <c r="BG33" i="24"/>
  <c r="BH33" i="24"/>
  <c r="J25" i="24"/>
  <c r="K25" i="24"/>
  <c r="L25" i="24"/>
  <c r="M25" i="24"/>
  <c r="N25" i="24"/>
  <c r="O25" i="24"/>
  <c r="P25" i="24"/>
  <c r="Q25" i="24"/>
  <c r="Z25" i="24"/>
  <c r="AA25" i="24"/>
  <c r="AB25" i="24"/>
  <c r="AC25" i="24"/>
  <c r="AD25" i="24"/>
  <c r="AE25" i="24"/>
  <c r="AF25" i="24"/>
  <c r="AG25" i="24"/>
  <c r="AH25" i="24"/>
  <c r="AI25" i="24"/>
  <c r="AJ25" i="24"/>
  <c r="AK25" i="24"/>
  <c r="AL25" i="24"/>
  <c r="AM25" i="24"/>
  <c r="AN25" i="24"/>
  <c r="AO25" i="24"/>
  <c r="AP25" i="24"/>
  <c r="AQ25" i="24"/>
  <c r="AR25" i="24"/>
  <c r="AS25" i="24"/>
  <c r="AT25" i="24"/>
  <c r="AU25" i="24"/>
  <c r="AV25" i="24"/>
  <c r="AW25" i="24"/>
  <c r="AX25" i="24"/>
  <c r="AY25" i="24"/>
  <c r="AZ25" i="24"/>
  <c r="BA25" i="24"/>
  <c r="BB25" i="24"/>
  <c r="BC25" i="24"/>
  <c r="BD25" i="24"/>
  <c r="BE25" i="24"/>
  <c r="BF25" i="24"/>
  <c r="BG25" i="24"/>
  <c r="BH25" i="24"/>
  <c r="AK14" i="25"/>
  <c r="AK16" i="25" s="1"/>
  <c r="AK51" i="25"/>
  <c r="AK52" i="25"/>
  <c r="AK53" i="25"/>
  <c r="AK54" i="25"/>
  <c r="AK50" i="25"/>
  <c r="AY51" i="25"/>
  <c r="AY52" i="25"/>
  <c r="AY53" i="25"/>
  <c r="AY54" i="25"/>
  <c r="AY50" i="25"/>
  <c r="BJ51" i="25"/>
  <c r="F51" i="25" s="1"/>
  <c r="BJ52" i="25"/>
  <c r="F52" i="25" s="1"/>
  <c r="BJ53" i="25"/>
  <c r="F53" i="25" s="1"/>
  <c r="BJ50" i="25"/>
  <c r="F50" i="25" s="1"/>
  <c r="S50" i="25" s="1"/>
  <c r="W50" i="25" s="1"/>
  <c r="BJ35" i="25"/>
  <c r="F35" i="25" s="1"/>
  <c r="T35" i="25" s="1"/>
  <c r="X35" i="25" s="1"/>
  <c r="BJ36" i="25"/>
  <c r="F36" i="25" s="1"/>
  <c r="BJ37" i="25"/>
  <c r="F37" i="25" s="1"/>
  <c r="U37" i="25" s="1"/>
  <c r="Y37" i="25" s="1"/>
  <c r="BJ38" i="25"/>
  <c r="F38" i="25" s="1"/>
  <c r="S38" i="25" s="1"/>
  <c r="W38" i="25" s="1"/>
  <c r="BJ39" i="25"/>
  <c r="F39" i="25" s="1"/>
  <c r="T39" i="25" s="1"/>
  <c r="BJ40" i="25"/>
  <c r="F40" i="25" s="1"/>
  <c r="T40" i="25" s="1"/>
  <c r="X40" i="25" s="1"/>
  <c r="BJ41" i="25"/>
  <c r="F41" i="25" s="1"/>
  <c r="BJ42" i="25"/>
  <c r="F42" i="25" s="1"/>
  <c r="R42" i="25" s="1"/>
  <c r="V42" i="25" s="1"/>
  <c r="BJ43" i="25"/>
  <c r="F43" i="25" s="1"/>
  <c r="S43" i="25" s="1"/>
  <c r="W43" i="25" s="1"/>
  <c r="BJ44" i="25"/>
  <c r="F44" i="25" s="1"/>
  <c r="T44" i="25" s="1"/>
  <c r="BJ45" i="25"/>
  <c r="F45" i="25" s="1"/>
  <c r="R45" i="25" s="1"/>
  <c r="V45" i="25" s="1"/>
  <c r="BJ46" i="25"/>
  <c r="F46" i="25" s="1"/>
  <c r="R46" i="25" s="1"/>
  <c r="V46" i="25" s="1"/>
  <c r="BJ47" i="25"/>
  <c r="F47" i="25" s="1"/>
  <c r="G47" i="25" s="1"/>
  <c r="I47" i="25" s="1"/>
  <c r="BJ34" i="25"/>
  <c r="F34" i="25" s="1"/>
  <c r="BJ19" i="25"/>
  <c r="F19" i="25" s="1"/>
  <c r="U19" i="25" s="1"/>
  <c r="BJ21" i="25"/>
  <c r="F21" i="25" s="1"/>
  <c r="R21" i="25" s="1"/>
  <c r="V21" i="25" s="1"/>
  <c r="BJ22" i="25"/>
  <c r="F22" i="25" s="1"/>
  <c r="G22" i="25" s="1"/>
  <c r="H22" i="25" s="1"/>
  <c r="BJ23" i="25"/>
  <c r="F23" i="25" s="1"/>
  <c r="G23" i="25" s="1"/>
  <c r="BJ24" i="25"/>
  <c r="F24" i="25" s="1"/>
  <c r="BJ25" i="25"/>
  <c r="F25" i="25" s="1"/>
  <c r="S25" i="25" s="1"/>
  <c r="W25" i="25" s="1"/>
  <c r="BJ26" i="25"/>
  <c r="F26" i="25" s="1"/>
  <c r="G26" i="25" s="1"/>
  <c r="BJ27" i="25"/>
  <c r="F27" i="25" s="1"/>
  <c r="G27" i="25" s="1"/>
  <c r="I27" i="25" s="1"/>
  <c r="BJ28" i="25"/>
  <c r="F28" i="25" s="1"/>
  <c r="G28" i="25" s="1"/>
  <c r="H28" i="25" s="1"/>
  <c r="BJ29" i="25"/>
  <c r="F29" i="25" s="1"/>
  <c r="BJ18" i="25"/>
  <c r="F18" i="25" s="1"/>
  <c r="BJ13" i="25"/>
  <c r="F13" i="25" s="1"/>
  <c r="BJ14" i="25"/>
  <c r="F14" i="25" s="1"/>
  <c r="S14" i="25" s="1"/>
  <c r="S16" i="25" s="1"/>
  <c r="BJ12" i="25"/>
  <c r="F12" i="25" s="1"/>
  <c r="U12" i="25" s="1"/>
  <c r="AY21" i="25"/>
  <c r="AY22" i="25"/>
  <c r="AY23" i="25"/>
  <c r="AY24" i="25"/>
  <c r="AY25" i="25"/>
  <c r="AY26" i="25"/>
  <c r="AY27" i="25"/>
  <c r="AY28" i="25"/>
  <c r="AY29" i="25"/>
  <c r="AY18" i="25"/>
  <c r="AK21" i="25"/>
  <c r="AK22" i="25"/>
  <c r="AK23" i="25"/>
  <c r="AK24" i="25"/>
  <c r="AK25" i="25"/>
  <c r="AK26" i="25"/>
  <c r="AK27" i="25"/>
  <c r="AK28" i="25"/>
  <c r="AK18" i="25"/>
  <c r="AK35" i="25"/>
  <c r="AK36" i="25"/>
  <c r="AK37" i="25"/>
  <c r="AK38" i="25"/>
  <c r="AK39" i="25"/>
  <c r="AK40" i="25"/>
  <c r="AK41" i="25"/>
  <c r="AK42" i="25"/>
  <c r="AK43" i="25"/>
  <c r="AK45" i="25"/>
  <c r="AK46" i="25"/>
  <c r="AK47" i="25"/>
  <c r="AK34" i="25"/>
  <c r="AY35" i="25"/>
  <c r="AY36" i="25"/>
  <c r="AY37" i="25"/>
  <c r="AY38" i="25"/>
  <c r="AY39" i="25"/>
  <c r="AY40" i="25"/>
  <c r="AY41" i="25"/>
  <c r="AY42" i="25"/>
  <c r="AY43" i="25"/>
  <c r="AY45" i="25"/>
  <c r="AY46" i="25"/>
  <c r="AY47" i="25"/>
  <c r="AY34" i="25"/>
  <c r="Z55" i="25"/>
  <c r="AB55" i="25"/>
  <c r="AD55" i="25"/>
  <c r="AF55" i="25"/>
  <c r="AH55" i="25"/>
  <c r="AJ55" i="25"/>
  <c r="AX55" i="25"/>
  <c r="AZ55" i="25"/>
  <c r="BB55" i="25"/>
  <c r="BF55" i="25"/>
  <c r="BH55" i="25"/>
  <c r="Z48" i="25"/>
  <c r="AB48" i="25"/>
  <c r="AD48" i="25"/>
  <c r="AF48" i="25"/>
  <c r="AH48" i="25"/>
  <c r="AJ48" i="25"/>
  <c r="AX48" i="25"/>
  <c r="AZ48" i="25"/>
  <c r="BB48" i="25"/>
  <c r="BD48" i="25"/>
  <c r="BF48" i="25"/>
  <c r="BH48" i="25"/>
  <c r="Z30" i="25"/>
  <c r="AB30" i="25"/>
  <c r="AD30" i="25"/>
  <c r="AF30" i="25"/>
  <c r="AH30" i="25"/>
  <c r="AJ30" i="25"/>
  <c r="AX30" i="25"/>
  <c r="AZ30" i="25"/>
  <c r="BB30" i="25"/>
  <c r="BD30" i="25"/>
  <c r="BF30" i="25"/>
  <c r="BH30" i="25"/>
  <c r="Z16" i="25"/>
  <c r="AB16" i="25"/>
  <c r="AD16" i="25"/>
  <c r="AF16" i="25"/>
  <c r="AH16" i="25"/>
  <c r="AJ16" i="25"/>
  <c r="U27" i="39"/>
  <c r="AX16" i="25"/>
  <c r="AY16" i="25"/>
  <c r="AZ16" i="25"/>
  <c r="BB16" i="25"/>
  <c r="BD16" i="25"/>
  <c r="BF16" i="25"/>
  <c r="BH16" i="25"/>
  <c r="W32" i="26"/>
  <c r="X32" i="26"/>
  <c r="Y32" i="26"/>
  <c r="Z32" i="26"/>
  <c r="AB32" i="26"/>
  <c r="AD32" i="26"/>
  <c r="AF32" i="26"/>
  <c r="AH32" i="26"/>
  <c r="AJ32" i="26"/>
  <c r="W20" i="26"/>
  <c r="X20" i="26"/>
  <c r="Z20" i="26"/>
  <c r="AB20" i="26"/>
  <c r="AD20" i="26"/>
  <c r="AF20" i="26"/>
  <c r="L39" i="42"/>
  <c r="O39" i="42"/>
  <c r="P39" i="42"/>
  <c r="Q39" i="42"/>
  <c r="R39" i="42"/>
  <c r="S39" i="42"/>
  <c r="AB39" i="42"/>
  <c r="AD39" i="42"/>
  <c r="AF39" i="42"/>
  <c r="AH39" i="42"/>
  <c r="AJ39" i="42"/>
  <c r="AL39" i="42"/>
  <c r="AZ39" i="42"/>
  <c r="BB39" i="42"/>
  <c r="BD39" i="42"/>
  <c r="BF39" i="42"/>
  <c r="BH39" i="42"/>
  <c r="BJ39" i="42"/>
  <c r="J19" i="42"/>
  <c r="K19" i="42"/>
  <c r="L19" i="42"/>
  <c r="M19" i="42"/>
  <c r="O19" i="42"/>
  <c r="Q19" i="42"/>
  <c r="R19" i="42"/>
  <c r="AB19" i="42"/>
  <c r="AD19" i="42"/>
  <c r="AF19" i="42"/>
  <c r="AH19" i="42"/>
  <c r="AJ19" i="42"/>
  <c r="AL19" i="42"/>
  <c r="AZ19" i="42"/>
  <c r="BB19" i="42"/>
  <c r="BD19" i="42"/>
  <c r="BF19" i="42"/>
  <c r="BH19" i="42"/>
  <c r="BJ19" i="42"/>
  <c r="H39" i="45"/>
  <c r="I39" i="45"/>
  <c r="K39" i="45"/>
  <c r="L39" i="45"/>
  <c r="O39" i="45"/>
  <c r="P39" i="45"/>
  <c r="Q39" i="45"/>
  <c r="J34" i="45"/>
  <c r="K34" i="45"/>
  <c r="L34" i="45"/>
  <c r="N34" i="45"/>
  <c r="O34" i="45"/>
  <c r="Q34" i="45"/>
  <c r="J21" i="45"/>
  <c r="K21" i="45"/>
  <c r="L21" i="45"/>
  <c r="M21" i="45"/>
  <c r="N21" i="45"/>
  <c r="O21" i="45"/>
  <c r="P21" i="45"/>
  <c r="Q21" i="45"/>
  <c r="AY89" i="44"/>
  <c r="BA89" i="44"/>
  <c r="BC89" i="44"/>
  <c r="BE89" i="44"/>
  <c r="BG89" i="44"/>
  <c r="BI89" i="44"/>
  <c r="K82" i="44"/>
  <c r="L82" i="44"/>
  <c r="M82" i="44"/>
  <c r="N82" i="44"/>
  <c r="O82" i="44"/>
  <c r="P82" i="44"/>
  <c r="R82" i="44"/>
  <c r="AA82" i="44"/>
  <c r="AE82" i="44"/>
  <c r="AG82" i="44"/>
  <c r="AI82" i="44"/>
  <c r="AK82" i="44"/>
  <c r="AY82" i="44"/>
  <c r="BA82" i="44"/>
  <c r="BC82" i="44"/>
  <c r="BE82" i="44"/>
  <c r="BG82" i="44"/>
  <c r="BI82" i="44"/>
  <c r="K64" i="44"/>
  <c r="L64" i="44"/>
  <c r="M64" i="44"/>
  <c r="N64" i="44"/>
  <c r="O64" i="44"/>
  <c r="P64" i="44"/>
  <c r="R64" i="44"/>
  <c r="V64" i="44"/>
  <c r="AA64" i="44"/>
  <c r="AE64" i="44"/>
  <c r="AG64" i="44"/>
  <c r="AI64" i="44"/>
  <c r="AK64" i="44"/>
  <c r="AY64" i="44"/>
  <c r="BA64" i="44"/>
  <c r="BC64" i="44"/>
  <c r="BE64" i="44"/>
  <c r="BG64" i="44"/>
  <c r="BI64" i="44"/>
  <c r="K40" i="44"/>
  <c r="L40" i="44"/>
  <c r="M40" i="44"/>
  <c r="N40" i="44"/>
  <c r="O40" i="44"/>
  <c r="P40" i="44"/>
  <c r="R40" i="44"/>
  <c r="V40" i="44"/>
  <c r="AA40" i="44"/>
  <c r="AC40" i="44"/>
  <c r="AE40" i="44"/>
  <c r="AG40" i="44"/>
  <c r="AI40" i="44"/>
  <c r="AK40" i="44"/>
  <c r="AY40" i="44"/>
  <c r="BA40" i="44"/>
  <c r="BC40" i="44"/>
  <c r="BE40" i="44"/>
  <c r="BG40" i="44"/>
  <c r="BI40" i="44"/>
  <c r="P16" i="44"/>
  <c r="AA16" i="44"/>
  <c r="AC16" i="44"/>
  <c r="AE16" i="44"/>
  <c r="AG16" i="44"/>
  <c r="AI16" i="44"/>
  <c r="AK16" i="44"/>
  <c r="AY16" i="44"/>
  <c r="BA16" i="44"/>
  <c r="BC16" i="44"/>
  <c r="BE16" i="44"/>
  <c r="BG16" i="44"/>
  <c r="BI16" i="44"/>
  <c r="BJ85" i="44"/>
  <c r="BH85" i="44"/>
  <c r="BF85" i="44"/>
  <c r="BD85" i="44"/>
  <c r="BB85" i="44"/>
  <c r="AZ85" i="44"/>
  <c r="AL85" i="44"/>
  <c r="AJ85" i="44"/>
  <c r="AH85" i="44"/>
  <c r="AF85" i="44"/>
  <c r="AD85" i="44"/>
  <c r="AB85" i="44"/>
  <c r="W85" i="44"/>
  <c r="BJ84" i="44"/>
  <c r="BH84" i="44"/>
  <c r="BF84" i="44"/>
  <c r="BD84" i="44"/>
  <c r="BB84" i="44"/>
  <c r="AZ84" i="44"/>
  <c r="AL84" i="44"/>
  <c r="AJ84" i="44"/>
  <c r="AH84" i="44"/>
  <c r="AF84" i="44"/>
  <c r="AD84" i="44"/>
  <c r="AB84" i="44"/>
  <c r="Z84" i="44"/>
  <c r="X84" i="44"/>
  <c r="W84" i="44"/>
  <c r="BK83" i="44"/>
  <c r="BJ83" i="44"/>
  <c r="BH83" i="44"/>
  <c r="BF83" i="44"/>
  <c r="BD83" i="44"/>
  <c r="BB83" i="44"/>
  <c r="AZ83" i="44"/>
  <c r="AL83" i="44"/>
  <c r="AJ83" i="44"/>
  <c r="AH83" i="44"/>
  <c r="AF83" i="44"/>
  <c r="AD83" i="44"/>
  <c r="AB83" i="44"/>
  <c r="BJ81" i="44"/>
  <c r="BH81" i="44"/>
  <c r="BF81" i="44"/>
  <c r="BD81" i="44"/>
  <c r="BB81" i="44"/>
  <c r="AZ81" i="44"/>
  <c r="AL81" i="44"/>
  <c r="AJ81" i="44"/>
  <c r="AH81" i="44"/>
  <c r="AF81" i="44"/>
  <c r="AB81" i="44"/>
  <c r="Z81" i="44"/>
  <c r="W81" i="44"/>
  <c r="BJ80" i="44"/>
  <c r="BH80" i="44"/>
  <c r="BF80" i="44"/>
  <c r="BD80" i="44"/>
  <c r="BB80" i="44"/>
  <c r="AZ80" i="44"/>
  <c r="AL80" i="44"/>
  <c r="AJ80" i="44"/>
  <c r="AH80" i="44"/>
  <c r="AF80" i="44"/>
  <c r="AD80" i="44"/>
  <c r="AB80" i="44"/>
  <c r="BJ79" i="44"/>
  <c r="BH79" i="44"/>
  <c r="BF79" i="44"/>
  <c r="BD79" i="44"/>
  <c r="BB79" i="44"/>
  <c r="AZ79" i="44"/>
  <c r="AL79" i="44"/>
  <c r="AJ79" i="44"/>
  <c r="AH79" i="44"/>
  <c r="AF79" i="44"/>
  <c r="AB79" i="44"/>
  <c r="BJ78" i="44"/>
  <c r="AZ78" i="44"/>
  <c r="Z78" i="44"/>
  <c r="W78" i="44"/>
  <c r="BJ77" i="44"/>
  <c r="AZ77" i="44"/>
  <c r="Z77" i="44"/>
  <c r="X77" i="44"/>
  <c r="W77" i="44"/>
  <c r="BJ76" i="44"/>
  <c r="AZ76" i="44"/>
  <c r="Z76" i="44"/>
  <c r="X76" i="44"/>
  <c r="W76" i="44"/>
  <c r="BJ75" i="44"/>
  <c r="AZ75" i="44"/>
  <c r="Y75" i="44"/>
  <c r="W75" i="44"/>
  <c r="BJ74" i="44"/>
  <c r="AZ74" i="44"/>
  <c r="Z74" i="44"/>
  <c r="X74" i="44"/>
  <c r="W74" i="44"/>
  <c r="BJ73" i="44"/>
  <c r="BH73" i="44"/>
  <c r="BF73" i="44"/>
  <c r="BD73" i="44"/>
  <c r="BB73" i="44"/>
  <c r="AZ73" i="44"/>
  <c r="AL73" i="44"/>
  <c r="AJ73" i="44"/>
  <c r="AH73" i="44"/>
  <c r="AF73" i="44"/>
  <c r="AD73" i="44"/>
  <c r="AB73" i="44"/>
  <c r="Z73" i="44"/>
  <c r="X73" i="44"/>
  <c r="W73" i="44"/>
  <c r="BJ72" i="44"/>
  <c r="BH72" i="44"/>
  <c r="BF72" i="44"/>
  <c r="BD72" i="44"/>
  <c r="BB72" i="44"/>
  <c r="AZ72" i="44"/>
  <c r="AL72" i="44"/>
  <c r="AJ72" i="44"/>
  <c r="AH72" i="44"/>
  <c r="AF72" i="44"/>
  <c r="AD72" i="44"/>
  <c r="AB72" i="44"/>
  <c r="Z72" i="44"/>
  <c r="X72" i="44"/>
  <c r="W72" i="44"/>
  <c r="BJ71" i="44"/>
  <c r="BH71" i="44"/>
  <c r="BF71" i="44"/>
  <c r="BD71" i="44"/>
  <c r="BB71" i="44"/>
  <c r="AZ71" i="44"/>
  <c r="AL71" i="44"/>
  <c r="AJ71" i="44"/>
  <c r="AH71" i="44"/>
  <c r="AF71" i="44"/>
  <c r="AD71" i="44"/>
  <c r="AB71" i="44"/>
  <c r="Z71" i="44"/>
  <c r="Y71" i="44"/>
  <c r="BJ70" i="44"/>
  <c r="Y70" i="44"/>
  <c r="W70" i="44"/>
  <c r="BJ69" i="44"/>
  <c r="Z69" i="44"/>
  <c r="X69" i="44"/>
  <c r="W69" i="44"/>
  <c r="BJ68" i="44"/>
  <c r="Z68" i="44"/>
  <c r="X68" i="44"/>
  <c r="W68" i="44"/>
  <c r="BJ67" i="44"/>
  <c r="Z67" i="44"/>
  <c r="BJ66" i="44"/>
  <c r="Z66" i="44"/>
  <c r="W66" i="44"/>
  <c r="BJ65" i="44"/>
  <c r="BH65" i="44"/>
  <c r="BF65" i="44"/>
  <c r="BD65" i="44"/>
  <c r="BB65" i="44"/>
  <c r="AZ65" i="44"/>
  <c r="AL65" i="44"/>
  <c r="AJ65" i="44"/>
  <c r="AH65" i="44"/>
  <c r="AF65" i="44"/>
  <c r="AD65" i="44"/>
  <c r="AB65" i="44"/>
  <c r="BJ63" i="44"/>
  <c r="BH63" i="44"/>
  <c r="BD63" i="44"/>
  <c r="BB63" i="44"/>
  <c r="AZ63" i="44"/>
  <c r="AL63" i="44"/>
  <c r="AJ63" i="44"/>
  <c r="AH63" i="44"/>
  <c r="AF63" i="44"/>
  <c r="AD63" i="44"/>
  <c r="AB63" i="44"/>
  <c r="Z63" i="44"/>
  <c r="Y63" i="44"/>
  <c r="X63" i="44"/>
  <c r="W63" i="44"/>
  <c r="BJ62" i="44"/>
  <c r="BH62" i="44"/>
  <c r="BF62" i="44"/>
  <c r="BD62" i="44"/>
  <c r="BB62" i="44"/>
  <c r="AZ62" i="44"/>
  <c r="AL62" i="44"/>
  <c r="AJ62" i="44"/>
  <c r="AH62" i="44"/>
  <c r="AF62" i="44"/>
  <c r="AD62" i="44"/>
  <c r="AB62" i="44"/>
  <c r="Z62" i="44"/>
  <c r="Y62" i="44"/>
  <c r="X62" i="44"/>
  <c r="W62" i="44"/>
  <c r="BJ61" i="44"/>
  <c r="BH61" i="44"/>
  <c r="BF61" i="44"/>
  <c r="BD61" i="44"/>
  <c r="BB61" i="44"/>
  <c r="AZ61" i="44"/>
  <c r="AL61" i="44"/>
  <c r="AJ61" i="44"/>
  <c r="AH61" i="44"/>
  <c r="AF61" i="44"/>
  <c r="AD61" i="44"/>
  <c r="AB61" i="44"/>
  <c r="Z61" i="44"/>
  <c r="Y61" i="44"/>
  <c r="X61" i="44"/>
  <c r="W61" i="44"/>
  <c r="BJ60" i="44"/>
  <c r="BH60" i="44"/>
  <c r="BF60" i="44"/>
  <c r="BD60" i="44"/>
  <c r="BB60" i="44"/>
  <c r="AZ60" i="44"/>
  <c r="AL60" i="44"/>
  <c r="AJ60" i="44"/>
  <c r="AH60" i="44"/>
  <c r="AF60" i="44"/>
  <c r="AD60" i="44"/>
  <c r="AB60" i="44"/>
  <c r="Z60" i="44"/>
  <c r="Y60" i="44"/>
  <c r="X60" i="44"/>
  <c r="W60" i="44"/>
  <c r="BJ59" i="44"/>
  <c r="BH59" i="44"/>
  <c r="BF59" i="44"/>
  <c r="BD59" i="44"/>
  <c r="BB59" i="44"/>
  <c r="AZ59" i="44"/>
  <c r="AL59" i="44"/>
  <c r="AJ59" i="44"/>
  <c r="AH59" i="44"/>
  <c r="AF59" i="44"/>
  <c r="AB59" i="44"/>
  <c r="Z59" i="44"/>
  <c r="Y59" i="44"/>
  <c r="BJ58" i="44"/>
  <c r="BH58" i="44"/>
  <c r="BF58" i="44"/>
  <c r="BD58" i="44"/>
  <c r="BB58" i="44"/>
  <c r="AZ58" i="44"/>
  <c r="AL58" i="44"/>
  <c r="AJ58" i="44"/>
  <c r="AH58" i="44"/>
  <c r="AF58" i="44"/>
  <c r="AD58" i="44"/>
  <c r="AB58" i="44"/>
  <c r="Z58" i="44"/>
  <c r="Y58" i="44"/>
  <c r="BJ57" i="44"/>
  <c r="BH57" i="44"/>
  <c r="BF57" i="44"/>
  <c r="BD57" i="44"/>
  <c r="BB57" i="44"/>
  <c r="AZ57" i="44"/>
  <c r="AL57" i="44"/>
  <c r="AJ57" i="44"/>
  <c r="AH57" i="44"/>
  <c r="AF57" i="44"/>
  <c r="AD57" i="44"/>
  <c r="AB57" i="44"/>
  <c r="Z57" i="44"/>
  <c r="X57" i="44"/>
  <c r="W57" i="44"/>
  <c r="BJ56" i="44"/>
  <c r="BH56" i="44"/>
  <c r="BF56" i="44"/>
  <c r="BD56" i="44"/>
  <c r="BB56" i="44"/>
  <c r="AZ56" i="44"/>
  <c r="AL56" i="44"/>
  <c r="AJ56" i="44"/>
  <c r="AH56" i="44"/>
  <c r="AF56" i="44"/>
  <c r="AD56" i="44"/>
  <c r="AB56" i="44"/>
  <c r="Z56" i="44"/>
  <c r="X56" i="44"/>
  <c r="W56" i="44"/>
  <c r="BJ55" i="44"/>
  <c r="BH55" i="44"/>
  <c r="BF55" i="44"/>
  <c r="BD55" i="44"/>
  <c r="BB55" i="44"/>
  <c r="AZ55" i="44"/>
  <c r="AL55" i="44"/>
  <c r="AJ55" i="44"/>
  <c r="AH55" i="44"/>
  <c r="AF55" i="44"/>
  <c r="AD55" i="44"/>
  <c r="AB55" i="44"/>
  <c r="BJ54" i="44"/>
  <c r="BH54" i="44"/>
  <c r="BF54" i="44"/>
  <c r="BD54" i="44"/>
  <c r="BB54" i="44"/>
  <c r="AZ54" i="44"/>
  <c r="AL54" i="44"/>
  <c r="AJ54" i="44"/>
  <c r="AH54" i="44"/>
  <c r="AF54" i="44"/>
  <c r="AD54" i="44"/>
  <c r="AB54" i="44"/>
  <c r="Z54" i="44"/>
  <c r="BJ53" i="44"/>
  <c r="BH53" i="44"/>
  <c r="BF53" i="44"/>
  <c r="BD53" i="44"/>
  <c r="BB53" i="44"/>
  <c r="AZ53" i="44"/>
  <c r="AL53" i="44"/>
  <c r="AJ53" i="44"/>
  <c r="AH53" i="44"/>
  <c r="AF53" i="44"/>
  <c r="AD53" i="44"/>
  <c r="AB53" i="44"/>
  <c r="Z53" i="44"/>
  <c r="X53" i="44"/>
  <c r="W53" i="44"/>
  <c r="BJ52" i="44"/>
  <c r="BH52" i="44"/>
  <c r="BF52" i="44"/>
  <c r="BD52" i="44"/>
  <c r="BB52" i="44"/>
  <c r="AZ52" i="44"/>
  <c r="AL52" i="44"/>
  <c r="AJ52" i="44"/>
  <c r="AH52" i="44"/>
  <c r="AF52" i="44"/>
  <c r="AD52" i="44"/>
  <c r="AB52" i="44"/>
  <c r="Z52" i="44"/>
  <c r="X52" i="44"/>
  <c r="W52" i="44"/>
  <c r="BJ51" i="44"/>
  <c r="BH51" i="44"/>
  <c r="BF51" i="44"/>
  <c r="BD51" i="44"/>
  <c r="BB51" i="44"/>
  <c r="AZ51" i="44"/>
  <c r="AL51" i="44"/>
  <c r="AJ51" i="44"/>
  <c r="AH51" i="44"/>
  <c r="AF51" i="44"/>
  <c r="AB51" i="44"/>
  <c r="Z51" i="44"/>
  <c r="X51" i="44"/>
  <c r="W51" i="44"/>
  <c r="BJ50" i="44"/>
  <c r="BH50" i="44"/>
  <c r="BF50" i="44"/>
  <c r="BD50" i="44"/>
  <c r="BB50" i="44"/>
  <c r="AZ50" i="44"/>
  <c r="AL50" i="44"/>
  <c r="AJ50" i="44"/>
  <c r="AH50" i="44"/>
  <c r="AF50" i="44"/>
  <c r="AD50" i="44"/>
  <c r="AB50" i="44"/>
  <c r="Z50" i="44"/>
  <c r="X50" i="44"/>
  <c r="W50" i="44"/>
  <c r="BJ49" i="44"/>
  <c r="BH49" i="44"/>
  <c r="BF49" i="44"/>
  <c r="BD49" i="44"/>
  <c r="BB49" i="44"/>
  <c r="AZ49" i="44"/>
  <c r="AL49" i="44"/>
  <c r="AJ49" i="44"/>
  <c r="AH49" i="44"/>
  <c r="AF49" i="44"/>
  <c r="AD49" i="44"/>
  <c r="AB49" i="44"/>
  <c r="Z49" i="44"/>
  <c r="X49" i="44"/>
  <c r="W49" i="44"/>
  <c r="BJ48" i="44"/>
  <c r="BH48" i="44"/>
  <c r="BF48" i="44"/>
  <c r="BD48" i="44"/>
  <c r="BB48" i="44"/>
  <c r="AZ48" i="44"/>
  <c r="AL48" i="44"/>
  <c r="AJ48" i="44"/>
  <c r="AH48" i="44"/>
  <c r="AF48" i="44"/>
  <c r="AD48" i="44"/>
  <c r="AB48" i="44"/>
  <c r="Z48" i="44"/>
  <c r="W48" i="44"/>
  <c r="BJ47" i="44"/>
  <c r="BH47" i="44"/>
  <c r="BF47" i="44"/>
  <c r="BD47" i="44"/>
  <c r="BB47" i="44"/>
  <c r="AZ47" i="44"/>
  <c r="AL47" i="44"/>
  <c r="AJ47" i="44"/>
  <c r="AH47" i="44"/>
  <c r="AF47" i="44"/>
  <c r="AB47" i="44"/>
  <c r="Z47" i="44"/>
  <c r="W47" i="44"/>
  <c r="BJ46" i="44"/>
  <c r="BH46" i="44"/>
  <c r="BF46" i="44"/>
  <c r="BD46" i="44"/>
  <c r="BB46" i="44"/>
  <c r="AZ46" i="44"/>
  <c r="AL46" i="44"/>
  <c r="AJ46" i="44"/>
  <c r="AH46" i="44"/>
  <c r="AF46" i="44"/>
  <c r="AD46" i="44"/>
  <c r="AB46" i="44"/>
  <c r="Z46" i="44"/>
  <c r="Y46" i="44"/>
  <c r="BJ45" i="44"/>
  <c r="BH45" i="44"/>
  <c r="BF45" i="44"/>
  <c r="BD45" i="44"/>
  <c r="BB45" i="44"/>
  <c r="AL45" i="44"/>
  <c r="AJ45" i="44"/>
  <c r="AH45" i="44"/>
  <c r="AF45" i="44"/>
  <c r="AD45" i="44"/>
  <c r="AB45" i="44"/>
  <c r="Z45" i="44"/>
  <c r="W45" i="44"/>
  <c r="BJ44" i="44"/>
  <c r="BH44" i="44"/>
  <c r="BD44" i="44"/>
  <c r="BB44" i="44"/>
  <c r="AZ44" i="44"/>
  <c r="AL44" i="44"/>
  <c r="AJ44" i="44"/>
  <c r="AH44" i="44"/>
  <c r="AF44" i="44"/>
  <c r="AD44" i="44"/>
  <c r="AB44" i="44"/>
  <c r="Z44" i="44"/>
  <c r="BJ43" i="44"/>
  <c r="BH43" i="44"/>
  <c r="BF43" i="44"/>
  <c r="BD43" i="44"/>
  <c r="BB43" i="44"/>
  <c r="AZ43" i="44"/>
  <c r="AL43" i="44"/>
  <c r="AJ43" i="44"/>
  <c r="AH43" i="44"/>
  <c r="AF43" i="44"/>
  <c r="AD43" i="44"/>
  <c r="AB43" i="44"/>
  <c r="Z43" i="44"/>
  <c r="W43" i="44"/>
  <c r="BJ42" i="44"/>
  <c r="BH42" i="44"/>
  <c r="BF42" i="44"/>
  <c r="BD42" i="44"/>
  <c r="BB42" i="44"/>
  <c r="AZ42" i="44"/>
  <c r="AL42" i="44"/>
  <c r="AJ42" i="44"/>
  <c r="AH42" i="44"/>
  <c r="AF42" i="44"/>
  <c r="AD42" i="44"/>
  <c r="AB42" i="44"/>
  <c r="Z42" i="44"/>
  <c r="BV41" i="44"/>
  <c r="BO41" i="44"/>
  <c r="BS41" i="44" s="1"/>
  <c r="BM40" i="44"/>
  <c r="BJ39" i="44"/>
  <c r="BH39" i="44"/>
  <c r="BF39" i="44"/>
  <c r="BD39" i="44"/>
  <c r="BB39" i="44"/>
  <c r="AZ39" i="44"/>
  <c r="AL39" i="44"/>
  <c r="AJ39" i="44"/>
  <c r="AH39" i="44"/>
  <c r="AF39" i="44"/>
  <c r="AD39" i="44"/>
  <c r="AB39" i="44"/>
  <c r="Z39" i="44"/>
  <c r="BJ38" i="44"/>
  <c r="BH38" i="44"/>
  <c r="BF38" i="44"/>
  <c r="BD38" i="44"/>
  <c r="BB38" i="44"/>
  <c r="AZ38" i="44"/>
  <c r="AL38" i="44"/>
  <c r="AJ38" i="44"/>
  <c r="AH38" i="44"/>
  <c r="AF38" i="44"/>
  <c r="AD38" i="44"/>
  <c r="AB38" i="44"/>
  <c r="Z38" i="44"/>
  <c r="BJ36" i="44"/>
  <c r="BH36" i="44"/>
  <c r="BF36" i="44"/>
  <c r="BD36" i="44"/>
  <c r="BB36" i="44"/>
  <c r="AZ36" i="44"/>
  <c r="AL36" i="44"/>
  <c r="AJ36" i="44"/>
  <c r="AH36" i="44"/>
  <c r="AF36" i="44"/>
  <c r="AD36" i="44"/>
  <c r="AB36" i="44"/>
  <c r="Z36" i="44"/>
  <c r="BJ35" i="44"/>
  <c r="BH35" i="44"/>
  <c r="BF35" i="44"/>
  <c r="BD35" i="44"/>
  <c r="BB35" i="44"/>
  <c r="AZ35" i="44"/>
  <c r="AL35" i="44"/>
  <c r="AJ35" i="44"/>
  <c r="AH35" i="44"/>
  <c r="AF35" i="44"/>
  <c r="AD35" i="44"/>
  <c r="AB35" i="44"/>
  <c r="Z35" i="44"/>
  <c r="BV34" i="44"/>
  <c r="BO34" i="44"/>
  <c r="BS34" i="44" s="1"/>
  <c r="AB19" i="44"/>
  <c r="AD19" i="44"/>
  <c r="AF19" i="44"/>
  <c r="AH19" i="44"/>
  <c r="AJ19" i="44"/>
  <c r="AL19" i="44"/>
  <c r="AZ19" i="44"/>
  <c r="BB19" i="44"/>
  <c r="BD19" i="44"/>
  <c r="BF19" i="44"/>
  <c r="X79" i="45"/>
  <c r="Y79" i="45"/>
  <c r="X80" i="45"/>
  <c r="Y80" i="45"/>
  <c r="X82" i="45"/>
  <c r="Y82" i="45"/>
  <c r="AA12" i="45"/>
  <c r="AC12" i="45"/>
  <c r="AE12" i="45"/>
  <c r="AG12" i="45"/>
  <c r="AI12" i="45"/>
  <c r="AK12" i="45"/>
  <c r="BJ40" i="45"/>
  <c r="BK40" i="45" s="1"/>
  <c r="BJ41" i="45"/>
  <c r="BJ42" i="45"/>
  <c r="F42" i="45" s="1"/>
  <c r="G42" i="45" s="1"/>
  <c r="BJ43" i="45"/>
  <c r="F43" i="45" s="1"/>
  <c r="G43" i="45" s="1"/>
  <c r="M43" i="45" s="1"/>
  <c r="BJ44" i="45"/>
  <c r="F44" i="45" s="1"/>
  <c r="BJ45" i="45"/>
  <c r="F45" i="45" s="1"/>
  <c r="R45" i="45" s="1"/>
  <c r="V45" i="45" s="1"/>
  <c r="BJ12" i="45"/>
  <c r="J22" i="47"/>
  <c r="I22" i="47"/>
  <c r="BH45" i="43"/>
  <c r="BF45" i="43"/>
  <c r="BD45" i="43"/>
  <c r="AZ45" i="43"/>
  <c r="AL45" i="43"/>
  <c r="AJ45" i="43"/>
  <c r="AH45" i="43"/>
  <c r="AD45" i="43"/>
  <c r="AB45" i="43"/>
  <c r="BJ43" i="43"/>
  <c r="BH43" i="43"/>
  <c r="BF43" i="43"/>
  <c r="BD43" i="43"/>
  <c r="AZ43" i="43"/>
  <c r="AL43" i="43"/>
  <c r="AJ43" i="43"/>
  <c r="AH43" i="43"/>
  <c r="AF43" i="43"/>
  <c r="AD43" i="43"/>
  <c r="AB43" i="43"/>
  <c r="BJ42" i="43"/>
  <c r="BH42" i="43"/>
  <c r="BF42" i="43"/>
  <c r="BD42" i="43"/>
  <c r="AZ42" i="43"/>
  <c r="AL42" i="43"/>
  <c r="AJ42" i="43"/>
  <c r="AH42" i="43"/>
  <c r="AF42" i="43"/>
  <c r="AD42" i="43"/>
  <c r="AB42" i="43"/>
  <c r="BJ41" i="43"/>
  <c r="BH41" i="43"/>
  <c r="BF41" i="43"/>
  <c r="BD41" i="43"/>
  <c r="AZ41" i="43"/>
  <c r="AL41" i="43"/>
  <c r="AJ41" i="43"/>
  <c r="AH41" i="43"/>
  <c r="AF41" i="43"/>
  <c r="AD41" i="43"/>
  <c r="AB41" i="43"/>
  <c r="BJ40" i="43"/>
  <c r="BH40" i="43"/>
  <c r="BF40" i="43"/>
  <c r="BD40" i="43"/>
  <c r="AZ40" i="43"/>
  <c r="AL40" i="43"/>
  <c r="AJ40" i="43"/>
  <c r="AH40" i="43"/>
  <c r="AF40" i="43"/>
  <c r="AD40" i="43"/>
  <c r="AB40" i="43"/>
  <c r="BJ39" i="43"/>
  <c r="BH39" i="43"/>
  <c r="BF39" i="43"/>
  <c r="BD39" i="43"/>
  <c r="AZ39" i="43"/>
  <c r="AL39" i="43"/>
  <c r="AJ39" i="43"/>
  <c r="AH39" i="43"/>
  <c r="AF39" i="43"/>
  <c r="AD39" i="43"/>
  <c r="AB39" i="43"/>
  <c r="BK38" i="43"/>
  <c r="BJ38" i="43"/>
  <c r="BH38" i="43"/>
  <c r="BF38" i="43"/>
  <c r="BD38" i="43"/>
  <c r="AZ38" i="43"/>
  <c r="AL38" i="43"/>
  <c r="AJ38" i="43"/>
  <c r="AH38" i="43"/>
  <c r="AF38" i="43"/>
  <c r="AD38" i="43"/>
  <c r="AB38" i="43"/>
  <c r="BJ36" i="43"/>
  <c r="BH36" i="43"/>
  <c r="BF36" i="43"/>
  <c r="BD36" i="43"/>
  <c r="AZ36" i="43"/>
  <c r="AL36" i="43"/>
  <c r="AJ36" i="43"/>
  <c r="AH36" i="43"/>
  <c r="AF36" i="43"/>
  <c r="AB36" i="43"/>
  <c r="BJ33" i="43"/>
  <c r="BH33" i="43"/>
  <c r="BF33" i="43"/>
  <c r="BD33" i="43"/>
  <c r="AZ33" i="43"/>
  <c r="AL33" i="43"/>
  <c r="AJ33" i="43"/>
  <c r="AH33" i="43"/>
  <c r="AF33" i="43"/>
  <c r="AB33" i="43"/>
  <c r="BJ24" i="43"/>
  <c r="BH24" i="43"/>
  <c r="BF24" i="43"/>
  <c r="BD24" i="43"/>
  <c r="AZ24" i="43"/>
  <c r="AL24" i="43"/>
  <c r="AJ24" i="43"/>
  <c r="AH24" i="43"/>
  <c r="AF24" i="43"/>
  <c r="AD24" i="43"/>
  <c r="BJ23" i="43"/>
  <c r="BH23" i="43"/>
  <c r="BF23" i="43"/>
  <c r="BD23" i="43"/>
  <c r="AZ23" i="43"/>
  <c r="AL23" i="43"/>
  <c r="AJ23" i="43"/>
  <c r="AH23" i="43"/>
  <c r="AF23" i="43"/>
  <c r="AD23" i="43"/>
  <c r="AB23" i="43"/>
  <c r="BJ21" i="43"/>
  <c r="BH21" i="43"/>
  <c r="BF21" i="43"/>
  <c r="BD21" i="43"/>
  <c r="AZ21" i="43"/>
  <c r="AL21" i="43"/>
  <c r="AJ21" i="43"/>
  <c r="AH21" i="43"/>
  <c r="AD21" i="43"/>
  <c r="AB21" i="43"/>
  <c r="BJ18" i="43"/>
  <c r="BH18" i="43"/>
  <c r="BF18" i="43"/>
  <c r="BD18" i="43"/>
  <c r="AZ18" i="43"/>
  <c r="AL18" i="43"/>
  <c r="AJ18" i="43"/>
  <c r="AH18" i="43"/>
  <c r="AF18" i="43"/>
  <c r="AB18" i="43"/>
  <c r="BJ17" i="43"/>
  <c r="BH17" i="43"/>
  <c r="BF17" i="43"/>
  <c r="BD17" i="43"/>
  <c r="AZ17" i="43"/>
  <c r="AJ17" i="43"/>
  <c r="AH17" i="43"/>
  <c r="AF17" i="43"/>
  <c r="AB17" i="43"/>
  <c r="BJ16" i="43"/>
  <c r="BH16" i="43"/>
  <c r="BF16" i="43"/>
  <c r="BD16" i="43"/>
  <c r="AZ16" i="43"/>
  <c r="AL16" i="43"/>
  <c r="AJ16" i="43"/>
  <c r="AH16" i="43"/>
  <c r="AF16" i="43"/>
  <c r="AD16" i="43"/>
  <c r="AB16" i="43"/>
  <c r="BJ15" i="43"/>
  <c r="BH15" i="43"/>
  <c r="BF15" i="43"/>
  <c r="BD15" i="43"/>
  <c r="AZ15" i="43"/>
  <c r="AL15" i="43"/>
  <c r="AJ15" i="43"/>
  <c r="AH15" i="43"/>
  <c r="AF15" i="43"/>
  <c r="AD15" i="43"/>
  <c r="AB15" i="43"/>
  <c r="BF13" i="43"/>
  <c r="AZ13" i="43"/>
  <c r="AZ14" i="43" s="1"/>
  <c r="AJ13" i="43"/>
  <c r="AH13" i="43"/>
  <c r="AH14" i="43" s="1"/>
  <c r="AF13" i="43"/>
  <c r="AD13" i="43"/>
  <c r="BJ11" i="43"/>
  <c r="BH11" i="43"/>
  <c r="BF11" i="43"/>
  <c r="AX64" i="46"/>
  <c r="AX65" i="46" s="1"/>
  <c r="AX60" i="46"/>
  <c r="AX61" i="46"/>
  <c r="AX59" i="46"/>
  <c r="AX52" i="46"/>
  <c r="AX45" i="46"/>
  <c r="AX46" i="46"/>
  <c r="AX48" i="46"/>
  <c r="AX49" i="46"/>
  <c r="AX51" i="46"/>
  <c r="AX44" i="46"/>
  <c r="AX16" i="46"/>
  <c r="AX17" i="46" s="1"/>
  <c r="AX41" i="46"/>
  <c r="AX29" i="46"/>
  <c r="AX31" i="46"/>
  <c r="AX27" i="46"/>
  <c r="AX21" i="46"/>
  <c r="AX22" i="46"/>
  <c r="AX23" i="46"/>
  <c r="AX24" i="46"/>
  <c r="AX20" i="46"/>
  <c r="AX12" i="46"/>
  <c r="AA62" i="46"/>
  <c r="AC62" i="46"/>
  <c r="AE62" i="46"/>
  <c r="AG62" i="46"/>
  <c r="AI62" i="46"/>
  <c r="AW62" i="46"/>
  <c r="AY62" i="46"/>
  <c r="BA62" i="46"/>
  <c r="BC62" i="46"/>
  <c r="BE62" i="46"/>
  <c r="BG62" i="46"/>
  <c r="Y62" i="46"/>
  <c r="AG56" i="46"/>
  <c r="BC56" i="46"/>
  <c r="BG56" i="46"/>
  <c r="BG53" i="46"/>
  <c r="AC42" i="46"/>
  <c r="Y42" i="46"/>
  <c r="AA35" i="46"/>
  <c r="AC35" i="46"/>
  <c r="AE35" i="46"/>
  <c r="AG35" i="46"/>
  <c r="AW35" i="46"/>
  <c r="AY35" i="46"/>
  <c r="BA35" i="46"/>
  <c r="BC35" i="46"/>
  <c r="BE35" i="46"/>
  <c r="BG35" i="46"/>
  <c r="Y35" i="46"/>
  <c r="AE32" i="46"/>
  <c r="AW32" i="46"/>
  <c r="BA32" i="46"/>
  <c r="BE32" i="46"/>
  <c r="BG32" i="46"/>
  <c r="AA17" i="46"/>
  <c r="AC17" i="46"/>
  <c r="AE17" i="46"/>
  <c r="AG17" i="46"/>
  <c r="AI17" i="46"/>
  <c r="AW17" i="46"/>
  <c r="AY17" i="46"/>
  <c r="BA17" i="46"/>
  <c r="BC17" i="46"/>
  <c r="BE17" i="46"/>
  <c r="BG17" i="46"/>
  <c r="Y17" i="46"/>
  <c r="AA15" i="46"/>
  <c r="AC15" i="46"/>
  <c r="AE15" i="46"/>
  <c r="AG15" i="46"/>
  <c r="AI15" i="46"/>
  <c r="AW15" i="46"/>
  <c r="AY15" i="46"/>
  <c r="BG15" i="46"/>
  <c r="Y15" i="46"/>
  <c r="BH64" i="46"/>
  <c r="BH65" i="46" s="1"/>
  <c r="BF64" i="46"/>
  <c r="BF65" i="46" s="1"/>
  <c r="BD64" i="46"/>
  <c r="BD65" i="46" s="1"/>
  <c r="AZ64" i="46"/>
  <c r="AZ65" i="46" s="1"/>
  <c r="AH64" i="46"/>
  <c r="AH65" i="46" s="1"/>
  <c r="AF64" i="46"/>
  <c r="AF65" i="46" s="1"/>
  <c r="AD64" i="46"/>
  <c r="AD65" i="46" s="1"/>
  <c r="Z64" i="46"/>
  <c r="Z65" i="46" s="1"/>
  <c r="BH61" i="46"/>
  <c r="BF61" i="46"/>
  <c r="BD61" i="46"/>
  <c r="AZ61" i="46"/>
  <c r="AH61" i="46"/>
  <c r="AF61" i="46"/>
  <c r="AD61" i="46"/>
  <c r="Z61" i="46"/>
  <c r="BH60" i="46"/>
  <c r="BF60" i="46"/>
  <c r="BD60" i="46"/>
  <c r="AZ60" i="46"/>
  <c r="AH60" i="46"/>
  <c r="AF60" i="46"/>
  <c r="AD60" i="46"/>
  <c r="Z60" i="46"/>
  <c r="BH59" i="46"/>
  <c r="BF59" i="46"/>
  <c r="BD59" i="46"/>
  <c r="AZ59" i="46"/>
  <c r="AH59" i="46"/>
  <c r="AF59" i="46"/>
  <c r="AD59" i="46"/>
  <c r="AD62" i="46" s="1"/>
  <c r="Z59" i="46"/>
  <c r="BH52" i="46"/>
  <c r="BD52" i="46"/>
  <c r="AZ52" i="46"/>
  <c r="Z52" i="46"/>
  <c r="BH51" i="46"/>
  <c r="BF51" i="46"/>
  <c r="BD51" i="46"/>
  <c r="AZ51" i="46"/>
  <c r="AH51" i="46"/>
  <c r="AF51" i="46"/>
  <c r="AD51" i="46"/>
  <c r="Z51" i="46"/>
  <c r="BH49" i="46"/>
  <c r="BF49" i="46"/>
  <c r="BD49" i="46"/>
  <c r="AZ49" i="46"/>
  <c r="AH49" i="46"/>
  <c r="AF49" i="46"/>
  <c r="AD49" i="46"/>
  <c r="Z49" i="46"/>
  <c r="BH48" i="46"/>
  <c r="BF48" i="46"/>
  <c r="BD48" i="46"/>
  <c r="AZ48" i="46"/>
  <c r="AH48" i="46"/>
  <c r="AF48" i="46"/>
  <c r="AD48" i="46"/>
  <c r="Z48" i="46"/>
  <c r="BH46" i="46"/>
  <c r="BF46" i="46"/>
  <c r="BD46" i="46"/>
  <c r="AZ46" i="46"/>
  <c r="AH46" i="46"/>
  <c r="AF46" i="46"/>
  <c r="AD46" i="46"/>
  <c r="Z46" i="46"/>
  <c r="BH45" i="46"/>
  <c r="BF45" i="46"/>
  <c r="BD45" i="46"/>
  <c r="AZ45" i="46"/>
  <c r="AH45" i="46"/>
  <c r="AF45" i="46"/>
  <c r="AD45" i="46"/>
  <c r="Z45" i="46"/>
  <c r="BH44" i="46"/>
  <c r="BF44" i="46"/>
  <c r="BD44" i="46"/>
  <c r="AZ44" i="46"/>
  <c r="AH44" i="46"/>
  <c r="AF44" i="46"/>
  <c r="AD44" i="46"/>
  <c r="Z44" i="46"/>
  <c r="BH41" i="46"/>
  <c r="BF41" i="46"/>
  <c r="BD41" i="46"/>
  <c r="AZ41" i="46"/>
  <c r="AH41" i="46"/>
  <c r="AF41" i="46"/>
  <c r="AD41" i="46"/>
  <c r="Z41" i="46"/>
  <c r="BH40" i="46"/>
  <c r="AD40" i="46"/>
  <c r="Z40" i="46"/>
  <c r="BH31" i="46"/>
  <c r="BF31" i="46"/>
  <c r="BD31" i="46"/>
  <c r="AZ31" i="46"/>
  <c r="AH31" i="46"/>
  <c r="AF31" i="46"/>
  <c r="AD31" i="46"/>
  <c r="Z31" i="46"/>
  <c r="BH29" i="46"/>
  <c r="BF29" i="46"/>
  <c r="BD29" i="46"/>
  <c r="AZ29" i="46"/>
  <c r="AH29" i="46"/>
  <c r="AF29" i="46"/>
  <c r="AD29" i="46"/>
  <c r="Z29" i="46"/>
  <c r="BH27" i="46"/>
  <c r="BF27" i="46"/>
  <c r="BD27" i="46"/>
  <c r="AZ27" i="46"/>
  <c r="AH27" i="46"/>
  <c r="AF27" i="46"/>
  <c r="AD27" i="46"/>
  <c r="Z27" i="46"/>
  <c r="BH24" i="46"/>
  <c r="BF24" i="46"/>
  <c r="BD24" i="46"/>
  <c r="AH24" i="46"/>
  <c r="AF24" i="46"/>
  <c r="AD24" i="46"/>
  <c r="Z24" i="46"/>
  <c r="BH23" i="46"/>
  <c r="BF23" i="46"/>
  <c r="BD23" i="46"/>
  <c r="AZ23" i="46"/>
  <c r="AH23" i="46"/>
  <c r="AF23" i="46"/>
  <c r="AD23" i="46"/>
  <c r="Z23" i="46"/>
  <c r="BH22" i="46"/>
  <c r="BF22" i="46"/>
  <c r="BD22" i="46"/>
  <c r="AZ22" i="46"/>
  <c r="AH22" i="46"/>
  <c r="AF22" i="46"/>
  <c r="AD22" i="46"/>
  <c r="Z22" i="46"/>
  <c r="BH21" i="46"/>
  <c r="AH20" i="46"/>
  <c r="AF20" i="46"/>
  <c r="BH16" i="46"/>
  <c r="BH17" i="46" s="1"/>
  <c r="BF16" i="46"/>
  <c r="BF17" i="46" s="1"/>
  <c r="BD16" i="46"/>
  <c r="BD17" i="46" s="1"/>
  <c r="AZ16" i="46"/>
  <c r="AZ17" i="46" s="1"/>
  <c r="AH16" i="46"/>
  <c r="AH17" i="46" s="1"/>
  <c r="AF16" i="46"/>
  <c r="AF17" i="46" s="1"/>
  <c r="AD16" i="46"/>
  <c r="AD17" i="46" s="1"/>
  <c r="Z16" i="46"/>
  <c r="Z17" i="46" s="1"/>
  <c r="BH14" i="46"/>
  <c r="BF14" i="46"/>
  <c r="BD14" i="46"/>
  <c r="AZ14" i="46"/>
  <c r="AH14" i="46"/>
  <c r="AF14" i="46"/>
  <c r="AD14" i="46"/>
  <c r="Z14" i="46"/>
  <c r="BH12" i="46"/>
  <c r="BF12" i="46"/>
  <c r="BD12" i="46"/>
  <c r="AH12" i="46"/>
  <c r="AF12" i="46"/>
  <c r="AD12" i="46"/>
  <c r="Z12" i="46"/>
  <c r="BI50" i="47"/>
  <c r="BE50" i="47"/>
  <c r="AA31" i="47"/>
  <c r="AA32" i="47"/>
  <c r="AB25" i="47"/>
  <c r="AA12" i="47"/>
  <c r="BK12" i="47" s="1"/>
  <c r="G12" i="47" s="1"/>
  <c r="E4" i="51" s="1"/>
  <c r="BJ49" i="47"/>
  <c r="BH49" i="47"/>
  <c r="BF49" i="47"/>
  <c r="BD49" i="47"/>
  <c r="BB49" i="47"/>
  <c r="AZ49" i="47"/>
  <c r="AL49" i="47"/>
  <c r="AJ49" i="47"/>
  <c r="AH49" i="47"/>
  <c r="AF49" i="47"/>
  <c r="AB49" i="47"/>
  <c r="BJ48" i="47"/>
  <c r="BH48" i="47"/>
  <c r="BF48" i="47"/>
  <c r="BD48" i="47"/>
  <c r="BB48" i="47"/>
  <c r="AZ48" i="47"/>
  <c r="AL48" i="47"/>
  <c r="AJ48" i="47"/>
  <c r="AH48" i="47"/>
  <c r="AF48" i="47"/>
  <c r="AD48" i="47"/>
  <c r="AB48" i="47"/>
  <c r="BJ43" i="47"/>
  <c r="BJ39" i="47"/>
  <c r="BJ38" i="47"/>
  <c r="AZ38" i="47"/>
  <c r="AH38" i="47"/>
  <c r="BJ36" i="47"/>
  <c r="BJ35" i="47"/>
  <c r="BJ32" i="47"/>
  <c r="BH32" i="47"/>
  <c r="BF32" i="47"/>
  <c r="BD32" i="47"/>
  <c r="BB32" i="47"/>
  <c r="AZ32" i="47"/>
  <c r="AL32" i="47"/>
  <c r="AJ32" i="47"/>
  <c r="AH32" i="47"/>
  <c r="AF32" i="47"/>
  <c r="AD32" i="47"/>
  <c r="BJ31" i="47"/>
  <c r="BH31" i="47"/>
  <c r="BF31" i="47"/>
  <c r="BD31" i="47"/>
  <c r="BB31" i="47"/>
  <c r="AZ31" i="47"/>
  <c r="AL31" i="47"/>
  <c r="AJ31" i="47"/>
  <c r="AH31" i="47"/>
  <c r="AF31" i="47"/>
  <c r="AD31" i="47"/>
  <c r="BH29" i="47"/>
  <c r="BF29" i="47"/>
  <c r="BD29" i="47"/>
  <c r="BB29" i="47"/>
  <c r="AZ29" i="47"/>
  <c r="AL29" i="47"/>
  <c r="AJ29" i="47"/>
  <c r="AH29" i="47"/>
  <c r="AF29" i="47"/>
  <c r="AD29" i="47"/>
  <c r="BJ25" i="47"/>
  <c r="BH25" i="47"/>
  <c r="BF25" i="47"/>
  <c r="BD25" i="47"/>
  <c r="BB25" i="47"/>
  <c r="AZ25" i="47"/>
  <c r="AL25" i="47"/>
  <c r="AJ25" i="47"/>
  <c r="AH25" i="47"/>
  <c r="AF25" i="47"/>
  <c r="AD25" i="47"/>
  <c r="BJ23" i="47"/>
  <c r="BJ22" i="47"/>
  <c r="BH22" i="47"/>
  <c r="BF22" i="47"/>
  <c r="BD22" i="47"/>
  <c r="BB22" i="47"/>
  <c r="AZ22" i="47"/>
  <c r="AL22" i="47"/>
  <c r="AJ22" i="47"/>
  <c r="AH22" i="47"/>
  <c r="AF22" i="47"/>
  <c r="AD22" i="47"/>
  <c r="AB22" i="47"/>
  <c r="BJ17" i="47"/>
  <c r="BB17" i="47"/>
  <c r="AB17" i="47"/>
  <c r="BJ14" i="47"/>
  <c r="BH14" i="47"/>
  <c r="BF14" i="47"/>
  <c r="BD14" i="47"/>
  <c r="BB14" i="47"/>
  <c r="AZ14" i="47"/>
  <c r="AL14" i="47"/>
  <c r="AJ14" i="47"/>
  <c r="AH14" i="47"/>
  <c r="AF14" i="47"/>
  <c r="AD14" i="47"/>
  <c r="BJ13" i="47"/>
  <c r="BH13" i="47"/>
  <c r="BF13" i="47"/>
  <c r="BD13" i="47"/>
  <c r="BB13" i="47"/>
  <c r="AZ13" i="47"/>
  <c r="AL13" i="47"/>
  <c r="AJ13" i="47"/>
  <c r="AH13" i="47"/>
  <c r="AF13" i="47"/>
  <c r="AD13" i="47"/>
  <c r="BJ12" i="47"/>
  <c r="BH12" i="47"/>
  <c r="BF12" i="47"/>
  <c r="BD12" i="47"/>
  <c r="BB12" i="47"/>
  <c r="AZ12" i="47"/>
  <c r="AL12" i="47"/>
  <c r="AJ12" i="47"/>
  <c r="AH12" i="47"/>
  <c r="AF12" i="47"/>
  <c r="AD12" i="47"/>
  <c r="BJ10" i="47"/>
  <c r="BH10" i="47"/>
  <c r="BD10" i="47"/>
  <c r="BB10" i="47"/>
  <c r="AZ10" i="47"/>
  <c r="AL10" i="47"/>
  <c r="AJ10" i="47"/>
  <c r="AF10" i="47"/>
  <c r="AD10" i="47"/>
  <c r="AB10" i="47"/>
  <c r="BI13" i="45"/>
  <c r="BI14" i="45"/>
  <c r="BI18" i="45"/>
  <c r="BI20" i="45"/>
  <c r="BI24" i="45"/>
  <c r="BI25" i="45"/>
  <c r="BI29" i="45"/>
  <c r="BI30" i="45"/>
  <c r="BI31" i="45"/>
  <c r="BI32" i="45"/>
  <c r="BI33" i="45"/>
  <c r="BI36" i="45"/>
  <c r="BI37" i="45"/>
  <c r="BK37" i="45" s="1"/>
  <c r="BI40" i="45"/>
  <c r="BI41" i="45"/>
  <c r="BI42" i="45"/>
  <c r="BI43" i="45"/>
  <c r="BI44" i="45"/>
  <c r="BI45" i="45"/>
  <c r="BI53" i="45"/>
  <c r="BI54" i="45"/>
  <c r="BI56" i="45"/>
  <c r="BI58" i="45"/>
  <c r="BI59" i="45"/>
  <c r="BI69" i="45"/>
  <c r="BI70" i="45"/>
  <c r="BI71" i="45"/>
  <c r="BI72" i="45"/>
  <c r="BI78" i="45"/>
  <c r="BI79" i="45"/>
  <c r="BI80" i="45"/>
  <c r="BI81" i="45"/>
  <c r="BI82" i="45"/>
  <c r="BI83" i="45"/>
  <c r="BI84" i="45"/>
  <c r="BI85" i="45"/>
  <c r="BI86" i="45"/>
  <c r="BI88" i="45"/>
  <c r="BI89" i="45"/>
  <c r="BI90" i="45"/>
  <c r="BI91" i="45"/>
  <c r="BI93" i="45"/>
  <c r="BI96" i="45"/>
  <c r="BI97" i="45"/>
  <c r="BI98" i="45"/>
  <c r="BI99" i="45"/>
  <c r="BI12" i="45"/>
  <c r="BG13" i="45"/>
  <c r="BG14" i="45"/>
  <c r="BG18" i="45"/>
  <c r="BG19" i="45"/>
  <c r="BG20" i="45"/>
  <c r="BG40" i="45"/>
  <c r="BG53" i="45"/>
  <c r="BG56" i="45"/>
  <c r="BG58" i="45"/>
  <c r="BG59" i="45"/>
  <c r="BG69" i="45"/>
  <c r="BG70" i="45"/>
  <c r="BG71" i="45"/>
  <c r="BG72" i="45"/>
  <c r="BG91" i="45"/>
  <c r="BG93" i="45"/>
  <c r="BG96" i="45"/>
  <c r="BG97" i="45"/>
  <c r="BG98" i="45"/>
  <c r="BG99" i="45"/>
  <c r="BG12" i="45"/>
  <c r="BE13" i="45"/>
  <c r="BE14" i="45"/>
  <c r="BE18" i="45"/>
  <c r="BE19" i="45"/>
  <c r="BE40" i="45"/>
  <c r="BE53" i="45"/>
  <c r="BE56" i="45"/>
  <c r="BE58" i="45"/>
  <c r="BE59" i="45"/>
  <c r="BE69" i="45"/>
  <c r="BE70" i="45"/>
  <c r="BE71" i="45"/>
  <c r="BE72" i="45"/>
  <c r="BE91" i="45"/>
  <c r="BE93" i="45"/>
  <c r="BE96" i="45"/>
  <c r="BE97" i="45"/>
  <c r="BE98" i="45"/>
  <c r="BE99" i="45"/>
  <c r="BE12" i="45"/>
  <c r="BC13" i="45"/>
  <c r="BC14" i="45"/>
  <c r="BC17" i="45"/>
  <c r="BC18" i="45"/>
  <c r="BC19" i="45"/>
  <c r="BC20" i="45"/>
  <c r="BC22" i="45"/>
  <c r="BC23" i="45"/>
  <c r="BC40" i="45"/>
  <c r="BC53" i="45"/>
  <c r="BC56" i="45"/>
  <c r="BC58" i="45"/>
  <c r="BC59" i="45"/>
  <c r="BC69" i="45"/>
  <c r="BC70" i="45"/>
  <c r="BC71" i="45"/>
  <c r="BC72" i="45"/>
  <c r="BC91" i="45"/>
  <c r="BC93" i="45"/>
  <c r="BC96" i="45"/>
  <c r="BC97" i="45"/>
  <c r="BC98" i="45"/>
  <c r="BC99" i="45"/>
  <c r="BC12" i="45"/>
  <c r="BA13" i="45"/>
  <c r="BA14" i="45"/>
  <c r="BA17" i="45"/>
  <c r="BA18" i="45"/>
  <c r="BA19" i="45"/>
  <c r="BA22" i="45"/>
  <c r="BA23" i="45"/>
  <c r="BA40" i="45"/>
  <c r="BA53" i="45"/>
  <c r="BA56" i="45"/>
  <c r="BA58" i="45"/>
  <c r="BA59" i="45"/>
  <c r="BA69" i="45"/>
  <c r="BA70" i="45"/>
  <c r="BA71" i="45"/>
  <c r="BA72" i="45"/>
  <c r="BA91" i="45"/>
  <c r="BA93" i="45"/>
  <c r="BA96" i="45"/>
  <c r="BA97" i="45"/>
  <c r="BA98" i="45"/>
  <c r="BA99" i="45"/>
  <c r="BA12" i="45"/>
  <c r="AY13" i="45"/>
  <c r="AY14" i="45"/>
  <c r="AY17" i="45"/>
  <c r="AY18" i="45"/>
  <c r="AY19" i="45"/>
  <c r="AY20" i="45"/>
  <c r="AY22" i="45"/>
  <c r="AY23" i="45"/>
  <c r="AY40" i="45"/>
  <c r="AY53" i="45"/>
  <c r="AY56" i="45"/>
  <c r="AY58" i="45"/>
  <c r="AY59" i="45"/>
  <c r="AY69" i="45"/>
  <c r="AY70" i="45"/>
  <c r="AY71" i="45"/>
  <c r="AY72" i="45"/>
  <c r="AY91" i="45"/>
  <c r="AY93" i="45"/>
  <c r="AY96" i="45"/>
  <c r="AY97" i="45"/>
  <c r="AY98" i="45"/>
  <c r="AY99" i="45"/>
  <c r="AY12" i="45"/>
  <c r="AK13" i="45"/>
  <c r="AK14" i="45"/>
  <c r="AK17" i="45"/>
  <c r="AK18" i="45"/>
  <c r="AK19" i="45"/>
  <c r="AK20" i="45"/>
  <c r="AK22" i="45"/>
  <c r="AK23" i="45"/>
  <c r="AK40" i="45"/>
  <c r="AK53" i="45"/>
  <c r="AK56" i="45"/>
  <c r="AK58" i="45"/>
  <c r="AK59" i="45"/>
  <c r="AK69" i="45"/>
  <c r="AK70" i="45"/>
  <c r="AK71" i="45"/>
  <c r="AK72" i="45"/>
  <c r="AK91" i="45"/>
  <c r="AK93" i="45"/>
  <c r="AK96" i="45"/>
  <c r="AK97" i="45"/>
  <c r="AK98" i="45"/>
  <c r="AK99" i="45"/>
  <c r="AI13" i="45"/>
  <c r="AI14" i="45"/>
  <c r="AI17" i="45"/>
  <c r="AI18" i="45"/>
  <c r="AI19" i="45"/>
  <c r="AI20" i="45"/>
  <c r="AI22" i="45"/>
  <c r="AI23" i="45"/>
  <c r="AI40" i="45"/>
  <c r="AI53" i="45"/>
  <c r="AI56" i="45"/>
  <c r="AI59" i="45"/>
  <c r="AI70" i="45"/>
  <c r="AI71" i="45"/>
  <c r="AI72" i="45"/>
  <c r="AI77" i="45"/>
  <c r="AI91" i="45"/>
  <c r="AI93" i="45"/>
  <c r="AI96" i="45"/>
  <c r="AI97" i="45"/>
  <c r="AI98" i="45"/>
  <c r="AI99" i="45"/>
  <c r="AG13" i="45"/>
  <c r="AG14" i="45"/>
  <c r="AG17" i="45"/>
  <c r="AG18" i="45"/>
  <c r="AG19" i="45"/>
  <c r="AG20" i="45"/>
  <c r="AG22" i="45"/>
  <c r="AG23" i="45"/>
  <c r="AG40" i="45"/>
  <c r="AG53" i="45"/>
  <c r="AG56" i="45"/>
  <c r="AG59" i="45"/>
  <c r="AG70" i="45"/>
  <c r="AG71" i="45"/>
  <c r="AG72" i="45"/>
  <c r="AG77" i="45"/>
  <c r="AG91" i="45"/>
  <c r="AG93" i="45"/>
  <c r="AG96" i="45"/>
  <c r="AG97" i="45"/>
  <c r="AG98" i="45"/>
  <c r="AG99" i="45"/>
  <c r="AE13" i="45"/>
  <c r="AE14" i="45"/>
  <c r="AE17" i="45"/>
  <c r="AE18" i="45"/>
  <c r="AE19" i="45"/>
  <c r="AE20" i="45"/>
  <c r="AE22" i="45"/>
  <c r="AE23" i="45"/>
  <c r="AE40" i="45"/>
  <c r="AE53" i="45"/>
  <c r="AE56" i="45"/>
  <c r="AE59" i="45"/>
  <c r="AE69" i="45"/>
  <c r="AE70" i="45"/>
  <c r="AE71" i="45"/>
  <c r="AE72" i="45"/>
  <c r="AE77" i="45"/>
  <c r="AE91" i="45"/>
  <c r="AE93" i="45"/>
  <c r="AE96" i="45"/>
  <c r="AE97" i="45"/>
  <c r="AE98" i="45"/>
  <c r="AE99" i="45"/>
  <c r="AC13" i="45"/>
  <c r="AC17" i="45"/>
  <c r="AC18" i="45"/>
  <c r="AC19" i="45"/>
  <c r="AC20" i="45"/>
  <c r="AC22" i="45"/>
  <c r="AC23" i="45"/>
  <c r="AC40" i="45"/>
  <c r="AC53" i="45"/>
  <c r="AC56" i="45"/>
  <c r="AC59" i="45"/>
  <c r="AC69" i="45"/>
  <c r="AC70" i="45"/>
  <c r="AC71" i="45"/>
  <c r="AC72" i="45"/>
  <c r="AC77" i="45"/>
  <c r="AC91" i="45"/>
  <c r="AC93" i="45"/>
  <c r="AC96" i="45"/>
  <c r="AC97" i="45"/>
  <c r="AC98" i="45"/>
  <c r="AC99" i="45"/>
  <c r="AA13" i="45"/>
  <c r="AA14" i="45"/>
  <c r="AA17" i="45"/>
  <c r="AA22" i="45"/>
  <c r="AA23" i="45"/>
  <c r="AA40" i="45"/>
  <c r="AA53" i="45"/>
  <c r="AA58" i="45"/>
  <c r="AA59" i="45"/>
  <c r="AA69" i="45"/>
  <c r="AA70" i="45"/>
  <c r="AA71" i="45"/>
  <c r="AA72" i="45"/>
  <c r="AA77" i="45"/>
  <c r="AA91" i="45"/>
  <c r="AA93" i="45"/>
  <c r="AA96" i="45"/>
  <c r="AA97" i="45"/>
  <c r="AA98" i="45"/>
  <c r="AA99" i="45"/>
  <c r="BJ91" i="44"/>
  <c r="BH91" i="44"/>
  <c r="BF91" i="44"/>
  <c r="BB91" i="44"/>
  <c r="AZ91" i="44"/>
  <c r="AL91" i="44"/>
  <c r="AJ91" i="44"/>
  <c r="AH91" i="44"/>
  <c r="AF91" i="44"/>
  <c r="AD91" i="44"/>
  <c r="AB91" i="44"/>
  <c r="BJ31" i="44"/>
  <c r="BH31" i="44"/>
  <c r="BF31" i="44"/>
  <c r="BD31" i="44"/>
  <c r="BB31" i="44"/>
  <c r="AZ31" i="44"/>
  <c r="AL31" i="44"/>
  <c r="AJ31" i="44"/>
  <c r="AH31" i="44"/>
  <c r="AF31" i="44"/>
  <c r="AD31" i="44"/>
  <c r="AB31" i="44"/>
  <c r="BJ30" i="44"/>
  <c r="BH30" i="44"/>
  <c r="BF30" i="44"/>
  <c r="BD30" i="44"/>
  <c r="BB30" i="44"/>
  <c r="AZ30" i="44"/>
  <c r="AL30" i="44"/>
  <c r="AJ30" i="44"/>
  <c r="AH30" i="44"/>
  <c r="AF30" i="44"/>
  <c r="AD30" i="44"/>
  <c r="AB30" i="44"/>
  <c r="BJ19" i="44"/>
  <c r="BH19" i="44"/>
  <c r="BH33" i="44" s="1"/>
  <c r="BJ18" i="44"/>
  <c r="BH18" i="44"/>
  <c r="BF18" i="44"/>
  <c r="BD18" i="44"/>
  <c r="BB18" i="44"/>
  <c r="AZ18" i="44"/>
  <c r="AL18" i="44"/>
  <c r="AJ18" i="44"/>
  <c r="AH18" i="44"/>
  <c r="AF18" i="44"/>
  <c r="AD18" i="44"/>
  <c r="AB18" i="44"/>
  <c r="BJ17" i="44"/>
  <c r="BH17" i="44"/>
  <c r="BF17" i="44"/>
  <c r="BD17" i="44"/>
  <c r="BB17" i="44"/>
  <c r="AZ17" i="44"/>
  <c r="AL17" i="44"/>
  <c r="AJ17" i="44"/>
  <c r="AH17" i="44"/>
  <c r="AF17" i="44"/>
  <c r="AD17" i="44"/>
  <c r="AB17" i="44"/>
  <c r="BJ15" i="44"/>
  <c r="BH15" i="44"/>
  <c r="BF15" i="44"/>
  <c r="BD15" i="44"/>
  <c r="BB15" i="44"/>
  <c r="AZ15" i="44"/>
  <c r="AL15" i="44"/>
  <c r="AJ15" i="44"/>
  <c r="AH15" i="44"/>
  <c r="AF15" i="44"/>
  <c r="AD15" i="44"/>
  <c r="AB15" i="44"/>
  <c r="BJ14" i="44"/>
  <c r="BH14" i="44"/>
  <c r="BF14" i="44"/>
  <c r="BD14" i="44"/>
  <c r="BB14" i="44"/>
  <c r="AZ14" i="44"/>
  <c r="AL14" i="44"/>
  <c r="AJ14" i="44"/>
  <c r="AH14" i="44"/>
  <c r="AF14" i="44"/>
  <c r="AD14" i="44"/>
  <c r="AB14" i="44"/>
  <c r="BJ12" i="44"/>
  <c r="BH12" i="44"/>
  <c r="BH13" i="44" s="1"/>
  <c r="BF12" i="44"/>
  <c r="BF13" i="44" s="1"/>
  <c r="BD12" i="44"/>
  <c r="BB12" i="44"/>
  <c r="AZ12" i="44"/>
  <c r="AL12" i="44"/>
  <c r="AL13" i="44" s="1"/>
  <c r="AJ12" i="44"/>
  <c r="AJ13" i="44" s="1"/>
  <c r="AH12" i="44"/>
  <c r="AH13" i="44" s="1"/>
  <c r="AF12" i="44"/>
  <c r="AF13" i="44" s="1"/>
  <c r="AD12" i="44"/>
  <c r="AB12" i="44"/>
  <c r="AB13" i="44" s="1"/>
  <c r="BL50" i="42"/>
  <c r="H50" i="42" s="1"/>
  <c r="E72" i="51" s="1"/>
  <c r="BK50" i="42"/>
  <c r="BI50" i="42"/>
  <c r="BG50" i="42"/>
  <c r="BE50" i="42"/>
  <c r="BC50" i="42"/>
  <c r="BA50" i="42"/>
  <c r="AM50" i="42"/>
  <c r="AK50" i="42"/>
  <c r="AI50" i="42"/>
  <c r="AG50" i="42"/>
  <c r="BL49" i="42"/>
  <c r="BK49" i="42"/>
  <c r="BI49" i="42"/>
  <c r="BG49" i="42"/>
  <c r="BE49" i="42"/>
  <c r="BC49" i="42"/>
  <c r="BA49" i="42"/>
  <c r="AM49" i="42"/>
  <c r="AK49" i="42"/>
  <c r="AI49" i="42"/>
  <c r="AG49" i="42"/>
  <c r="AC49" i="42"/>
  <c r="BL48" i="42"/>
  <c r="H48" i="42" s="1"/>
  <c r="BK48" i="42"/>
  <c r="BI48" i="42"/>
  <c r="BG48" i="42"/>
  <c r="BE48" i="42"/>
  <c r="BC48" i="42"/>
  <c r="BA48" i="42"/>
  <c r="BK47" i="42"/>
  <c r="BI47" i="42"/>
  <c r="BG47" i="42"/>
  <c r="BE47" i="42"/>
  <c r="BC47" i="42"/>
  <c r="BA47" i="42"/>
  <c r="AM47" i="42"/>
  <c r="AK47" i="42"/>
  <c r="AI47" i="42"/>
  <c r="AG47" i="42"/>
  <c r="AE47" i="42"/>
  <c r="AC47" i="42"/>
  <c r="BK41" i="42"/>
  <c r="BK46" i="42" s="1"/>
  <c r="BI41" i="42"/>
  <c r="BG41" i="42"/>
  <c r="BE41" i="42"/>
  <c r="BC41" i="42"/>
  <c r="BA41" i="42"/>
  <c r="AM41" i="42"/>
  <c r="AK41" i="42"/>
  <c r="AI41" i="42"/>
  <c r="AG41" i="42"/>
  <c r="AE41" i="42"/>
  <c r="AC41" i="42"/>
  <c r="BL38" i="42"/>
  <c r="H38" i="42" s="1"/>
  <c r="V38" i="42" s="1"/>
  <c r="BI38" i="42"/>
  <c r="BG38" i="42"/>
  <c r="BE38" i="42"/>
  <c r="BC38" i="42"/>
  <c r="BA38" i="42"/>
  <c r="AM38" i="42"/>
  <c r="AK38" i="42"/>
  <c r="AI38" i="42"/>
  <c r="AG38" i="42"/>
  <c r="AE38" i="42"/>
  <c r="AC38" i="42"/>
  <c r="BL30" i="42"/>
  <c r="H30" i="42" s="1"/>
  <c r="BK30" i="42"/>
  <c r="BI30" i="42"/>
  <c r="BG30" i="42"/>
  <c r="BE30" i="42"/>
  <c r="BC30" i="42"/>
  <c r="BA30" i="42"/>
  <c r="AM30" i="42"/>
  <c r="AK30" i="42"/>
  <c r="AI30" i="42"/>
  <c r="AG30" i="42"/>
  <c r="AE30" i="42"/>
  <c r="AC30" i="42"/>
  <c r="BL27" i="42"/>
  <c r="H27" i="42" s="1"/>
  <c r="W27" i="42" s="1"/>
  <c r="BK27" i="42"/>
  <c r="BI27" i="42"/>
  <c r="BG27" i="42"/>
  <c r="BE27" i="42"/>
  <c r="BC27" i="42"/>
  <c r="BA27" i="42"/>
  <c r="AM27" i="42"/>
  <c r="AK27" i="42"/>
  <c r="AI27" i="42"/>
  <c r="AG27" i="42"/>
  <c r="AE27" i="42"/>
  <c r="AC27" i="42"/>
  <c r="BK22" i="42"/>
  <c r="BI22" i="42"/>
  <c r="BG22" i="42"/>
  <c r="BK21" i="42"/>
  <c r="BI21" i="42"/>
  <c r="BG21" i="42"/>
  <c r="BE21" i="42"/>
  <c r="BC21" i="42"/>
  <c r="BA21" i="42"/>
  <c r="BL18" i="42"/>
  <c r="H18" i="42" s="1"/>
  <c r="BK18" i="42"/>
  <c r="BI18" i="42"/>
  <c r="BG18" i="42"/>
  <c r="BE18" i="42"/>
  <c r="BC18" i="42"/>
  <c r="BA18" i="42"/>
  <c r="AM18" i="42"/>
  <c r="AK18" i="42"/>
  <c r="AI18" i="42"/>
  <c r="AG18" i="42"/>
  <c r="AE18" i="42"/>
  <c r="AC18" i="42"/>
  <c r="BL17" i="42"/>
  <c r="BK17" i="42"/>
  <c r="BI17" i="42"/>
  <c r="BG17" i="42"/>
  <c r="BE17" i="42"/>
  <c r="BC17" i="42"/>
  <c r="BA17" i="42"/>
  <c r="AM17" i="42"/>
  <c r="AK17" i="42"/>
  <c r="AI17" i="42"/>
  <c r="AG17" i="42"/>
  <c r="AE17" i="42"/>
  <c r="AC17" i="42"/>
  <c r="BL14" i="42"/>
  <c r="BI14" i="42"/>
  <c r="BG14" i="42"/>
  <c r="BE14" i="42"/>
  <c r="BC14" i="42"/>
  <c r="BA14" i="42"/>
  <c r="AM14" i="42"/>
  <c r="AK14" i="42"/>
  <c r="AI14" i="42"/>
  <c r="AG14" i="42"/>
  <c r="AE14" i="42"/>
  <c r="AC14" i="42"/>
  <c r="BL12" i="42"/>
  <c r="BK12" i="42"/>
  <c r="BI12" i="42"/>
  <c r="BG12" i="42"/>
  <c r="BE12" i="42"/>
  <c r="BC12" i="42"/>
  <c r="BA12" i="42"/>
  <c r="AM12" i="42"/>
  <c r="AK12" i="42"/>
  <c r="AI12" i="42"/>
  <c r="AG12" i="42"/>
  <c r="AE12" i="42"/>
  <c r="AC12" i="42"/>
  <c r="BL11" i="42"/>
  <c r="H11" i="42" s="1"/>
  <c r="BK11" i="42"/>
  <c r="BC11" i="42"/>
  <c r="Y96" i="45"/>
  <c r="X96" i="45"/>
  <c r="Y93" i="45"/>
  <c r="Y91" i="45"/>
  <c r="Y90" i="45"/>
  <c r="X90" i="45"/>
  <c r="Y89" i="45"/>
  <c r="Y88" i="45"/>
  <c r="Y86" i="45"/>
  <c r="X86" i="45"/>
  <c r="Y85" i="45"/>
  <c r="X85" i="45"/>
  <c r="Y84" i="45"/>
  <c r="X84" i="45"/>
  <c r="Y78" i="45"/>
  <c r="BU53" i="45"/>
  <c r="BN53" i="45"/>
  <c r="BR53" i="45" s="1"/>
  <c r="BU23" i="45"/>
  <c r="BN23" i="45"/>
  <c r="BR23" i="45" s="1"/>
  <c r="BI11" i="42"/>
  <c r="BG11" i="42"/>
  <c r="BE11" i="42"/>
  <c r="BA11" i="42"/>
  <c r="AM11" i="42"/>
  <c r="AK11" i="42"/>
  <c r="AI11" i="42"/>
  <c r="AG11" i="42"/>
  <c r="AE11" i="42"/>
  <c r="AC11" i="42"/>
  <c r="BJ44" i="41"/>
  <c r="F44" i="41" s="1"/>
  <c r="E84" i="51" s="1"/>
  <c r="BJ38" i="41"/>
  <c r="BJ35" i="41"/>
  <c r="F35" i="41" s="1"/>
  <c r="E83" i="51" s="1"/>
  <c r="BJ33" i="41"/>
  <c r="F33" i="41" s="1"/>
  <c r="E81" i="51" s="1"/>
  <c r="BJ22" i="41"/>
  <c r="F22" i="41" s="1"/>
  <c r="E79" i="51" s="1"/>
  <c r="BJ21" i="41"/>
  <c r="BJ18" i="41"/>
  <c r="F18" i="41" s="1"/>
  <c r="E77" i="51" s="1"/>
  <c r="BJ17" i="41"/>
  <c r="F17" i="41" s="1"/>
  <c r="S17" i="41" s="1"/>
  <c r="W17" i="41" s="1"/>
  <c r="BJ13" i="41"/>
  <c r="F13" i="41" s="1"/>
  <c r="G13" i="41" s="1"/>
  <c r="BI13" i="41"/>
  <c r="BI17" i="41"/>
  <c r="BI18" i="41"/>
  <c r="BI21" i="41"/>
  <c r="BI22" i="41"/>
  <c r="BI33" i="41"/>
  <c r="BI35" i="41"/>
  <c r="BI38" i="41"/>
  <c r="BI44" i="41"/>
  <c r="BG13" i="41"/>
  <c r="BG17" i="41"/>
  <c r="BG18" i="41"/>
  <c r="BG21" i="41"/>
  <c r="BG22" i="41"/>
  <c r="BG33" i="41"/>
  <c r="BG35" i="41"/>
  <c r="BG38" i="41"/>
  <c r="BG44" i="41"/>
  <c r="BE13" i="41"/>
  <c r="BE17" i="41"/>
  <c r="BE18" i="41"/>
  <c r="BE21" i="41"/>
  <c r="BE22" i="41"/>
  <c r="BE33" i="41"/>
  <c r="BE35" i="41"/>
  <c r="BE38" i="41"/>
  <c r="BE44" i="41"/>
  <c r="BC17" i="41"/>
  <c r="BC18" i="41"/>
  <c r="BC21" i="41"/>
  <c r="BC22" i="41"/>
  <c r="BC33" i="41"/>
  <c r="BC35" i="41"/>
  <c r="BC38" i="41"/>
  <c r="BC44" i="41"/>
  <c r="BA13" i="41"/>
  <c r="BA17" i="41"/>
  <c r="BA18" i="41"/>
  <c r="BA21" i="41"/>
  <c r="BA22" i="41"/>
  <c r="BA33" i="41"/>
  <c r="BA35" i="41"/>
  <c r="BA38" i="41"/>
  <c r="BA44" i="41"/>
  <c r="AY13" i="41"/>
  <c r="AY17" i="41"/>
  <c r="AY18" i="41"/>
  <c r="AY21" i="41"/>
  <c r="AY22" i="41"/>
  <c r="AY33" i="41"/>
  <c r="AY35" i="41"/>
  <c r="AY38" i="41"/>
  <c r="AY44" i="41"/>
  <c r="AK13" i="41"/>
  <c r="AK17" i="41"/>
  <c r="AK18" i="41"/>
  <c r="AK21" i="41"/>
  <c r="AK22" i="41"/>
  <c r="AK33" i="41"/>
  <c r="AK35" i="41"/>
  <c r="AK38" i="41"/>
  <c r="AK44" i="41"/>
  <c r="AI13" i="41"/>
  <c r="AI17" i="41"/>
  <c r="AI18" i="41"/>
  <c r="AI21" i="41"/>
  <c r="AI22" i="41"/>
  <c r="AI33" i="41"/>
  <c r="AI35" i="41"/>
  <c r="AI38" i="41"/>
  <c r="AI44" i="41"/>
  <c r="AG13" i="41"/>
  <c r="AG17" i="41"/>
  <c r="AG18" i="41"/>
  <c r="AG21" i="41"/>
  <c r="AG22" i="41"/>
  <c r="AG33" i="41"/>
  <c r="AG35" i="41"/>
  <c r="AG38" i="41"/>
  <c r="AG44" i="41"/>
  <c r="AE13" i="41"/>
  <c r="AE17" i="41"/>
  <c r="AE18" i="41"/>
  <c r="AE21" i="41"/>
  <c r="AE22" i="41"/>
  <c r="AE33" i="41"/>
  <c r="AE35" i="41"/>
  <c r="AE38" i="41"/>
  <c r="AE44" i="41"/>
  <c r="AC13" i="41"/>
  <c r="AC17" i="41"/>
  <c r="AC18" i="41"/>
  <c r="AC21" i="41"/>
  <c r="AC22" i="41"/>
  <c r="AC33" i="41"/>
  <c r="AC35" i="41"/>
  <c r="AC38" i="41"/>
  <c r="AC44" i="41"/>
  <c r="AA13" i="41"/>
  <c r="AA17" i="41"/>
  <c r="AA18" i="41"/>
  <c r="AA21" i="41"/>
  <c r="AA22" i="41"/>
  <c r="AA35" i="41"/>
  <c r="AA38" i="41"/>
  <c r="AA44" i="41"/>
  <c r="BJ87" i="24"/>
  <c r="F87" i="24" s="1"/>
  <c r="T87" i="24" s="1"/>
  <c r="X87" i="24" s="1"/>
  <c r="BJ86" i="24"/>
  <c r="F86" i="24" s="1"/>
  <c r="U86" i="24" s="1"/>
  <c r="Y86" i="24" s="1"/>
  <c r="BJ85" i="24"/>
  <c r="F85" i="24" s="1"/>
  <c r="G85" i="24" s="1"/>
  <c r="I85" i="24" s="1"/>
  <c r="BJ83" i="24"/>
  <c r="F83" i="24" s="1"/>
  <c r="G83" i="24" s="1"/>
  <c r="BJ82" i="24"/>
  <c r="F82" i="24" s="1"/>
  <c r="G82" i="24" s="1"/>
  <c r="BJ81" i="24"/>
  <c r="F81" i="24" s="1"/>
  <c r="U81" i="24" s="1"/>
  <c r="Y81" i="24" s="1"/>
  <c r="BJ78" i="24"/>
  <c r="F78" i="24" s="1"/>
  <c r="S78" i="24" s="1"/>
  <c r="W78" i="24" s="1"/>
  <c r="BJ77" i="24"/>
  <c r="F77" i="24" s="1"/>
  <c r="S77" i="24" s="1"/>
  <c r="W77" i="24" s="1"/>
  <c r="BJ76" i="24"/>
  <c r="F76" i="24" s="1"/>
  <c r="G76" i="24" s="1"/>
  <c r="BJ75" i="24"/>
  <c r="F75" i="24" s="1"/>
  <c r="S75" i="24" s="1"/>
  <c r="W75" i="24" s="1"/>
  <c r="BJ74" i="24"/>
  <c r="F74" i="24" s="1"/>
  <c r="R74" i="24" s="1"/>
  <c r="V74" i="24" s="1"/>
  <c r="BJ73" i="24"/>
  <c r="F73" i="24" s="1"/>
  <c r="U73" i="24" s="1"/>
  <c r="Y73" i="24" s="1"/>
  <c r="BJ72" i="24"/>
  <c r="F72" i="24" s="1"/>
  <c r="R72" i="24" s="1"/>
  <c r="V72" i="24" s="1"/>
  <c r="BJ71" i="24"/>
  <c r="F71" i="24" s="1"/>
  <c r="R71" i="24" s="1"/>
  <c r="V71" i="24" s="1"/>
  <c r="BJ70" i="24"/>
  <c r="F70" i="24" s="1"/>
  <c r="S70" i="24" s="1"/>
  <c r="W70" i="24" s="1"/>
  <c r="BJ69" i="24"/>
  <c r="F69" i="24" s="1"/>
  <c r="G69" i="24" s="1"/>
  <c r="BJ68" i="24"/>
  <c r="F68" i="24" s="1"/>
  <c r="T68" i="24" s="1"/>
  <c r="X68" i="24" s="1"/>
  <c r="BJ67" i="24"/>
  <c r="F67" i="24" s="1"/>
  <c r="S67" i="24" s="1"/>
  <c r="W67" i="24" s="1"/>
  <c r="BJ66" i="24"/>
  <c r="F66" i="24" s="1"/>
  <c r="BJ65" i="24"/>
  <c r="F65" i="24" s="1"/>
  <c r="U65" i="24" s="1"/>
  <c r="Y65" i="24" s="1"/>
  <c r="BJ64" i="24"/>
  <c r="F64" i="24" s="1"/>
  <c r="S64" i="24" s="1"/>
  <c r="W64" i="24" s="1"/>
  <c r="F63" i="24"/>
  <c r="T63" i="24" s="1"/>
  <c r="X63" i="24" s="1"/>
  <c r="BJ60" i="24"/>
  <c r="F60" i="24" s="1"/>
  <c r="BJ59" i="24"/>
  <c r="F59" i="24" s="1"/>
  <c r="BJ58" i="24"/>
  <c r="F58" i="24" s="1"/>
  <c r="G58" i="24" s="1"/>
  <c r="I58" i="24" s="1"/>
  <c r="BJ57" i="24"/>
  <c r="F57" i="24" s="1"/>
  <c r="R57" i="24" s="1"/>
  <c r="V57" i="24" s="1"/>
  <c r="BJ56" i="24"/>
  <c r="F56" i="24" s="1"/>
  <c r="BJ55" i="24"/>
  <c r="F55" i="24" s="1"/>
  <c r="U55" i="24" s="1"/>
  <c r="Y55" i="24" s="1"/>
  <c r="BJ54" i="24"/>
  <c r="F54" i="24" s="1"/>
  <c r="S54" i="24" s="1"/>
  <c r="W54" i="24" s="1"/>
  <c r="BJ53" i="24"/>
  <c r="F53" i="24" s="1"/>
  <c r="G53" i="24" s="1"/>
  <c r="H53" i="24" s="1"/>
  <c r="BJ52" i="24"/>
  <c r="BJ51" i="24"/>
  <c r="BJ50" i="24"/>
  <c r="BJ49" i="24"/>
  <c r="BJ47" i="24"/>
  <c r="F47" i="24" s="1"/>
  <c r="T47" i="24" s="1"/>
  <c r="X47" i="24" s="1"/>
  <c r="BJ46" i="24"/>
  <c r="BJ45" i="24"/>
  <c r="F45" i="24" s="1"/>
  <c r="T45" i="24" s="1"/>
  <c r="X45" i="24" s="1"/>
  <c r="BJ44" i="24"/>
  <c r="F44" i="24" s="1"/>
  <c r="BJ41" i="24"/>
  <c r="F41" i="24" s="1"/>
  <c r="T41" i="24" s="1"/>
  <c r="X41" i="24" s="1"/>
  <c r="BJ40" i="24"/>
  <c r="F40" i="24" s="1"/>
  <c r="G40" i="24" s="1"/>
  <c r="I40" i="24" s="1"/>
  <c r="BJ39" i="24"/>
  <c r="F39" i="24" s="1"/>
  <c r="BJ38" i="24"/>
  <c r="F38" i="24" s="1"/>
  <c r="G38" i="24" s="1"/>
  <c r="BJ37" i="24"/>
  <c r="F37" i="24" s="1"/>
  <c r="T37" i="24" s="1"/>
  <c r="X37" i="24" s="1"/>
  <c r="BJ36" i="24"/>
  <c r="F36" i="24" s="1"/>
  <c r="T36" i="24" s="1"/>
  <c r="X36" i="24" s="1"/>
  <c r="BJ35" i="24"/>
  <c r="F35" i="24" s="1"/>
  <c r="BJ34" i="24"/>
  <c r="BJ32" i="24"/>
  <c r="F32" i="24" s="1"/>
  <c r="S32" i="24" s="1"/>
  <c r="W32" i="24" s="1"/>
  <c r="BJ31" i="24"/>
  <c r="F31" i="24" s="1"/>
  <c r="BJ30" i="24"/>
  <c r="F30" i="24" s="1"/>
  <c r="S30" i="24" s="1"/>
  <c r="W30" i="24" s="1"/>
  <c r="BJ29" i="24"/>
  <c r="F29" i="24" s="1"/>
  <c r="BJ28" i="24"/>
  <c r="F28" i="24" s="1"/>
  <c r="BJ27" i="24"/>
  <c r="BJ26" i="24"/>
  <c r="BJ12" i="24"/>
  <c r="F12" i="24" s="1"/>
  <c r="R12" i="24" s="1"/>
  <c r="V12" i="24" s="1"/>
  <c r="BJ13" i="24"/>
  <c r="BJ14" i="24"/>
  <c r="F14" i="24" s="1"/>
  <c r="S14" i="24" s="1"/>
  <c r="W14" i="24" s="1"/>
  <c r="BJ15" i="24"/>
  <c r="F15" i="24" s="1"/>
  <c r="G15" i="24" s="1"/>
  <c r="H15" i="24" s="1"/>
  <c r="BJ17" i="24"/>
  <c r="F17" i="24" s="1"/>
  <c r="G17" i="24" s="1"/>
  <c r="I17" i="24" s="1"/>
  <c r="BJ18" i="24"/>
  <c r="F18" i="24" s="1"/>
  <c r="BJ19" i="24"/>
  <c r="BJ20" i="24"/>
  <c r="F20" i="24" s="1"/>
  <c r="G20" i="24" s="1"/>
  <c r="I20" i="24" s="1"/>
  <c r="BJ21" i="24"/>
  <c r="F21" i="24" s="1"/>
  <c r="S21" i="24" s="1"/>
  <c r="W21" i="24" s="1"/>
  <c r="BJ22" i="24"/>
  <c r="F22" i="24" s="1"/>
  <c r="G22" i="24" s="1"/>
  <c r="BJ23" i="24"/>
  <c r="F23" i="24" s="1"/>
  <c r="S23" i="24" s="1"/>
  <c r="W23" i="24" s="1"/>
  <c r="BJ24" i="24"/>
  <c r="F24" i="24" s="1"/>
  <c r="BI13" i="24"/>
  <c r="BK13" i="24" s="1"/>
  <c r="BP13" i="24" s="1"/>
  <c r="BR13" i="24" s="1"/>
  <c r="BI14" i="24"/>
  <c r="BK14" i="24" s="1"/>
  <c r="BP14" i="24" s="1"/>
  <c r="BR14" i="24" s="1"/>
  <c r="BV14" i="24" s="1"/>
  <c r="BI15" i="24"/>
  <c r="BK15" i="24" s="1"/>
  <c r="BP15" i="24" s="1"/>
  <c r="BR15" i="24" s="1"/>
  <c r="BV15" i="24" s="1"/>
  <c r="BI17" i="24"/>
  <c r="BK17" i="24" s="1"/>
  <c r="BP17" i="24" s="1"/>
  <c r="BR17" i="24" s="1"/>
  <c r="BI18" i="24"/>
  <c r="BI19" i="24"/>
  <c r="BK19" i="24" s="1"/>
  <c r="BP19" i="24" s="1"/>
  <c r="BR19" i="24" s="1"/>
  <c r="BI20" i="24"/>
  <c r="BK20" i="24" s="1"/>
  <c r="BP20" i="24" s="1"/>
  <c r="BR20" i="24" s="1"/>
  <c r="BI21" i="24"/>
  <c r="BK21" i="24" s="1"/>
  <c r="BP21" i="24" s="1"/>
  <c r="BR21" i="24" s="1"/>
  <c r="BI22" i="24"/>
  <c r="BK22" i="24" s="1"/>
  <c r="BP22" i="24" s="1"/>
  <c r="BR22" i="24" s="1"/>
  <c r="BI23" i="24"/>
  <c r="BK23" i="24" s="1"/>
  <c r="BP23" i="24" s="1"/>
  <c r="BR23" i="24" s="1"/>
  <c r="BI24" i="24"/>
  <c r="BI26" i="24"/>
  <c r="BK26" i="24" s="1"/>
  <c r="BI27" i="24"/>
  <c r="BK27" i="24" s="1"/>
  <c r="BI28" i="24"/>
  <c r="BK28" i="24" s="1"/>
  <c r="BI29" i="24"/>
  <c r="BK29" i="24" s="1"/>
  <c r="BI30" i="24"/>
  <c r="BK30" i="24" s="1"/>
  <c r="BI31" i="24"/>
  <c r="BK31" i="24" s="1"/>
  <c r="BI32" i="24"/>
  <c r="BK32" i="24" s="1"/>
  <c r="BI34" i="24"/>
  <c r="BI35" i="24"/>
  <c r="BK35" i="24" s="1"/>
  <c r="BP35" i="24" s="1"/>
  <c r="BR35" i="24" s="1"/>
  <c r="BI36" i="24"/>
  <c r="BK36" i="24" s="1"/>
  <c r="BP36" i="24" s="1"/>
  <c r="BR36" i="24" s="1"/>
  <c r="BV36" i="24" s="1"/>
  <c r="BI37" i="24"/>
  <c r="BK37" i="24" s="1"/>
  <c r="BP37" i="24" s="1"/>
  <c r="BR37" i="24" s="1"/>
  <c r="BV37" i="24" s="1"/>
  <c r="BI38" i="24"/>
  <c r="BK38" i="24" s="1"/>
  <c r="BO38" i="24" s="1"/>
  <c r="BR38" i="24" s="1"/>
  <c r="BI39" i="24"/>
  <c r="BK39" i="24" s="1"/>
  <c r="BT39" i="24" s="1"/>
  <c r="BI40" i="24"/>
  <c r="BK40" i="24" s="1"/>
  <c r="BI41" i="24"/>
  <c r="BK41" i="24" s="1"/>
  <c r="BI42" i="24"/>
  <c r="BK42" i="24" s="1"/>
  <c r="BI44" i="24"/>
  <c r="BK44" i="24" s="1"/>
  <c r="BT44" i="24" s="1"/>
  <c r="BU44" i="24" s="1"/>
  <c r="BI45" i="24"/>
  <c r="BK45" i="24" s="1"/>
  <c r="BT45" i="24" s="1"/>
  <c r="BI46" i="24"/>
  <c r="BK46" i="24" s="1"/>
  <c r="BI47" i="24"/>
  <c r="BK47" i="24" s="1"/>
  <c r="BO47" i="24" s="1"/>
  <c r="BR47" i="24" s="1"/>
  <c r="BI49" i="24"/>
  <c r="BK49" i="24" s="1"/>
  <c r="BI50" i="24"/>
  <c r="BK50" i="24" s="1"/>
  <c r="BI51" i="24"/>
  <c r="BK51" i="24" s="1"/>
  <c r="BI52" i="24"/>
  <c r="BK52" i="24" s="1"/>
  <c r="BI53" i="24"/>
  <c r="BK53" i="24" s="1"/>
  <c r="BS53" i="24" s="1"/>
  <c r="BI54" i="24"/>
  <c r="BK54" i="24" s="1"/>
  <c r="BI55" i="24"/>
  <c r="BK55" i="24" s="1"/>
  <c r="BS55" i="24" s="1"/>
  <c r="BU55" i="24" s="1"/>
  <c r="BV55" i="24" s="1"/>
  <c r="BI56" i="24"/>
  <c r="BK56" i="24" s="1"/>
  <c r="BS56" i="24" s="1"/>
  <c r="BU56" i="24" s="1"/>
  <c r="BI57" i="24"/>
  <c r="BK57" i="24" s="1"/>
  <c r="BS57" i="24" s="1"/>
  <c r="BU57" i="24" s="1"/>
  <c r="BI58" i="24"/>
  <c r="BK58" i="24" s="1"/>
  <c r="BS58" i="24" s="1"/>
  <c r="BU58" i="24" s="1"/>
  <c r="BI59" i="24"/>
  <c r="BK59" i="24" s="1"/>
  <c r="BS59" i="24" s="1"/>
  <c r="BU59" i="24" s="1"/>
  <c r="BI60" i="24"/>
  <c r="BK60" i="24" s="1"/>
  <c r="BS60" i="24" s="1"/>
  <c r="BU60" i="24" s="1"/>
  <c r="BI61" i="24"/>
  <c r="BK61" i="24" s="1"/>
  <c r="BS61" i="24" s="1"/>
  <c r="BI63" i="24"/>
  <c r="BK63" i="24" s="1"/>
  <c r="BS63" i="24" s="1"/>
  <c r="BU63" i="24" s="1"/>
  <c r="BV63" i="24" s="1"/>
  <c r="BI64" i="24"/>
  <c r="BK64" i="24" s="1"/>
  <c r="BS64" i="24" s="1"/>
  <c r="BU64" i="24" s="1"/>
  <c r="BI65" i="24"/>
  <c r="BK65" i="24" s="1"/>
  <c r="BS65" i="24" s="1"/>
  <c r="BU65" i="24" s="1"/>
  <c r="BI66" i="24"/>
  <c r="BK66" i="24" s="1"/>
  <c r="BS66" i="24" s="1"/>
  <c r="BU66" i="24" s="1"/>
  <c r="BI67" i="24"/>
  <c r="BK67" i="24" s="1"/>
  <c r="BS67" i="24" s="1"/>
  <c r="BI68" i="24"/>
  <c r="BK68" i="24" s="1"/>
  <c r="BS68" i="24" s="1"/>
  <c r="BI69" i="24"/>
  <c r="BK69" i="24" s="1"/>
  <c r="BS69" i="24" s="1"/>
  <c r="BU69" i="24" s="1"/>
  <c r="BV69" i="24" s="1"/>
  <c r="BI70" i="24"/>
  <c r="BI71" i="24"/>
  <c r="BK71" i="24" s="1"/>
  <c r="BS71" i="24" s="1"/>
  <c r="BU71" i="24" s="1"/>
  <c r="BI72" i="24"/>
  <c r="BK72" i="24" s="1"/>
  <c r="BS72" i="24" s="1"/>
  <c r="BU72" i="24" s="1"/>
  <c r="BI73" i="24"/>
  <c r="BK73" i="24" s="1"/>
  <c r="BS73" i="24" s="1"/>
  <c r="BU73" i="24" s="1"/>
  <c r="BI74" i="24"/>
  <c r="BK74" i="24" s="1"/>
  <c r="BS74" i="24" s="1"/>
  <c r="BU74" i="24" s="1"/>
  <c r="BI75" i="24"/>
  <c r="BK75" i="24" s="1"/>
  <c r="BS75" i="24" s="1"/>
  <c r="BU75" i="24" s="1"/>
  <c r="BI76" i="24"/>
  <c r="BK76" i="24" s="1"/>
  <c r="BS76" i="24" s="1"/>
  <c r="BU76" i="24" s="1"/>
  <c r="BI77" i="24"/>
  <c r="BK77" i="24" s="1"/>
  <c r="BS77" i="24" s="1"/>
  <c r="BU77" i="24" s="1"/>
  <c r="BI78" i="24"/>
  <c r="BK78" i="24" s="1"/>
  <c r="BS78" i="24" s="1"/>
  <c r="BU78" i="24" s="1"/>
  <c r="BI81" i="24"/>
  <c r="BK81" i="24" s="1"/>
  <c r="BT81" i="24" s="1"/>
  <c r="BU81" i="24" s="1"/>
  <c r="BI82" i="24"/>
  <c r="BK82" i="24" s="1"/>
  <c r="BI83" i="24"/>
  <c r="BK83" i="24" s="1"/>
  <c r="BT83" i="24" s="1"/>
  <c r="BU83" i="24" s="1"/>
  <c r="BI84" i="24"/>
  <c r="BK84" i="24" s="1"/>
  <c r="BI85" i="24"/>
  <c r="BK85" i="24" s="1"/>
  <c r="BT85" i="24" s="1"/>
  <c r="BU85" i="24" s="1"/>
  <c r="BI86" i="24"/>
  <c r="BK86" i="24" s="1"/>
  <c r="BT86" i="24" s="1"/>
  <c r="BU86" i="24" s="1"/>
  <c r="BI87" i="24"/>
  <c r="BK87" i="24" s="1"/>
  <c r="BT87" i="24" s="1"/>
  <c r="BU87" i="24" s="1"/>
  <c r="BI12" i="24"/>
  <c r="BK12" i="24" s="1"/>
  <c r="BT12" i="24" s="1"/>
  <c r="BU12" i="24" s="1"/>
  <c r="AA14" i="26"/>
  <c r="BC14" i="26"/>
  <c r="BE14" i="26"/>
  <c r="BG14" i="26"/>
  <c r="BI14" i="26"/>
  <c r="AC14" i="26"/>
  <c r="AE14" i="26"/>
  <c r="AG14" i="26"/>
  <c r="AI14" i="26"/>
  <c r="AK14" i="26"/>
  <c r="S28" i="39"/>
  <c r="Z28" i="39"/>
  <c r="AY14" i="26"/>
  <c r="BA14" i="26"/>
  <c r="AB13" i="26"/>
  <c r="AD13" i="26"/>
  <c r="AF13" i="26"/>
  <c r="AJ13" i="26"/>
  <c r="BB13" i="26"/>
  <c r="AB16" i="26"/>
  <c r="AD16" i="26"/>
  <c r="AF16" i="26"/>
  <c r="AH16" i="26"/>
  <c r="AJ16" i="26"/>
  <c r="AB17" i="26"/>
  <c r="AD17" i="26"/>
  <c r="AF17" i="26"/>
  <c r="AH17" i="26"/>
  <c r="AJ17" i="26"/>
  <c r="BB17" i="26"/>
  <c r="AB19" i="26"/>
  <c r="AD19" i="26"/>
  <c r="AF19" i="26"/>
  <c r="AH19" i="26"/>
  <c r="AJ19" i="26"/>
  <c r="BB19" i="26"/>
  <c r="AH20" i="26"/>
  <c r="AJ20" i="26"/>
  <c r="BB20" i="26"/>
  <c r="AB21" i="26"/>
  <c r="AD21" i="26"/>
  <c r="AF21" i="26"/>
  <c r="AH21" i="26"/>
  <c r="AJ21" i="26"/>
  <c r="BB21" i="26"/>
  <c r="AB23" i="26"/>
  <c r="AD23" i="26"/>
  <c r="AF23" i="26"/>
  <c r="AH23" i="26"/>
  <c r="AJ23" i="26"/>
  <c r="BB23" i="26"/>
  <c r="AB24" i="26"/>
  <c r="AD24" i="26"/>
  <c r="AF24" i="26"/>
  <c r="AH24" i="26"/>
  <c r="AJ24" i="26"/>
  <c r="BB24" i="26"/>
  <c r="AB25" i="26"/>
  <c r="AD25" i="26"/>
  <c r="AF25" i="26"/>
  <c r="AH25" i="26"/>
  <c r="AJ25" i="26"/>
  <c r="BB25" i="26"/>
  <c r="AB26" i="26"/>
  <c r="AD26" i="26"/>
  <c r="AF26" i="26"/>
  <c r="AF27" i="26" s="1"/>
  <c r="AH26" i="26"/>
  <c r="AJ26" i="26"/>
  <c r="BB26" i="26"/>
  <c r="AB28" i="26"/>
  <c r="AD28" i="26"/>
  <c r="AF28" i="26"/>
  <c r="AH28" i="26"/>
  <c r="AJ28" i="26"/>
  <c r="BB28" i="26"/>
  <c r="AB29" i="26"/>
  <c r="AD29" i="26"/>
  <c r="AF29" i="26"/>
  <c r="AH29" i="26"/>
  <c r="AJ29" i="26"/>
  <c r="BB29" i="26"/>
  <c r="AB30" i="26"/>
  <c r="AD30" i="26"/>
  <c r="AF30" i="26"/>
  <c r="AH30" i="26"/>
  <c r="AJ30" i="26"/>
  <c r="BB30" i="26"/>
  <c r="AB31" i="26"/>
  <c r="AD31" i="26"/>
  <c r="AF31" i="26"/>
  <c r="AH31" i="26"/>
  <c r="AJ31" i="26"/>
  <c r="BB31" i="26"/>
  <c r="BB32" i="26"/>
  <c r="AB33" i="26"/>
  <c r="AD33" i="26"/>
  <c r="AF33" i="26"/>
  <c r="AH33" i="26"/>
  <c r="AJ33" i="26"/>
  <c r="BB33" i="26"/>
  <c r="BB12" i="26"/>
  <c r="AJ12" i="26"/>
  <c r="AH12" i="26"/>
  <c r="AF12" i="26"/>
  <c r="AF14" i="26" s="1"/>
  <c r="AD12" i="26"/>
  <c r="AB12" i="26"/>
  <c r="BI54" i="25"/>
  <c r="BG54" i="25"/>
  <c r="BE54" i="25"/>
  <c r="BC54" i="25"/>
  <c r="BA54" i="25"/>
  <c r="AI54" i="25"/>
  <c r="AG54" i="25"/>
  <c r="AE54" i="25"/>
  <c r="AC54" i="25"/>
  <c r="AA54" i="25"/>
  <c r="BI53" i="25"/>
  <c r="BG53" i="25"/>
  <c r="BE53" i="25"/>
  <c r="BC53" i="25"/>
  <c r="BA53" i="25"/>
  <c r="AI53" i="25"/>
  <c r="AG53" i="25"/>
  <c r="AE53" i="25"/>
  <c r="AC53" i="25"/>
  <c r="AA53" i="25"/>
  <c r="BI52" i="25"/>
  <c r="BG52" i="25"/>
  <c r="BE52" i="25"/>
  <c r="BC52" i="25"/>
  <c r="BA52" i="25"/>
  <c r="AI52" i="25"/>
  <c r="AG52" i="25"/>
  <c r="AE52" i="25"/>
  <c r="AC52" i="25"/>
  <c r="AA52" i="25"/>
  <c r="BI51" i="25"/>
  <c r="BG51" i="25"/>
  <c r="BE51" i="25"/>
  <c r="BC51" i="25"/>
  <c r="BA51" i="25"/>
  <c r="AI51" i="25"/>
  <c r="AG51" i="25"/>
  <c r="AE51" i="25"/>
  <c r="AC51" i="25"/>
  <c r="AA51" i="25"/>
  <c r="BI50" i="25"/>
  <c r="BG50" i="25"/>
  <c r="BE50" i="25"/>
  <c r="BC50" i="25"/>
  <c r="BA50" i="25"/>
  <c r="AI50" i="25"/>
  <c r="AG50" i="25"/>
  <c r="AE50" i="25"/>
  <c r="AC50" i="25"/>
  <c r="AA50" i="25"/>
  <c r="BI47" i="25"/>
  <c r="BG47" i="25"/>
  <c r="BE47" i="25"/>
  <c r="BC47" i="25"/>
  <c r="BA47" i="25"/>
  <c r="AI47" i="25"/>
  <c r="AG47" i="25"/>
  <c r="AE47" i="25"/>
  <c r="AC47" i="25"/>
  <c r="AA47" i="25"/>
  <c r="BI46" i="25"/>
  <c r="BG46" i="25"/>
  <c r="BE46" i="25"/>
  <c r="BC46" i="25"/>
  <c r="BA46" i="25"/>
  <c r="AI46" i="25"/>
  <c r="AG46" i="25"/>
  <c r="AE46" i="25"/>
  <c r="AC46" i="25"/>
  <c r="AA46" i="25"/>
  <c r="BI45" i="25"/>
  <c r="BG45" i="25"/>
  <c r="BE45" i="25"/>
  <c r="BC45" i="25"/>
  <c r="BA45" i="25"/>
  <c r="AI45" i="25"/>
  <c r="AG45" i="25"/>
  <c r="AE45" i="25"/>
  <c r="AC45" i="25"/>
  <c r="AA45" i="25"/>
  <c r="AG44" i="25"/>
  <c r="BI43" i="25"/>
  <c r="BG43" i="25"/>
  <c r="BE43" i="25"/>
  <c r="BC43" i="25"/>
  <c r="BA43" i="25"/>
  <c r="AI43" i="25"/>
  <c r="AG43" i="25"/>
  <c r="AE43" i="25"/>
  <c r="AC43" i="25"/>
  <c r="AA43" i="25"/>
  <c r="BI42" i="25"/>
  <c r="BG42" i="25"/>
  <c r="BE42" i="25"/>
  <c r="BC42" i="25"/>
  <c r="BA42" i="25"/>
  <c r="AI42" i="25"/>
  <c r="AG42" i="25"/>
  <c r="AE42" i="25"/>
  <c r="AC42" i="25"/>
  <c r="AA42" i="25"/>
  <c r="BI41" i="25"/>
  <c r="BG41" i="25"/>
  <c r="BE41" i="25"/>
  <c r="BC41" i="25"/>
  <c r="BA41" i="25"/>
  <c r="AI41" i="25"/>
  <c r="AG41" i="25"/>
  <c r="AE41" i="25"/>
  <c r="AC41" i="25"/>
  <c r="AA41" i="25"/>
  <c r="BI40" i="25"/>
  <c r="BG40" i="25"/>
  <c r="BE40" i="25"/>
  <c r="BC40" i="25"/>
  <c r="BA40" i="25"/>
  <c r="AI40" i="25"/>
  <c r="AG40" i="25"/>
  <c r="AE40" i="25"/>
  <c r="AC40" i="25"/>
  <c r="AA40" i="25"/>
  <c r="BI39" i="25"/>
  <c r="BG39" i="25"/>
  <c r="BE39" i="25"/>
  <c r="BC39" i="25"/>
  <c r="BA39" i="25"/>
  <c r="AI39" i="25"/>
  <c r="AG39" i="25"/>
  <c r="AE39" i="25"/>
  <c r="AC39" i="25"/>
  <c r="AA39" i="25"/>
  <c r="BI38" i="25"/>
  <c r="BG38" i="25"/>
  <c r="BE38" i="25"/>
  <c r="BC38" i="25"/>
  <c r="BA38" i="25"/>
  <c r="AI38" i="25"/>
  <c r="AG38" i="25"/>
  <c r="AE38" i="25"/>
  <c r="AC38" i="25"/>
  <c r="AA38" i="25"/>
  <c r="BI37" i="25"/>
  <c r="BG37" i="25"/>
  <c r="BE37" i="25"/>
  <c r="BC37" i="25"/>
  <c r="BA37" i="25"/>
  <c r="AI37" i="25"/>
  <c r="AG37" i="25"/>
  <c r="AE37" i="25"/>
  <c r="AC37" i="25"/>
  <c r="AA37" i="25"/>
  <c r="BI36" i="25"/>
  <c r="BG36" i="25"/>
  <c r="BE36" i="25"/>
  <c r="BC36" i="25"/>
  <c r="BA36" i="25"/>
  <c r="AI36" i="25"/>
  <c r="AG36" i="25"/>
  <c r="AE36" i="25"/>
  <c r="AC36" i="25"/>
  <c r="AA36" i="25"/>
  <c r="BI35" i="25"/>
  <c r="BG35" i="25"/>
  <c r="BE35" i="25"/>
  <c r="BC35" i="25"/>
  <c r="BA35" i="25"/>
  <c r="AI35" i="25"/>
  <c r="AG35" i="25"/>
  <c r="AE35" i="25"/>
  <c r="AC35" i="25"/>
  <c r="AA35" i="25"/>
  <c r="BI34" i="25"/>
  <c r="BG34" i="25"/>
  <c r="BE34" i="25"/>
  <c r="BC34" i="25"/>
  <c r="AI34" i="25"/>
  <c r="AG34" i="25"/>
  <c r="AE34" i="25"/>
  <c r="AC34" i="25"/>
  <c r="AA34" i="25"/>
  <c r="AE18" i="25"/>
  <c r="AE21" i="25"/>
  <c r="AE22" i="25"/>
  <c r="AE23" i="25"/>
  <c r="AE24" i="25"/>
  <c r="AE25" i="25"/>
  <c r="AE26" i="25"/>
  <c r="AE27" i="25"/>
  <c r="AE28" i="25"/>
  <c r="AE29" i="25"/>
  <c r="AE17" i="25"/>
  <c r="AG18" i="25"/>
  <c r="AG21" i="25"/>
  <c r="AG22" i="25"/>
  <c r="AG23" i="25"/>
  <c r="AG24" i="25"/>
  <c r="AG25" i="25"/>
  <c r="AG26" i="25"/>
  <c r="AG27" i="25"/>
  <c r="AG28" i="25"/>
  <c r="AG29" i="25"/>
  <c r="AG17" i="25"/>
  <c r="AI18" i="25"/>
  <c r="AI21" i="25"/>
  <c r="AI22" i="25"/>
  <c r="AI23" i="25"/>
  <c r="AI24" i="25"/>
  <c r="AI25" i="25"/>
  <c r="AI26" i="25"/>
  <c r="AI27" i="25"/>
  <c r="AI28" i="25"/>
  <c r="AI29" i="25"/>
  <c r="AI17" i="25"/>
  <c r="BA21" i="25"/>
  <c r="BA22" i="25"/>
  <c r="BA23" i="25"/>
  <c r="BA24" i="25"/>
  <c r="BA25" i="25"/>
  <c r="BA26" i="25"/>
  <c r="BA27" i="25"/>
  <c r="BA28" i="25"/>
  <c r="BA29" i="25"/>
  <c r="BA17" i="25"/>
  <c r="BC18" i="25"/>
  <c r="BC21" i="25"/>
  <c r="BC22" i="25"/>
  <c r="BC23" i="25"/>
  <c r="BC24" i="25"/>
  <c r="BC25" i="25"/>
  <c r="BC26" i="25"/>
  <c r="BC27" i="25"/>
  <c r="BC28" i="25"/>
  <c r="BC29" i="25"/>
  <c r="BC17" i="25"/>
  <c r="BE18" i="25"/>
  <c r="BE21" i="25"/>
  <c r="BE22" i="25"/>
  <c r="BE23" i="25"/>
  <c r="BE24" i="25"/>
  <c r="BE25" i="25"/>
  <c r="BE26" i="25"/>
  <c r="BE27" i="25"/>
  <c r="BE28" i="25"/>
  <c r="BE29" i="25"/>
  <c r="BE17" i="25"/>
  <c r="BG18" i="25"/>
  <c r="BG21" i="25"/>
  <c r="BG22" i="25"/>
  <c r="BG23" i="25"/>
  <c r="BG24" i="25"/>
  <c r="BG25" i="25"/>
  <c r="BG26" i="25"/>
  <c r="BG27" i="25"/>
  <c r="BG28" i="25"/>
  <c r="BG29" i="25"/>
  <c r="BG17" i="25"/>
  <c r="BI18" i="25"/>
  <c r="BI21" i="25"/>
  <c r="BI22" i="25"/>
  <c r="BI23" i="25"/>
  <c r="BI24" i="25"/>
  <c r="BI25" i="25"/>
  <c r="BI26" i="25"/>
  <c r="BI27" i="25"/>
  <c r="BI28" i="25"/>
  <c r="BI29" i="25"/>
  <c r="BI17" i="25"/>
  <c r="BJ17" i="25"/>
  <c r="AC18" i="25"/>
  <c r="AC21" i="25"/>
  <c r="AC22" i="25"/>
  <c r="AC23" i="25"/>
  <c r="AC24" i="25"/>
  <c r="AC25" i="25"/>
  <c r="AC26" i="25"/>
  <c r="AC27" i="25"/>
  <c r="AC28" i="25"/>
  <c r="AC29" i="25"/>
  <c r="AC17" i="25"/>
  <c r="AA18" i="25"/>
  <c r="AA21" i="25"/>
  <c r="AA59" i="25" s="1"/>
  <c r="AA22" i="25"/>
  <c r="AA23" i="25"/>
  <c r="AA24" i="25"/>
  <c r="AA25" i="25"/>
  <c r="AA26" i="25"/>
  <c r="AA27" i="25"/>
  <c r="AA28" i="25"/>
  <c r="AA29" i="25"/>
  <c r="AA17" i="25"/>
  <c r="BI12" i="25"/>
  <c r="BI13" i="25"/>
  <c r="BI14" i="25"/>
  <c r="BG12" i="25"/>
  <c r="BG13" i="25"/>
  <c r="BG14" i="25"/>
  <c r="BG16" i="25" s="1"/>
  <c r="BE12" i="25"/>
  <c r="BE13" i="25"/>
  <c r="BE14" i="25"/>
  <c r="BC12" i="25"/>
  <c r="BC13" i="25"/>
  <c r="BC14" i="25"/>
  <c r="BA12" i="25"/>
  <c r="BA13" i="25"/>
  <c r="BA14" i="25"/>
  <c r="AI12" i="25"/>
  <c r="AI13" i="25"/>
  <c r="AI14" i="25"/>
  <c r="AG12" i="25"/>
  <c r="AG13" i="25"/>
  <c r="AG14" i="25"/>
  <c r="AE12" i="25"/>
  <c r="AE13" i="25"/>
  <c r="AE14" i="25"/>
  <c r="AC13" i="25"/>
  <c r="AC14" i="25"/>
  <c r="AA13" i="25"/>
  <c r="AA14" i="25"/>
  <c r="R84" i="24"/>
  <c r="V84" i="24" s="1"/>
  <c r="G61" i="24"/>
  <c r="H61" i="24" s="1"/>
  <c r="S61" i="24"/>
  <c r="W61" i="24" s="1"/>
  <c r="AB29" i="47"/>
  <c r="BK29" i="47"/>
  <c r="G29" i="47" s="1"/>
  <c r="AA18" i="45"/>
  <c r="S19" i="42"/>
  <c r="AA19" i="45"/>
  <c r="AB23" i="47"/>
  <c r="BP46" i="47"/>
  <c r="BS46" i="47" s="1"/>
  <c r="BV28" i="47"/>
  <c r="BV27" i="47"/>
  <c r="BP27" i="47"/>
  <c r="BS27" i="47" s="1"/>
  <c r="BU23" i="47"/>
  <c r="BU26" i="47" s="1"/>
  <c r="BT23" i="47"/>
  <c r="BT26" i="47" s="1"/>
  <c r="BR23" i="47"/>
  <c r="BR26" i="47" s="1"/>
  <c r="BQ23" i="47"/>
  <c r="BQ26" i="47" s="1"/>
  <c r="BO23" i="47"/>
  <c r="BO26" i="47" s="1"/>
  <c r="BO35" i="47" s="1"/>
  <c r="BO45" i="47" s="1"/>
  <c r="BO48" i="47" s="1"/>
  <c r="BO50" i="47" s="1"/>
  <c r="BV23" i="47"/>
  <c r="BV26" i="47" s="1"/>
  <c r="BV13" i="47"/>
  <c r="BV15" i="47" s="1"/>
  <c r="BV10" i="47"/>
  <c r="BW9" i="47"/>
  <c r="BH4" i="47"/>
  <c r="BG4" i="47"/>
  <c r="BF4" i="47"/>
  <c r="BE4" i="47"/>
  <c r="BD4" i="47"/>
  <c r="BC4" i="47"/>
  <c r="BB4" i="47"/>
  <c r="BA4" i="47"/>
  <c r="AZ4" i="47"/>
  <c r="AY4" i="47"/>
  <c r="AX4" i="47"/>
  <c r="AW4" i="47"/>
  <c r="AV4" i="47"/>
  <c r="AU4" i="47"/>
  <c r="AT4" i="47"/>
  <c r="AS4" i="47"/>
  <c r="AR4" i="47"/>
  <c r="AQ4" i="47"/>
  <c r="AP4" i="47"/>
  <c r="AO4" i="47"/>
  <c r="AN4" i="47"/>
  <c r="AM4" i="47"/>
  <c r="AL4" i="47"/>
  <c r="AK4" i="47"/>
  <c r="AJ4" i="47"/>
  <c r="AI4" i="47"/>
  <c r="AH4" i="47"/>
  <c r="AG4" i="47"/>
  <c r="AF4" i="47"/>
  <c r="AE4" i="47"/>
  <c r="AD4" i="47"/>
  <c r="AC4" i="47"/>
  <c r="AB4" i="47"/>
  <c r="BT61" i="46"/>
  <c r="BT60" i="46"/>
  <c r="BT59" i="46"/>
  <c r="BT58" i="46"/>
  <c r="BQ58" i="46"/>
  <c r="BT57" i="46"/>
  <c r="BQ57" i="46"/>
  <c r="BT54" i="46"/>
  <c r="BM52" i="46"/>
  <c r="BM53" i="46" s="1"/>
  <c r="BU36" i="46"/>
  <c r="BU33" i="46"/>
  <c r="BS31" i="46"/>
  <c r="BS32" i="46" s="1"/>
  <c r="BR31" i="46"/>
  <c r="BR32" i="46" s="1"/>
  <c r="BP31" i="46"/>
  <c r="BP32" i="46" s="1"/>
  <c r="BO31" i="46"/>
  <c r="BO32" i="46" s="1"/>
  <c r="BM31" i="46"/>
  <c r="BM32" i="46" s="1"/>
  <c r="BT30" i="46"/>
  <c r="BT29" i="46"/>
  <c r="BT28" i="46"/>
  <c r="BT24" i="46"/>
  <c r="BT23" i="46"/>
  <c r="BT22" i="46"/>
  <c r="BU19" i="46"/>
  <c r="BT14" i="46"/>
  <c r="BT12" i="46"/>
  <c r="BV17" i="45"/>
  <c r="BU14" i="45"/>
  <c r="BU13" i="45"/>
  <c r="BU12" i="45"/>
  <c r="BV11" i="45"/>
  <c r="BV10" i="45"/>
  <c r="BG5" i="45"/>
  <c r="BF5" i="45"/>
  <c r="BE5" i="45"/>
  <c r="BD5" i="45"/>
  <c r="BC5" i="45"/>
  <c r="BB5" i="45"/>
  <c r="BA5" i="45"/>
  <c r="AZ5" i="45"/>
  <c r="AY5" i="45"/>
  <c r="AX5" i="45"/>
  <c r="AW5" i="45"/>
  <c r="AV5" i="45"/>
  <c r="AU5" i="45"/>
  <c r="AT5" i="45"/>
  <c r="AS5" i="45"/>
  <c r="AR5" i="45"/>
  <c r="AQ5" i="45"/>
  <c r="AP5" i="45"/>
  <c r="AO5" i="45"/>
  <c r="AN5" i="45"/>
  <c r="AM5" i="45"/>
  <c r="AL5" i="45"/>
  <c r="AK5" i="45"/>
  <c r="AJ5" i="45"/>
  <c r="AI5" i="45"/>
  <c r="AH5" i="45"/>
  <c r="AG5" i="45"/>
  <c r="AF5" i="45"/>
  <c r="AE5" i="45"/>
  <c r="AD5" i="45"/>
  <c r="AC5" i="45"/>
  <c r="AB5" i="45"/>
  <c r="AA5" i="45"/>
  <c r="BV91" i="44"/>
  <c r="BV19" i="44"/>
  <c r="BW18" i="44"/>
  <c r="BW17" i="44"/>
  <c r="BV15" i="44"/>
  <c r="BW14" i="44"/>
  <c r="BU13" i="44"/>
  <c r="BU16" i="44" s="1"/>
  <c r="BT13" i="44"/>
  <c r="BT16" i="44" s="1"/>
  <c r="BR13" i="44"/>
  <c r="BR16" i="44" s="1"/>
  <c r="F15" i="52" s="1"/>
  <c r="BV11" i="44"/>
  <c r="BV10" i="44"/>
  <c r="BS10" i="44"/>
  <c r="BW9" i="44"/>
  <c r="BH4" i="44"/>
  <c r="BG4" i="44"/>
  <c r="BF4" i="44"/>
  <c r="BE4" i="44"/>
  <c r="BD4" i="44"/>
  <c r="BC4" i="44"/>
  <c r="BB4" i="44"/>
  <c r="BA4" i="44"/>
  <c r="AZ4" i="44"/>
  <c r="AY4" i="44"/>
  <c r="AX4" i="44"/>
  <c r="AW4" i="44"/>
  <c r="AV4" i="44"/>
  <c r="AU4" i="44"/>
  <c r="AT4" i="44"/>
  <c r="AS4" i="44"/>
  <c r="AR4" i="44"/>
  <c r="AQ4" i="44"/>
  <c r="AP4" i="44"/>
  <c r="AO4" i="44"/>
  <c r="AN4" i="44"/>
  <c r="AM4" i="44"/>
  <c r="AL4" i="44"/>
  <c r="AK4" i="44"/>
  <c r="AJ4" i="44"/>
  <c r="AI4" i="44"/>
  <c r="AH4" i="44"/>
  <c r="AG4" i="44"/>
  <c r="AF4" i="44"/>
  <c r="AE4" i="44"/>
  <c r="AD4" i="44"/>
  <c r="AC4" i="44"/>
  <c r="AB4" i="44"/>
  <c r="BV60" i="43"/>
  <c r="BV58" i="43"/>
  <c r="BV59" i="43" s="1"/>
  <c r="BV43" i="43"/>
  <c r="BV42" i="43"/>
  <c r="BV41" i="43"/>
  <c r="BV40" i="43"/>
  <c r="BV39" i="43"/>
  <c r="BW38" i="43"/>
  <c r="BV36" i="43"/>
  <c r="BV33" i="43"/>
  <c r="BV24" i="43"/>
  <c r="BW23" i="43"/>
  <c r="BV21" i="43"/>
  <c r="BV18" i="43"/>
  <c r="BV17" i="43"/>
  <c r="BW16" i="43"/>
  <c r="BW15" i="43"/>
  <c r="BV11" i="43"/>
  <c r="BW10" i="43"/>
  <c r="BH4" i="43"/>
  <c r="BG4" i="43"/>
  <c r="BF4" i="43"/>
  <c r="BE4" i="43"/>
  <c r="BD4" i="43"/>
  <c r="BC4" i="43"/>
  <c r="BB4" i="43"/>
  <c r="BA4" i="43"/>
  <c r="AZ4" i="43"/>
  <c r="AY4" i="43"/>
  <c r="AX4" i="43"/>
  <c r="AW4" i="43"/>
  <c r="AV4" i="43"/>
  <c r="AU4" i="43"/>
  <c r="AT4" i="43"/>
  <c r="AS4" i="43"/>
  <c r="AR4" i="43"/>
  <c r="AQ4" i="43"/>
  <c r="AP4" i="43"/>
  <c r="AO4" i="43"/>
  <c r="AN4" i="43"/>
  <c r="AM4" i="43"/>
  <c r="AL4" i="43"/>
  <c r="AK4" i="43"/>
  <c r="AJ4" i="43"/>
  <c r="AI4" i="43"/>
  <c r="AH4" i="43"/>
  <c r="AG4" i="43"/>
  <c r="AF4" i="43"/>
  <c r="AE4" i="43"/>
  <c r="AD4" i="43"/>
  <c r="AC4" i="43"/>
  <c r="AB4" i="43"/>
  <c r="BQ52" i="42"/>
  <c r="BW48" i="42"/>
  <c r="BW47" i="42"/>
  <c r="BW41" i="42"/>
  <c r="BW46" i="42" s="1"/>
  <c r="BW40" i="42"/>
  <c r="BW30" i="42"/>
  <c r="BW29" i="42"/>
  <c r="BW27" i="42"/>
  <c r="BW22" i="42"/>
  <c r="BW20" i="42"/>
  <c r="BW18" i="42"/>
  <c r="BW17" i="42"/>
  <c r="BW16" i="42"/>
  <c r="BW14" i="42"/>
  <c r="BW12" i="42"/>
  <c r="BW11" i="42"/>
  <c r="BI4" i="42"/>
  <c r="BH4" i="42"/>
  <c r="BG4" i="42"/>
  <c r="BF4" i="42"/>
  <c r="BE4" i="42"/>
  <c r="BD4" i="42"/>
  <c r="BC4" i="42"/>
  <c r="BB4" i="42"/>
  <c r="BA4" i="42"/>
  <c r="AZ4" i="42"/>
  <c r="AY4" i="42"/>
  <c r="AX4" i="42"/>
  <c r="AW4" i="42"/>
  <c r="AV4" i="42"/>
  <c r="AU4" i="42"/>
  <c r="AT4" i="42"/>
  <c r="AS4" i="42"/>
  <c r="AR4" i="42"/>
  <c r="AQ4" i="42"/>
  <c r="AP4" i="42"/>
  <c r="AO4" i="42"/>
  <c r="AN4" i="42"/>
  <c r="AM4" i="42"/>
  <c r="AL4" i="42"/>
  <c r="AK4" i="42"/>
  <c r="AJ4" i="42"/>
  <c r="AI4" i="42"/>
  <c r="AH4" i="42"/>
  <c r="AG4" i="42"/>
  <c r="AF4" i="42"/>
  <c r="AE4" i="42"/>
  <c r="AD4" i="42"/>
  <c r="AC4" i="42"/>
  <c r="AA5" i="41"/>
  <c r="AB5" i="41"/>
  <c r="AC5" i="41"/>
  <c r="AD5" i="41"/>
  <c r="AE5" i="41"/>
  <c r="AF5" i="41"/>
  <c r="AG5" i="41"/>
  <c r="AH5" i="41"/>
  <c r="AI5" i="41"/>
  <c r="AJ5" i="41"/>
  <c r="AK5" i="41"/>
  <c r="AL5" i="41"/>
  <c r="AM5" i="41"/>
  <c r="AN5" i="41"/>
  <c r="AO5" i="41"/>
  <c r="AP5" i="41"/>
  <c r="AQ5" i="41"/>
  <c r="AR5" i="41"/>
  <c r="AS5" i="41"/>
  <c r="AT5" i="41"/>
  <c r="AU5" i="41"/>
  <c r="AV5" i="41"/>
  <c r="AW5" i="41"/>
  <c r="AX5" i="41"/>
  <c r="AY5" i="41"/>
  <c r="AZ5" i="41"/>
  <c r="BA5" i="41"/>
  <c r="BB5" i="41"/>
  <c r="BC5" i="41"/>
  <c r="BD5" i="41"/>
  <c r="BE5" i="41"/>
  <c r="BF5" i="41"/>
  <c r="BG5" i="41"/>
  <c r="BU13" i="41"/>
  <c r="BV11" i="41"/>
  <c r="BR20" i="45"/>
  <c r="BO13" i="44"/>
  <c r="BO16" i="44" s="1"/>
  <c r="C15" i="52" s="1"/>
  <c r="BP40" i="42"/>
  <c r="BT40" i="42" s="1"/>
  <c r="I21" i="41"/>
  <c r="BN21" i="41"/>
  <c r="BR21" i="41" s="1"/>
  <c r="BV21" i="41" s="1"/>
  <c r="BP28" i="47"/>
  <c r="BS28" i="47" s="1"/>
  <c r="BP34" i="47"/>
  <c r="BS34" i="47" s="1"/>
  <c r="BW34" i="47" s="1"/>
  <c r="BN43" i="46"/>
  <c r="BQ43" i="46" s="1"/>
  <c r="BU43" i="46" s="1"/>
  <c r="BN37" i="46"/>
  <c r="BQ37" i="46" s="1"/>
  <c r="BU37" i="46" s="1"/>
  <c r="BP11" i="44"/>
  <c r="BP13" i="44" s="1"/>
  <c r="BP29" i="42"/>
  <c r="BR29" i="42"/>
  <c r="BP20" i="42"/>
  <c r="BT20" i="42" s="1"/>
  <c r="BP16" i="42"/>
  <c r="BT16" i="42" s="1"/>
  <c r="BP47" i="42"/>
  <c r="BT47" i="42" s="1"/>
  <c r="P21" i="41"/>
  <c r="H21" i="41"/>
  <c r="BR38" i="41"/>
  <c r="BV38" i="41" s="1"/>
  <c r="P38" i="41"/>
  <c r="H38" i="41"/>
  <c r="I38" i="41"/>
  <c r="BQ14" i="43"/>
  <c r="BQ48" i="47"/>
  <c r="BQ50" i="47" s="1"/>
  <c r="BN54" i="46"/>
  <c r="BQ54" i="46" s="1"/>
  <c r="BO60" i="43"/>
  <c r="BS60" i="43" s="1"/>
  <c r="BR58" i="24"/>
  <c r="Z30" i="26"/>
  <c r="Y30" i="26"/>
  <c r="W30" i="26"/>
  <c r="BV32" i="26"/>
  <c r="BV31" i="26"/>
  <c r="BV30" i="26"/>
  <c r="BV29" i="26"/>
  <c r="BV28" i="26"/>
  <c r="BV26" i="26"/>
  <c r="BV25" i="26"/>
  <c r="BV24" i="26"/>
  <c r="BV21" i="26"/>
  <c r="BV20" i="26"/>
  <c r="BV22" i="26" s="1"/>
  <c r="BV19" i="26"/>
  <c r="BV17" i="26"/>
  <c r="BV16" i="26"/>
  <c r="BV15" i="26"/>
  <c r="BV13" i="26"/>
  <c r="BV12" i="26"/>
  <c r="BV14" i="26" s="1"/>
  <c r="BV11" i="26"/>
  <c r="BV10" i="26"/>
  <c r="BS28" i="26"/>
  <c r="BS24" i="26"/>
  <c r="BS19" i="26"/>
  <c r="BS15" i="26"/>
  <c r="BW15" i="26" s="1"/>
  <c r="BS11" i="26"/>
  <c r="BS10" i="26"/>
  <c r="BV10" i="25"/>
  <c r="BV11" i="24"/>
  <c r="BV10" i="24"/>
  <c r="BU33" i="26"/>
  <c r="BU34" i="26" s="1"/>
  <c r="BT33" i="26"/>
  <c r="BT34" i="26" s="1"/>
  <c r="BR33" i="26"/>
  <c r="BR34" i="26" s="1"/>
  <c r="BO33" i="26"/>
  <c r="BO34" i="26" s="1"/>
  <c r="BS53" i="25"/>
  <c r="BS55" i="25" s="1"/>
  <c r="BQ53" i="25"/>
  <c r="BQ55" i="25" s="1"/>
  <c r="BO53" i="25"/>
  <c r="BO55" i="25" s="1"/>
  <c r="BN53" i="25"/>
  <c r="BN55" i="25" s="1"/>
  <c r="BU33" i="25"/>
  <c r="BU32" i="25"/>
  <c r="BU31" i="25"/>
  <c r="BN30" i="25"/>
  <c r="BR18" i="25"/>
  <c r="BR17" i="25"/>
  <c r="BR87" i="24"/>
  <c r="BR86" i="24"/>
  <c r="BR85" i="24"/>
  <c r="BR84" i="24"/>
  <c r="BR83" i="24"/>
  <c r="BR82" i="24"/>
  <c r="BR81" i="24"/>
  <c r="BR80" i="24"/>
  <c r="BR79" i="24"/>
  <c r="BR78" i="24"/>
  <c r="BR77" i="24"/>
  <c r="BR76" i="24"/>
  <c r="BR75" i="24"/>
  <c r="BR74" i="24"/>
  <c r="BR73" i="24"/>
  <c r="BR72" i="24"/>
  <c r="BR71" i="24"/>
  <c r="BT67" i="24"/>
  <c r="BT61" i="24"/>
  <c r="BU52" i="24"/>
  <c r="BU51" i="24"/>
  <c r="BU50" i="24"/>
  <c r="BU49" i="24"/>
  <c r="BS46" i="24"/>
  <c r="BU46" i="24" s="1"/>
  <c r="BQ48" i="24"/>
  <c r="BN48" i="24"/>
  <c r="BU35" i="24"/>
  <c r="BU33" i="24"/>
  <c r="BU32" i="24"/>
  <c r="BU31" i="24"/>
  <c r="BU30" i="24"/>
  <c r="BU29" i="24"/>
  <c r="BU28" i="24"/>
  <c r="BU27" i="24"/>
  <c r="BU26" i="24"/>
  <c r="BU25" i="24"/>
  <c r="BR12" i="24"/>
  <c r="R17" i="25"/>
  <c r="V17" i="25" s="1"/>
  <c r="BR60" i="24"/>
  <c r="BR39" i="24"/>
  <c r="BP26" i="24"/>
  <c r="BR26" i="24" s="1"/>
  <c r="BR64" i="24"/>
  <c r="BR56" i="24"/>
  <c r="V29" i="25"/>
  <c r="Y29" i="25"/>
  <c r="X29" i="25"/>
  <c r="BR54" i="25"/>
  <c r="X23" i="25"/>
  <c r="Y23" i="25"/>
  <c r="V23" i="25"/>
  <c r="V25" i="25"/>
  <c r="Y25" i="25"/>
  <c r="X25" i="25"/>
  <c r="V27" i="25"/>
  <c r="Y27" i="25"/>
  <c r="X27" i="25"/>
  <c r="V13" i="25"/>
  <c r="Y13" i="25"/>
  <c r="X13" i="25"/>
  <c r="W13" i="25"/>
  <c r="V24" i="25"/>
  <c r="Y24" i="25"/>
  <c r="X24" i="25"/>
  <c r="V26" i="25"/>
  <c r="Y26" i="25"/>
  <c r="X26" i="25"/>
  <c r="V28" i="25"/>
  <c r="Y28" i="25"/>
  <c r="X28" i="25"/>
  <c r="BR44" i="25"/>
  <c r="X17" i="26"/>
  <c r="W17" i="26"/>
  <c r="W29" i="26"/>
  <c r="X29" i="26"/>
  <c r="Y29" i="26"/>
  <c r="Z29" i="26"/>
  <c r="W31" i="26"/>
  <c r="X31" i="26"/>
  <c r="Y31" i="26"/>
  <c r="Z31" i="26"/>
  <c r="Z17" i="26"/>
  <c r="W21" i="26"/>
  <c r="X21" i="26"/>
  <c r="Z21" i="26"/>
  <c r="BS80" i="24"/>
  <c r="BU80" i="24" s="1"/>
  <c r="BP50" i="24"/>
  <c r="BR50" i="24" s="1"/>
  <c r="BR46" i="25"/>
  <c r="BR53" i="24"/>
  <c r="BR37" i="25"/>
  <c r="BT17" i="25"/>
  <c r="BU17" i="25" s="1"/>
  <c r="BR36" i="25"/>
  <c r="S17" i="25"/>
  <c r="W17" i="25" s="1"/>
  <c r="T17" i="25"/>
  <c r="X17" i="25" s="1"/>
  <c r="U17" i="25"/>
  <c r="Y17" i="25" s="1"/>
  <c r="L55" i="25"/>
  <c r="BR52" i="24"/>
  <c r="BR34" i="25"/>
  <c r="BR43" i="25"/>
  <c r="BR52" i="25"/>
  <c r="BR66" i="24"/>
  <c r="BP27" i="24"/>
  <c r="BR27" i="24" s="1"/>
  <c r="BR42" i="25"/>
  <c r="BR45" i="25"/>
  <c r="BR39" i="25"/>
  <c r="BR38" i="25"/>
  <c r="BP49" i="24"/>
  <c r="BR49" i="24" s="1"/>
  <c r="BR40" i="25"/>
  <c r="BR41" i="25"/>
  <c r="BR47" i="25"/>
  <c r="BR51" i="24"/>
  <c r="BR35" i="25"/>
  <c r="BP32" i="25"/>
  <c r="BR32" i="25" s="1"/>
  <c r="BP33" i="25"/>
  <c r="BR33" i="25" s="1"/>
  <c r="BS29" i="26"/>
  <c r="BP34" i="26"/>
  <c r="BP31" i="25"/>
  <c r="BR31" i="25" s="1"/>
  <c r="P55" i="25"/>
  <c r="N55" i="25"/>
  <c r="Q55" i="25"/>
  <c r="K55" i="25"/>
  <c r="L48" i="25"/>
  <c r="J48" i="25"/>
  <c r="M48" i="25"/>
  <c r="P48" i="25"/>
  <c r="Q48" i="25"/>
  <c r="N48" i="25"/>
  <c r="K48" i="25"/>
  <c r="O48" i="25"/>
  <c r="M16" i="25"/>
  <c r="L16" i="25"/>
  <c r="O55" i="25"/>
  <c r="J55" i="25"/>
  <c r="M55" i="25"/>
  <c r="O14" i="26"/>
  <c r="M14" i="26"/>
  <c r="L14" i="26"/>
  <c r="Q14" i="26"/>
  <c r="N14" i="26"/>
  <c r="P14" i="26"/>
  <c r="R14" i="26"/>
  <c r="K14" i="26"/>
  <c r="BR65" i="24"/>
  <c r="BR59" i="24"/>
  <c r="N16" i="25"/>
  <c r="N30" i="25"/>
  <c r="K16" i="25"/>
  <c r="K30" i="25"/>
  <c r="O16" i="25"/>
  <c r="O30" i="25"/>
  <c r="P16" i="25"/>
  <c r="P30" i="25"/>
  <c r="L30" i="25"/>
  <c r="J16" i="25"/>
  <c r="J30" i="25"/>
  <c r="Q16" i="25"/>
  <c r="Q30" i="25"/>
  <c r="M30" i="25"/>
  <c r="BR57" i="24"/>
  <c r="BG50" i="47"/>
  <c r="AA50" i="47"/>
  <c r="AA89" i="44"/>
  <c r="R89" i="44"/>
  <c r="S89" i="44"/>
  <c r="AE89" i="44"/>
  <c r="AC89" i="44"/>
  <c r="AG89" i="44"/>
  <c r="AI89" i="44"/>
  <c r="AK89" i="44"/>
  <c r="BL22" i="42"/>
  <c r="H22" i="42" s="1"/>
  <c r="U22" i="42" s="1"/>
  <c r="BL21" i="42"/>
  <c r="H21" i="42" s="1"/>
  <c r="V21" i="42" s="1"/>
  <c r="BP52" i="42"/>
  <c r="BB56" i="46"/>
  <c r="AH56" i="46"/>
  <c r="AB56" i="46"/>
  <c r="AJ56" i="46"/>
  <c r="AZ56" i="46"/>
  <c r="AF56" i="46"/>
  <c r="V55" i="46"/>
  <c r="V56" i="46" s="1"/>
  <c r="R61" i="24"/>
  <c r="V61" i="24" s="1"/>
  <c r="T61" i="24"/>
  <c r="X61" i="24" s="1"/>
  <c r="U61" i="24"/>
  <c r="Y61" i="24" s="1"/>
  <c r="BF34" i="46"/>
  <c r="BF35" i="46" s="1"/>
  <c r="BI45" i="46"/>
  <c r="E45" i="46" s="1"/>
  <c r="F45" i="46" s="1"/>
  <c r="BI23" i="46"/>
  <c r="E23" i="46" s="1"/>
  <c r="F23" i="46" s="1"/>
  <c r="H23" i="46" s="1"/>
  <c r="BF30" i="46"/>
  <c r="BI30" i="46"/>
  <c r="E30" i="46" s="1"/>
  <c r="R30" i="46" s="1"/>
  <c r="V30" i="46" s="1"/>
  <c r="BI22" i="46"/>
  <c r="E22" i="46" s="1"/>
  <c r="T22" i="46" s="1"/>
  <c r="X22" i="46" s="1"/>
  <c r="X54" i="44"/>
  <c r="W54" i="44"/>
  <c r="W10" i="47"/>
  <c r="Y10" i="47"/>
  <c r="X10" i="47"/>
  <c r="W17" i="47"/>
  <c r="Y17" i="47"/>
  <c r="X17" i="47"/>
  <c r="X33" i="43"/>
  <c r="W33" i="43"/>
  <c r="X56" i="43"/>
  <c r="W56" i="43"/>
  <c r="Y35" i="43"/>
  <c r="Z35" i="43"/>
  <c r="W35" i="43"/>
  <c r="X35" i="43"/>
  <c r="AL35" i="43"/>
  <c r="AJ34" i="46"/>
  <c r="AJ35" i="46" s="1"/>
  <c r="AI35" i="46"/>
  <c r="BI34" i="46"/>
  <c r="E34" i="46" s="1"/>
  <c r="F34" i="46" s="1"/>
  <c r="H34" i="46" s="1"/>
  <c r="H35" i="46" s="1"/>
  <c r="BD28" i="46"/>
  <c r="BC32" i="46"/>
  <c r="BC42" i="46"/>
  <c r="AA20" i="45"/>
  <c r="T43" i="41"/>
  <c r="X43" i="41" s="1"/>
  <c r="G43" i="41"/>
  <c r="L43" i="41" s="1"/>
  <c r="G40" i="41"/>
  <c r="L40" i="41" s="1"/>
  <c r="S39" i="41"/>
  <c r="W39" i="41" s="1"/>
  <c r="G39" i="41"/>
  <c r="L39" i="41" s="1"/>
  <c r="BI64" i="43"/>
  <c r="BK61" i="43"/>
  <c r="G61" i="43" s="1"/>
  <c r="E63" i="51" s="1"/>
  <c r="AL64" i="43"/>
  <c r="P100" i="45"/>
  <c r="L100" i="45"/>
  <c r="U100" i="45"/>
  <c r="K100" i="45"/>
  <c r="O100" i="45"/>
  <c r="Q100" i="45"/>
  <c r="N100" i="45"/>
  <c r="BJ83" i="45"/>
  <c r="F83" i="45" s="1"/>
  <c r="R83" i="45" s="1"/>
  <c r="V83" i="45" s="1"/>
  <c r="Z100" i="45"/>
  <c r="BA59" i="43"/>
  <c r="BB35" i="43"/>
  <c r="S86" i="24"/>
  <c r="W86" i="24" s="1"/>
  <c r="T65" i="24"/>
  <c r="X65" i="24" s="1"/>
  <c r="G77" i="24"/>
  <c r="S17" i="24"/>
  <c r="W17" i="24" s="1"/>
  <c r="BT82" i="24"/>
  <c r="BU82" i="24" s="1"/>
  <c r="BK62" i="24"/>
  <c r="BS62" i="24" s="1"/>
  <c r="H16" i="24"/>
  <c r="I16" i="24"/>
  <c r="S22" i="24"/>
  <c r="W22" i="24" s="1"/>
  <c r="BK18" i="24"/>
  <c r="BP18" i="24" s="1"/>
  <c r="BR18" i="24" s="1"/>
  <c r="Q44" i="46"/>
  <c r="U44" i="46" s="1"/>
  <c r="Y53" i="46"/>
  <c r="AF50" i="46"/>
  <c r="AE53" i="46"/>
  <c r="AJ21" i="46"/>
  <c r="AI25" i="46"/>
  <c r="AH40" i="46"/>
  <c r="AG42" i="46"/>
  <c r="BI40" i="46"/>
  <c r="E40" i="46" s="1"/>
  <c r="AW42" i="46"/>
  <c r="BF50" i="46"/>
  <c r="AC25" i="46"/>
  <c r="AB28" i="46"/>
  <c r="BI24" i="46"/>
  <c r="E24" i="46" s="1"/>
  <c r="BE25" i="46"/>
  <c r="AG53" i="46"/>
  <c r="AY25" i="46"/>
  <c r="U52" i="43"/>
  <c r="Y52" i="43" s="1"/>
  <c r="AD39" i="47"/>
  <c r="T38" i="24"/>
  <c r="X38" i="24" s="1"/>
  <c r="R53" i="24"/>
  <c r="V53" i="24" s="1"/>
  <c r="AA25" i="46"/>
  <c r="AB20" i="46"/>
  <c r="T13" i="26"/>
  <c r="X13" i="26" s="1"/>
  <c r="M52" i="42"/>
  <c r="BK58" i="43"/>
  <c r="G58" i="43" s="1"/>
  <c r="H58" i="43" s="1"/>
  <c r="BI59" i="43"/>
  <c r="BD11" i="43"/>
  <c r="Y17" i="39"/>
  <c r="BK13" i="43"/>
  <c r="G13" i="43" s="1"/>
  <c r="BJ13" i="43"/>
  <c r="BL53" i="43"/>
  <c r="BL63" i="43"/>
  <c r="BK11" i="43"/>
  <c r="G11" i="43" s="1"/>
  <c r="U11" i="43" s="1"/>
  <c r="U17" i="39"/>
  <c r="AI14" i="43"/>
  <c r="I16" i="44"/>
  <c r="N59" i="43"/>
  <c r="L14" i="43"/>
  <c r="O14" i="43"/>
  <c r="O52" i="42"/>
  <c r="Q52" i="42"/>
  <c r="S52" i="42"/>
  <c r="N52" i="42"/>
  <c r="AE59" i="43"/>
  <c r="Q17" i="39"/>
  <c r="T59" i="45"/>
  <c r="X59" i="45" s="1"/>
  <c r="BJ24" i="45"/>
  <c r="BK37" i="47"/>
  <c r="G37" i="47" s="1"/>
  <c r="AD38" i="47"/>
  <c r="AB38" i="47"/>
  <c r="BI26" i="47"/>
  <c r="BK18" i="47"/>
  <c r="G18" i="47" s="1"/>
  <c r="E8" i="51" s="1"/>
  <c r="AC26" i="47"/>
  <c r="BH17" i="47"/>
  <c r="BE26" i="47"/>
  <c r="AZ17" i="47"/>
  <c r="AK26" i="47"/>
  <c r="AD17" i="47"/>
  <c r="AA26" i="47"/>
  <c r="BJ31" i="45"/>
  <c r="F31" i="45" s="1"/>
  <c r="BJ30" i="45"/>
  <c r="F30" i="45" s="1"/>
  <c r="Z34" i="45"/>
  <c r="BJ29" i="45"/>
  <c r="F29" i="45" s="1"/>
  <c r="U29" i="45" s="1"/>
  <c r="BJ32" i="45"/>
  <c r="F32" i="45" s="1"/>
  <c r="BJ25" i="45"/>
  <c r="F25" i="45" s="1"/>
  <c r="BJ33" i="45"/>
  <c r="F33" i="45" s="1"/>
  <c r="S33" i="45" s="1"/>
  <c r="T43" i="25"/>
  <c r="X43" i="25" s="1"/>
  <c r="S44" i="25"/>
  <c r="G35" i="25"/>
  <c r="T47" i="25"/>
  <c r="X47" i="25" s="1"/>
  <c r="S52" i="25"/>
  <c r="W52" i="25" s="1"/>
  <c r="G52" i="25"/>
  <c r="I52" i="25" s="1"/>
  <c r="BK42" i="47"/>
  <c r="BF38" i="47"/>
  <c r="BK39" i="47"/>
  <c r="G39" i="47" s="1"/>
  <c r="W22" i="39"/>
  <c r="AI22" i="39"/>
  <c r="H40" i="24"/>
  <c r="G72" i="24"/>
  <c r="H72" i="24" s="1"/>
  <c r="S76" i="24"/>
  <c r="W76" i="24" s="1"/>
  <c r="T76" i="24"/>
  <c r="X76" i="24" s="1"/>
  <c r="AD22" i="26"/>
  <c r="U12" i="24"/>
  <c r="T53" i="24"/>
  <c r="X53" i="24" s="1"/>
  <c r="BH38" i="46"/>
  <c r="T28" i="39"/>
  <c r="AB19" i="43"/>
  <c r="AA22" i="43"/>
  <c r="AK19" i="25"/>
  <c r="AY19" i="25"/>
  <c r="BK20" i="47"/>
  <c r="G20" i="47" s="1"/>
  <c r="E10" i="51" s="1"/>
  <c r="H62" i="24"/>
  <c r="AD56" i="46"/>
  <c r="AD19" i="43"/>
  <c r="AC22" i="43"/>
  <c r="W17" i="39"/>
  <c r="BK19" i="43"/>
  <c r="G19" i="43" s="1"/>
  <c r="H19" i="43" s="1"/>
  <c r="AB35" i="46"/>
  <c r="R85" i="24"/>
  <c r="V85" i="24" s="1"/>
  <c r="U85" i="24"/>
  <c r="Y85" i="24" s="1"/>
  <c r="T85" i="24"/>
  <c r="X85" i="24" s="1"/>
  <c r="BK70" i="24"/>
  <c r="BS70" i="24" s="1"/>
  <c r="BU70" i="24" s="1"/>
  <c r="BV70" i="24" s="1"/>
  <c r="U77" i="24"/>
  <c r="Y77" i="24" s="1"/>
  <c r="T78" i="24"/>
  <c r="X78" i="24" s="1"/>
  <c r="S28" i="24"/>
  <c r="W28" i="24" s="1"/>
  <c r="BV51" i="24"/>
  <c r="J42" i="47"/>
  <c r="I42" i="47"/>
  <c r="BA14" i="43"/>
  <c r="AB13" i="43"/>
  <c r="AB14" i="43" s="1"/>
  <c r="BB11" i="43"/>
  <c r="BD19" i="43"/>
  <c r="BC22" i="43"/>
  <c r="BD21" i="46"/>
  <c r="AI22" i="43"/>
  <c r="AJ19" i="43"/>
  <c r="AG14" i="43"/>
  <c r="S43" i="43"/>
  <c r="W43" i="43" s="1"/>
  <c r="U43" i="43"/>
  <c r="Y43" i="43" s="1"/>
  <c r="T42" i="43"/>
  <c r="X42" i="43" s="1"/>
  <c r="BU45" i="24"/>
  <c r="R56" i="24"/>
  <c r="V56" i="24" s="1"/>
  <c r="T56" i="24"/>
  <c r="X56" i="24" s="1"/>
  <c r="AZ50" i="46"/>
  <c r="AB52" i="46"/>
  <c r="AA53" i="46"/>
  <c r="AK44" i="25"/>
  <c r="AW25" i="46"/>
  <c r="AG22" i="43"/>
  <c r="AH19" i="43"/>
  <c r="BB19" i="43"/>
  <c r="BA22" i="43"/>
  <c r="AL19" i="43"/>
  <c r="AK22" i="43"/>
  <c r="BE22" i="43"/>
  <c r="BF19" i="43"/>
  <c r="R25" i="24"/>
  <c r="G64" i="24"/>
  <c r="I64" i="24" s="1"/>
  <c r="H21" i="26"/>
  <c r="S73" i="24"/>
  <c r="W73" i="24" s="1"/>
  <c r="AJ28" i="46"/>
  <c r="AD28" i="46"/>
  <c r="AC32" i="46"/>
  <c r="BJ42" i="47"/>
  <c r="BL42" i="47" s="1"/>
  <c r="BD20" i="46"/>
  <c r="BC25" i="46"/>
  <c r="BH20" i="46"/>
  <c r="BU39" i="24"/>
  <c r="T58" i="24"/>
  <c r="X58" i="24" s="1"/>
  <c r="F62" i="51" l="1"/>
  <c r="BQ57" i="43"/>
  <c r="AD22" i="43"/>
  <c r="AB33" i="44"/>
  <c r="AZ33" i="44"/>
  <c r="BJ33" i="44"/>
  <c r="AL33" i="44"/>
  <c r="BF16" i="44"/>
  <c r="BF33" i="44"/>
  <c r="AH33" i="44"/>
  <c r="F35" i="52"/>
  <c r="BD33" i="44"/>
  <c r="AF33" i="44"/>
  <c r="AJ33" i="44"/>
  <c r="BB33" i="44"/>
  <c r="AD33" i="44"/>
  <c r="BG39" i="45"/>
  <c r="G94" i="45"/>
  <c r="BP94" i="45" s="1"/>
  <c r="BR94" i="45" s="1"/>
  <c r="BV94" i="45" s="1"/>
  <c r="BE16" i="45"/>
  <c r="T94" i="45"/>
  <c r="X94" i="45" s="1"/>
  <c r="BK46" i="45"/>
  <c r="G46" i="45" s="1"/>
  <c r="M46" i="45" s="1"/>
  <c r="BK51" i="45"/>
  <c r="G51" i="45" s="1"/>
  <c r="M51" i="45" s="1"/>
  <c r="BK27" i="45"/>
  <c r="BK84" i="45"/>
  <c r="G84" i="45" s="1"/>
  <c r="M84" i="45" s="1"/>
  <c r="BK43" i="45"/>
  <c r="BK33" i="45"/>
  <c r="BM65" i="43"/>
  <c r="U60" i="24"/>
  <c r="Y60" i="24" s="1"/>
  <c r="R60" i="24"/>
  <c r="V60" i="24" s="1"/>
  <c r="U48" i="47"/>
  <c r="E19" i="51"/>
  <c r="G27" i="45"/>
  <c r="E37" i="51"/>
  <c r="BK57" i="45"/>
  <c r="G57" i="45" s="1"/>
  <c r="L57" i="45" s="1"/>
  <c r="G12" i="41"/>
  <c r="H12" i="41" s="1"/>
  <c r="AK34" i="45"/>
  <c r="AG52" i="45"/>
  <c r="BG52" i="45"/>
  <c r="BK94" i="45"/>
  <c r="BK15" i="45"/>
  <c r="G15" i="45" s="1"/>
  <c r="BO15" i="45" s="1"/>
  <c r="BR15" i="45" s="1"/>
  <c r="BV15" i="45" s="1"/>
  <c r="E59" i="51"/>
  <c r="H46" i="43"/>
  <c r="BL56" i="43"/>
  <c r="H56" i="43" s="1"/>
  <c r="U47" i="25"/>
  <c r="Y47" i="25" s="1"/>
  <c r="S35" i="25"/>
  <c r="W35" i="25" s="1"/>
  <c r="I15" i="24"/>
  <c r="R47" i="25"/>
  <c r="V47" i="25" s="1"/>
  <c r="G40" i="25"/>
  <c r="BS40" i="25" s="1"/>
  <c r="BU40" i="25" s="1"/>
  <c r="S25" i="45"/>
  <c r="E36" i="51"/>
  <c r="S15" i="24"/>
  <c r="W15" i="24" s="1"/>
  <c r="BU35" i="26"/>
  <c r="BW29" i="26"/>
  <c r="W33" i="42"/>
  <c r="AA33" i="42" s="1"/>
  <c r="E68" i="51"/>
  <c r="E56" i="46"/>
  <c r="E30" i="51"/>
  <c r="G70" i="24"/>
  <c r="I70" i="24" s="1"/>
  <c r="G41" i="24"/>
  <c r="H41" i="24" s="1"/>
  <c r="S85" i="24"/>
  <c r="W85" i="24" s="1"/>
  <c r="U68" i="24"/>
  <c r="Y68" i="24" s="1"/>
  <c r="U35" i="25"/>
  <c r="Y35" i="25" s="1"/>
  <c r="BV47" i="24"/>
  <c r="BK58" i="45"/>
  <c r="BK67" i="45"/>
  <c r="BB44" i="43"/>
  <c r="BL58" i="43"/>
  <c r="T75" i="44"/>
  <c r="X75" i="44" s="1"/>
  <c r="AJ22" i="43"/>
  <c r="BS48" i="24"/>
  <c r="BR21" i="25"/>
  <c r="U76" i="24"/>
  <c r="Y76" i="24" s="1"/>
  <c r="S47" i="25"/>
  <c r="W47" i="25" s="1"/>
  <c r="R35" i="25"/>
  <c r="V35" i="25" s="1"/>
  <c r="U44" i="25"/>
  <c r="I53" i="24"/>
  <c r="U53" i="24"/>
  <c r="Y53" i="24" s="1"/>
  <c r="BV18" i="24"/>
  <c r="T27" i="41"/>
  <c r="X27" i="41" s="1"/>
  <c r="T29" i="47"/>
  <c r="X29" i="47" s="1"/>
  <c r="E15" i="51"/>
  <c r="AE55" i="25"/>
  <c r="BL12" i="26"/>
  <c r="BP12" i="26" s="1"/>
  <c r="BS12" i="26" s="1"/>
  <c r="BT48" i="24"/>
  <c r="AZ62" i="46"/>
  <c r="AD56" i="25"/>
  <c r="I27" i="39" s="1"/>
  <c r="BL51" i="43"/>
  <c r="H51" i="43" s="1"/>
  <c r="I51" i="43" s="1"/>
  <c r="S31" i="44"/>
  <c r="E46" i="51"/>
  <c r="S40" i="43"/>
  <c r="W40" i="43" s="1"/>
  <c r="BE21" i="45"/>
  <c r="BI16" i="45"/>
  <c r="AG16" i="45"/>
  <c r="G91" i="45"/>
  <c r="BP91" i="45" s="1"/>
  <c r="E39" i="51"/>
  <c r="U58" i="24"/>
  <c r="Y58" i="24" s="1"/>
  <c r="S53" i="24"/>
  <c r="W53" i="24" s="1"/>
  <c r="R76" i="24"/>
  <c r="V76" i="24" s="1"/>
  <c r="S27" i="25"/>
  <c r="W27" i="25" s="1"/>
  <c r="U39" i="41"/>
  <c r="Y39" i="41" s="1"/>
  <c r="AD18" i="26"/>
  <c r="AH15" i="46"/>
  <c r="BJ14" i="26"/>
  <c r="AJ59" i="43"/>
  <c r="H15" i="44"/>
  <c r="F44" i="51" s="1"/>
  <c r="E44" i="51"/>
  <c r="H17" i="47"/>
  <c r="F7" i="51" s="1"/>
  <c r="E7" i="51"/>
  <c r="W25" i="42"/>
  <c r="AA25" i="42" s="1"/>
  <c r="T25" i="42"/>
  <c r="X25" i="42" s="1"/>
  <c r="BK90" i="45"/>
  <c r="BK42" i="45"/>
  <c r="F78" i="45"/>
  <c r="S78" i="45" s="1"/>
  <c r="BJ100" i="45"/>
  <c r="BK60" i="45"/>
  <c r="BK55" i="45"/>
  <c r="AK100" i="45"/>
  <c r="BG76" i="45"/>
  <c r="BK61" i="45"/>
  <c r="AA21" i="45"/>
  <c r="AC21" i="45"/>
  <c r="AI21" i="45"/>
  <c r="BK93" i="45"/>
  <c r="BK85" i="45"/>
  <c r="G85" i="45" s="1"/>
  <c r="BK79" i="45"/>
  <c r="G79" i="45" s="1"/>
  <c r="BK59" i="45"/>
  <c r="BK44" i="45"/>
  <c r="BK36" i="45"/>
  <c r="BK39" i="45" s="1"/>
  <c r="BI39" i="45"/>
  <c r="BK25" i="45"/>
  <c r="AI16" i="45"/>
  <c r="BK75" i="45"/>
  <c r="BK62" i="45"/>
  <c r="G62" i="45" s="1"/>
  <c r="BN62" i="45" s="1"/>
  <c r="BR62" i="45" s="1"/>
  <c r="BV62" i="45" s="1"/>
  <c r="BK66" i="45"/>
  <c r="BK50" i="45"/>
  <c r="G50" i="45" s="1"/>
  <c r="M50" i="45" s="1"/>
  <c r="BC100" i="45"/>
  <c r="AG100" i="45"/>
  <c r="AI34" i="45"/>
  <c r="BG34" i="45"/>
  <c r="AE52" i="45"/>
  <c r="BE52" i="45"/>
  <c r="AI52" i="45"/>
  <c r="AE76" i="45"/>
  <c r="BC76" i="45"/>
  <c r="BK91" i="45"/>
  <c r="BE76" i="45"/>
  <c r="BK99" i="45"/>
  <c r="BK72" i="45"/>
  <c r="BK20" i="45"/>
  <c r="G20" i="45" s="1"/>
  <c r="AE16" i="45"/>
  <c r="BK73" i="45"/>
  <c r="G73" i="45" s="1"/>
  <c r="M73" i="45" s="1"/>
  <c r="BG100" i="45"/>
  <c r="AA34" i="45"/>
  <c r="AY16" i="45"/>
  <c r="BA16" i="45"/>
  <c r="BK19" i="45"/>
  <c r="BK98" i="45"/>
  <c r="BK89" i="45"/>
  <c r="G89" i="45" s="1"/>
  <c r="BK82" i="45"/>
  <c r="BK71" i="45"/>
  <c r="BK54" i="45"/>
  <c r="BI76" i="45"/>
  <c r="BK41" i="45"/>
  <c r="BI52" i="45"/>
  <c r="BK31" i="45"/>
  <c r="G31" i="45" s="1"/>
  <c r="BI21" i="45"/>
  <c r="BK18" i="45"/>
  <c r="G18" i="45" s="1"/>
  <c r="F41" i="45"/>
  <c r="R41" i="45" s="1"/>
  <c r="BJ52" i="45"/>
  <c r="AC16" i="45"/>
  <c r="AI100" i="45"/>
  <c r="AA100" i="45"/>
  <c r="AC34" i="45"/>
  <c r="BA34" i="45"/>
  <c r="AY52" i="45"/>
  <c r="AK76" i="45"/>
  <c r="BK65" i="45"/>
  <c r="G65" i="45" s="1"/>
  <c r="Q65" i="45" s="1"/>
  <c r="BK28" i="45"/>
  <c r="BK63" i="45"/>
  <c r="G63" i="45" s="1"/>
  <c r="BN63" i="45" s="1"/>
  <c r="BR63" i="45" s="1"/>
  <c r="BV63" i="45" s="1"/>
  <c r="BA100" i="45"/>
  <c r="AG76" i="45"/>
  <c r="AG21" i="45"/>
  <c r="BC16" i="45"/>
  <c r="BK83" i="45"/>
  <c r="G83" i="45" s="1"/>
  <c r="BK32" i="45"/>
  <c r="G32" i="45" s="1"/>
  <c r="Y32" i="45" s="1"/>
  <c r="F18" i="45"/>
  <c r="S18" i="45" s="1"/>
  <c r="W18" i="45" s="1"/>
  <c r="BJ21" i="45"/>
  <c r="AA52" i="45"/>
  <c r="AI76" i="45"/>
  <c r="F24" i="45"/>
  <c r="R24" i="45" s="1"/>
  <c r="BJ34" i="45"/>
  <c r="AE21" i="45"/>
  <c r="BA21" i="45"/>
  <c r="BC21" i="45"/>
  <c r="BG16" i="45"/>
  <c r="BG21" i="45"/>
  <c r="BK97" i="45"/>
  <c r="BK88" i="45"/>
  <c r="G88" i="45" s="1"/>
  <c r="BK81" i="45"/>
  <c r="G81" i="45" s="1"/>
  <c r="BK70" i="45"/>
  <c r="BK30" i="45"/>
  <c r="BK14" i="45"/>
  <c r="G14" i="45" s="1"/>
  <c r="X14" i="45" s="1"/>
  <c r="F12" i="45"/>
  <c r="T12" i="45" s="1"/>
  <c r="X12" i="45" s="1"/>
  <c r="BJ16" i="45"/>
  <c r="AA16" i="45"/>
  <c r="F36" i="45"/>
  <c r="R36" i="45" s="1"/>
  <c r="BJ39" i="45"/>
  <c r="BK74" i="45"/>
  <c r="BP74" i="45" s="1"/>
  <c r="BR74" i="45" s="1"/>
  <c r="BV74" i="45" s="1"/>
  <c r="BK48" i="45"/>
  <c r="G48" i="45" s="1"/>
  <c r="M48" i="45" s="1"/>
  <c r="AY100" i="45"/>
  <c r="AC100" i="45"/>
  <c r="AE34" i="45"/>
  <c r="BC34" i="45"/>
  <c r="BA52" i="45"/>
  <c r="AA76" i="45"/>
  <c r="AY76" i="45"/>
  <c r="BI100" i="45"/>
  <c r="BK78" i="45"/>
  <c r="BI34" i="45"/>
  <c r="BK24" i="45"/>
  <c r="G24" i="45" s="1"/>
  <c r="BN24" i="45" s="1"/>
  <c r="F54" i="45"/>
  <c r="S54" i="45" s="1"/>
  <c r="BJ76" i="45"/>
  <c r="BK64" i="45"/>
  <c r="G64" i="45" s="1"/>
  <c r="BN64" i="45" s="1"/>
  <c r="BR64" i="45" s="1"/>
  <c r="BV64" i="45" s="1"/>
  <c r="BK95" i="45"/>
  <c r="BK56" i="45"/>
  <c r="G56" i="45" s="1"/>
  <c r="BK68" i="45"/>
  <c r="BK47" i="45"/>
  <c r="G47" i="45" s="1"/>
  <c r="M47" i="45" s="1"/>
  <c r="BE100" i="45"/>
  <c r="AY34" i="45"/>
  <c r="AK52" i="45"/>
  <c r="AK21" i="45"/>
  <c r="AY21" i="45"/>
  <c r="BK96" i="45"/>
  <c r="BK86" i="45"/>
  <c r="G86" i="45" s="1"/>
  <c r="BP86" i="45" s="1"/>
  <c r="BR86" i="45" s="1"/>
  <c r="BV86" i="45" s="1"/>
  <c r="BK80" i="45"/>
  <c r="G80" i="45" s="1"/>
  <c r="BK69" i="45"/>
  <c r="BK45" i="45"/>
  <c r="BK29" i="45"/>
  <c r="BK13" i="45"/>
  <c r="AK16" i="45"/>
  <c r="BK49" i="45"/>
  <c r="G49" i="45" s="1"/>
  <c r="M49" i="45" s="1"/>
  <c r="AE100" i="45"/>
  <c r="AG34" i="45"/>
  <c r="BE34" i="45"/>
  <c r="AC52" i="45"/>
  <c r="BC52" i="45"/>
  <c r="AC76" i="45"/>
  <c r="BA76" i="45"/>
  <c r="BK92" i="45"/>
  <c r="F13" i="24"/>
  <c r="G13" i="24" s="1"/>
  <c r="AD50" i="47"/>
  <c r="BU35" i="47"/>
  <c r="BU45" i="47" s="1"/>
  <c r="BU48" i="47" s="1"/>
  <c r="BU50" i="47" s="1"/>
  <c r="BG26" i="47"/>
  <c r="S37" i="45"/>
  <c r="R37" i="45"/>
  <c r="T37" i="45"/>
  <c r="U37" i="45"/>
  <c r="W44" i="25"/>
  <c r="U78" i="24"/>
  <c r="Y78" i="24" s="1"/>
  <c r="T72" i="24"/>
  <c r="X72" i="24" s="1"/>
  <c r="R73" i="24"/>
  <c r="V73" i="24" s="1"/>
  <c r="H17" i="24"/>
  <c r="T40" i="41"/>
  <c r="X40" i="41" s="1"/>
  <c r="S43" i="41"/>
  <c r="W43" i="41" s="1"/>
  <c r="Z22" i="26"/>
  <c r="BE16" i="25"/>
  <c r="AA44" i="25"/>
  <c r="AC55" i="25"/>
  <c r="AD27" i="26"/>
  <c r="BV87" i="24"/>
  <c r="BV60" i="24"/>
  <c r="BJ44" i="46"/>
  <c r="BN44" i="46" s="1"/>
  <c r="BQ44" i="46" s="1"/>
  <c r="BU44" i="46" s="1"/>
  <c r="AX15" i="46"/>
  <c r="BH22" i="43"/>
  <c r="BH44" i="43"/>
  <c r="X44" i="25"/>
  <c r="P66" i="46"/>
  <c r="N11" i="20" s="1"/>
  <c r="J66" i="46"/>
  <c r="H11" i="20" s="1"/>
  <c r="U12" i="41"/>
  <c r="Y12" i="41" s="1"/>
  <c r="AY44" i="25"/>
  <c r="G78" i="24"/>
  <c r="I78" i="24" s="1"/>
  <c r="AK30" i="25"/>
  <c r="G43" i="25"/>
  <c r="BS43" i="25" s="1"/>
  <c r="BU43" i="25" s="1"/>
  <c r="BV43" i="25" s="1"/>
  <c r="T39" i="46"/>
  <c r="X39" i="46" s="1"/>
  <c r="R40" i="41"/>
  <c r="V40" i="41" s="1"/>
  <c r="BV32" i="25"/>
  <c r="BV78" i="24"/>
  <c r="BC44" i="25"/>
  <c r="BI55" i="25"/>
  <c r="BB34" i="26"/>
  <c r="BK17" i="41"/>
  <c r="BJ27" i="26"/>
  <c r="F86" i="45"/>
  <c r="R86" i="45" s="1"/>
  <c r="V86" i="45" s="1"/>
  <c r="I41" i="24"/>
  <c r="S26" i="25"/>
  <c r="W26" i="25" s="1"/>
  <c r="S40" i="41"/>
  <c r="W40" i="41" s="1"/>
  <c r="BV85" i="24"/>
  <c r="BW60" i="43"/>
  <c r="BG44" i="25"/>
  <c r="BF62" i="46"/>
  <c r="T12" i="41"/>
  <c r="X12" i="41" s="1"/>
  <c r="R78" i="24"/>
  <c r="V78" i="24" s="1"/>
  <c r="AF34" i="26"/>
  <c r="BL21" i="26"/>
  <c r="R20" i="25"/>
  <c r="U83" i="24"/>
  <c r="Y83" i="24" s="1"/>
  <c r="Y44" i="25"/>
  <c r="G23" i="24"/>
  <c r="H23" i="24" s="1"/>
  <c r="G47" i="24"/>
  <c r="R43" i="41"/>
  <c r="V43" i="41" s="1"/>
  <c r="BV80" i="24"/>
  <c r="BQ89" i="24"/>
  <c r="F52" i="52" s="1"/>
  <c r="F55" i="52" s="1"/>
  <c r="Z15" i="46"/>
  <c r="BJ34" i="26"/>
  <c r="BI65" i="43"/>
  <c r="AM17" i="39" s="1"/>
  <c r="AE65" i="43"/>
  <c r="I17" i="39" s="1"/>
  <c r="AF14" i="43"/>
  <c r="T59" i="46"/>
  <c r="X59" i="46" s="1"/>
  <c r="AD15" i="46"/>
  <c r="AJ32" i="46"/>
  <c r="BI65" i="46"/>
  <c r="F44" i="46"/>
  <c r="H44" i="46" s="1"/>
  <c r="BB62" i="46"/>
  <c r="T75" i="24"/>
  <c r="X75" i="24" s="1"/>
  <c r="S71" i="24"/>
  <c r="W71" i="24" s="1"/>
  <c r="BV50" i="24"/>
  <c r="BG48" i="25"/>
  <c r="BL30" i="26"/>
  <c r="BL28" i="26"/>
  <c r="BL23" i="26"/>
  <c r="F88" i="24"/>
  <c r="H12" i="42"/>
  <c r="T12" i="42" s="1"/>
  <c r="AZ44" i="43"/>
  <c r="BD44" i="43"/>
  <c r="BL42" i="43"/>
  <c r="H42" i="43" s="1"/>
  <c r="BQ42" i="43" s="1"/>
  <c r="BS42" i="43" s="1"/>
  <c r="BW42" i="43" s="1"/>
  <c r="BL43" i="43"/>
  <c r="H43" i="43" s="1"/>
  <c r="J43" i="43" s="1"/>
  <c r="S12" i="41"/>
  <c r="W12" i="41" s="1"/>
  <c r="T67" i="24"/>
  <c r="X67" i="24" s="1"/>
  <c r="BS47" i="25"/>
  <c r="BU47" i="25" s="1"/>
  <c r="BV47" i="25" s="1"/>
  <c r="AZ53" i="46"/>
  <c r="BV26" i="24"/>
  <c r="R75" i="24"/>
  <c r="V75" i="24" s="1"/>
  <c r="BB27" i="26"/>
  <c r="BV81" i="24"/>
  <c r="BU67" i="24"/>
  <c r="BJ37" i="43"/>
  <c r="AH44" i="43"/>
  <c r="AZ56" i="25"/>
  <c r="AE27" i="39" s="1"/>
  <c r="H13" i="42"/>
  <c r="I13" i="42" s="1"/>
  <c r="N13" i="42" s="1"/>
  <c r="BF15" i="46"/>
  <c r="S58" i="24"/>
  <c r="W58" i="24" s="1"/>
  <c r="U67" i="24"/>
  <c r="Y67" i="24" s="1"/>
  <c r="G81" i="24"/>
  <c r="H81" i="24" s="1"/>
  <c r="R58" i="24"/>
  <c r="V58" i="24" s="1"/>
  <c r="AL22" i="43"/>
  <c r="T81" i="24"/>
  <c r="X81" i="24" s="1"/>
  <c r="T40" i="24"/>
  <c r="X40" i="24" s="1"/>
  <c r="BM64" i="46"/>
  <c r="BM65" i="46" s="1"/>
  <c r="BM66" i="46" s="1"/>
  <c r="S81" i="24"/>
  <c r="W81" i="24" s="1"/>
  <c r="H85" i="24"/>
  <c r="BI33" i="24"/>
  <c r="T86" i="24"/>
  <c r="X86" i="24" s="1"/>
  <c r="R81" i="24"/>
  <c r="V81" i="24" s="1"/>
  <c r="BC16" i="25"/>
  <c r="BK17" i="25"/>
  <c r="BL31" i="26"/>
  <c r="BL26" i="26"/>
  <c r="BL24" i="26"/>
  <c r="AJ22" i="26"/>
  <c r="BL17" i="26"/>
  <c r="BV74" i="24"/>
  <c r="AE19" i="42"/>
  <c r="BJ61" i="46"/>
  <c r="F61" i="46" s="1"/>
  <c r="BO61" i="46" s="1"/>
  <c r="BQ61" i="46" s="1"/>
  <c r="BU61" i="46" s="1"/>
  <c r="BK51" i="25"/>
  <c r="M66" i="46"/>
  <c r="K11" i="20" s="1"/>
  <c r="BJ59" i="43"/>
  <c r="BL48" i="43"/>
  <c r="BD42" i="46"/>
  <c r="BN35" i="26"/>
  <c r="BL46" i="43"/>
  <c r="H14" i="42"/>
  <c r="G19" i="44"/>
  <c r="E45" i="51" s="1"/>
  <c r="BK33" i="44"/>
  <c r="BB89" i="44"/>
  <c r="BH89" i="44"/>
  <c r="H49" i="42"/>
  <c r="W49" i="42" s="1"/>
  <c r="H42" i="42"/>
  <c r="BF56" i="25"/>
  <c r="AK27" i="39" s="1"/>
  <c r="BF89" i="24"/>
  <c r="AK26" i="39" s="1"/>
  <c r="BQ31" i="26"/>
  <c r="BS31" i="26" s="1"/>
  <c r="J31" i="26"/>
  <c r="I31" i="26"/>
  <c r="BO53" i="42"/>
  <c r="V26" i="43"/>
  <c r="T26" i="43"/>
  <c r="X26" i="43" s="1"/>
  <c r="AZ25" i="46"/>
  <c r="I77" i="24"/>
  <c r="H77" i="24"/>
  <c r="BL40" i="43"/>
  <c r="H40" i="43" s="1"/>
  <c r="BE89" i="24"/>
  <c r="AJ26" i="39" s="1"/>
  <c r="BJ53" i="42"/>
  <c r="AM21" i="39" s="1"/>
  <c r="AL59" i="43"/>
  <c r="BL66" i="46"/>
  <c r="F49" i="46"/>
  <c r="G49" i="46" s="1"/>
  <c r="T49" i="46"/>
  <c r="X49" i="46" s="1"/>
  <c r="BR54" i="24"/>
  <c r="BK38" i="25"/>
  <c r="BK39" i="25"/>
  <c r="BL13" i="26"/>
  <c r="G87" i="24"/>
  <c r="S87" i="24"/>
  <c r="W87" i="24" s="1"/>
  <c r="BH62" i="46"/>
  <c r="BJ59" i="46"/>
  <c r="F59" i="46" s="1"/>
  <c r="H59" i="46" s="1"/>
  <c r="AJ34" i="26"/>
  <c r="BJ27" i="46"/>
  <c r="BN27" i="46" s="1"/>
  <c r="BQ27" i="46" s="1"/>
  <c r="BU27" i="46" s="1"/>
  <c r="BJ39" i="46"/>
  <c r="BN39" i="46" s="1"/>
  <c r="BQ39" i="46" s="1"/>
  <c r="BU39" i="46" s="1"/>
  <c r="AB59" i="43"/>
  <c r="H82" i="24"/>
  <c r="I82" i="24"/>
  <c r="G74" i="24"/>
  <c r="H74" i="24" s="1"/>
  <c r="S74" i="24"/>
  <c r="W74" i="24" s="1"/>
  <c r="U74" i="24"/>
  <c r="Y74" i="24" s="1"/>
  <c r="T82" i="24"/>
  <c r="X82" i="24" s="1"/>
  <c r="U82" i="24"/>
  <c r="Y82" i="24" s="1"/>
  <c r="R82" i="24"/>
  <c r="V82" i="24" s="1"/>
  <c r="S82" i="24"/>
  <c r="W82" i="24" s="1"/>
  <c r="BU48" i="24"/>
  <c r="T74" i="24"/>
  <c r="X74" i="24" s="1"/>
  <c r="BV75" i="24"/>
  <c r="T44" i="24"/>
  <c r="X44" i="24" s="1"/>
  <c r="G44" i="24"/>
  <c r="H44" i="24" s="1"/>
  <c r="G56" i="24"/>
  <c r="H56" i="24" s="1"/>
  <c r="U56" i="24"/>
  <c r="Y56" i="24" s="1"/>
  <c r="S56" i="24"/>
  <c r="W56" i="24" s="1"/>
  <c r="BV18" i="26"/>
  <c r="BV37" i="43"/>
  <c r="AF62" i="46"/>
  <c r="BJ22" i="43"/>
  <c r="BF59" i="43"/>
  <c r="BB22" i="43"/>
  <c r="BQ32" i="26"/>
  <c r="BS32" i="26" s="1"/>
  <c r="BW32" i="26" s="1"/>
  <c r="T77" i="24"/>
  <c r="X77" i="24" s="1"/>
  <c r="BI48" i="24"/>
  <c r="BL33" i="26"/>
  <c r="S72" i="24"/>
  <c r="W72" i="24" s="1"/>
  <c r="G44" i="25"/>
  <c r="H44" i="25" s="1"/>
  <c r="AB32" i="46"/>
  <c r="T39" i="41"/>
  <c r="X39" i="41" s="1"/>
  <c r="BU57" i="46"/>
  <c r="AH34" i="26"/>
  <c r="BV20" i="24"/>
  <c r="V25" i="24"/>
  <c r="AZ89" i="44"/>
  <c r="K51" i="47"/>
  <c r="G10" i="20" s="1"/>
  <c r="O66" i="46"/>
  <c r="M11" i="20" s="1"/>
  <c r="I66" i="46"/>
  <c r="G11" i="20" s="1"/>
  <c r="K66" i="46"/>
  <c r="I11" i="20" s="1"/>
  <c r="BM26" i="42"/>
  <c r="BL40" i="47"/>
  <c r="H40" i="47" s="1"/>
  <c r="R44" i="25"/>
  <c r="V44" i="25" s="1"/>
  <c r="R54" i="24"/>
  <c r="V54" i="24" s="1"/>
  <c r="BV83" i="24"/>
  <c r="BV58" i="24"/>
  <c r="BV38" i="24"/>
  <c r="BI15" i="42"/>
  <c r="AK39" i="42"/>
  <c r="BJ79" i="24"/>
  <c r="U41" i="43"/>
  <c r="Y41" i="43" s="1"/>
  <c r="R77" i="24"/>
  <c r="V77" i="24" s="1"/>
  <c r="AA65" i="43"/>
  <c r="E17" i="39" s="1"/>
  <c r="U72" i="24"/>
  <c r="Y72" i="24" s="1"/>
  <c r="BQ61" i="44"/>
  <c r="BS61" i="44" s="1"/>
  <c r="BW61" i="44" s="1"/>
  <c r="T64" i="24"/>
  <c r="X64" i="24" s="1"/>
  <c r="BP25" i="26"/>
  <c r="BS25" i="26" s="1"/>
  <c r="BW25" i="26" s="1"/>
  <c r="T57" i="24"/>
  <c r="X57" i="24" s="1"/>
  <c r="Q60" i="46"/>
  <c r="U60" i="46" s="1"/>
  <c r="G45" i="24"/>
  <c r="H45" i="24" s="1"/>
  <c r="S13" i="24"/>
  <c r="W13" i="24" s="1"/>
  <c r="Q35" i="26"/>
  <c r="M28" i="20" s="1"/>
  <c r="O56" i="25"/>
  <c r="L27" i="20" s="1"/>
  <c r="Q56" i="25"/>
  <c r="N27" i="20" s="1"/>
  <c r="W33" i="26"/>
  <c r="W34" i="26" s="1"/>
  <c r="BV52" i="24"/>
  <c r="BV86" i="24"/>
  <c r="BO35" i="26"/>
  <c r="BT25" i="46"/>
  <c r="BU58" i="46"/>
  <c r="AG16" i="25"/>
  <c r="BV57" i="24"/>
  <c r="BV23" i="24"/>
  <c r="BV17" i="24"/>
  <c r="BH15" i="46"/>
  <c r="AJ56" i="25"/>
  <c r="O27" i="39" s="1"/>
  <c r="J57" i="43"/>
  <c r="I57" i="43"/>
  <c r="Q57" i="43"/>
  <c r="BD37" i="43"/>
  <c r="AL44" i="43"/>
  <c r="BJ44" i="43"/>
  <c r="H53" i="43"/>
  <c r="BQ53" i="43" s="1"/>
  <c r="BF37" i="43"/>
  <c r="AJ44" i="43"/>
  <c r="AD44" i="43"/>
  <c r="BL41" i="43"/>
  <c r="H41" i="43" s="1"/>
  <c r="BQ41" i="43" s="1"/>
  <c r="BS41" i="43" s="1"/>
  <c r="BW41" i="43" s="1"/>
  <c r="BJ14" i="43"/>
  <c r="AF37" i="43"/>
  <c r="BL16" i="43"/>
  <c r="AB44" i="43"/>
  <c r="F66" i="45"/>
  <c r="S66" i="45" s="1"/>
  <c r="W66" i="45" s="1"/>
  <c r="BJ55" i="46"/>
  <c r="AI20" i="41"/>
  <c r="BG20" i="41"/>
  <c r="AK20" i="41"/>
  <c r="BA20" i="41"/>
  <c r="G17" i="41"/>
  <c r="P17" i="41" s="1"/>
  <c r="BK27" i="41"/>
  <c r="G27" i="41" s="1"/>
  <c r="L27" i="41" s="1"/>
  <c r="AF50" i="47"/>
  <c r="R51" i="47"/>
  <c r="N10" i="20" s="1"/>
  <c r="L51" i="47"/>
  <c r="H10" i="20" s="1"/>
  <c r="H12" i="20" s="1"/>
  <c r="N51" i="47"/>
  <c r="J10" i="20" s="1"/>
  <c r="BJ45" i="46"/>
  <c r="BN45" i="46" s="1"/>
  <c r="BQ45" i="46" s="1"/>
  <c r="BU45" i="46" s="1"/>
  <c r="AF32" i="46"/>
  <c r="T29" i="46"/>
  <c r="X29" i="46" s="1"/>
  <c r="R29" i="46"/>
  <c r="V29" i="46" s="1"/>
  <c r="AD32" i="46"/>
  <c r="BB15" i="46"/>
  <c r="AZ15" i="46"/>
  <c r="AD25" i="46"/>
  <c r="Q23" i="46"/>
  <c r="U23" i="46" s="1"/>
  <c r="BD25" i="46"/>
  <c r="AE20" i="41"/>
  <c r="BC20" i="41"/>
  <c r="BP26" i="25"/>
  <c r="BR26" i="25" s="1"/>
  <c r="BV26" i="25" s="1"/>
  <c r="H26" i="25"/>
  <c r="H87" i="24"/>
  <c r="I87" i="24"/>
  <c r="I42" i="24"/>
  <c r="H42" i="24"/>
  <c r="BP42" i="24"/>
  <c r="BR42" i="24" s="1"/>
  <c r="BV42" i="24" s="1"/>
  <c r="G29" i="24"/>
  <c r="S29" i="24"/>
  <c r="W29" i="24" s="1"/>
  <c r="S23" i="46"/>
  <c r="W23" i="46" s="1"/>
  <c r="BV33" i="26"/>
  <c r="BV34" i="26" s="1"/>
  <c r="AX62" i="46"/>
  <c r="AZ40" i="44"/>
  <c r="AD53" i="42"/>
  <c r="G21" i="39" s="1"/>
  <c r="BL32" i="26"/>
  <c r="BH56" i="25"/>
  <c r="AM27" i="39" s="1"/>
  <c r="S34" i="25"/>
  <c r="W34" i="25" s="1"/>
  <c r="G34" i="25"/>
  <c r="BS34" i="25" s="1"/>
  <c r="BU34" i="25" s="1"/>
  <c r="BV34" i="25" s="1"/>
  <c r="U34" i="25"/>
  <c r="Y34" i="25" s="1"/>
  <c r="BW20" i="26"/>
  <c r="N66" i="46"/>
  <c r="L11" i="20" s="1"/>
  <c r="R44" i="46"/>
  <c r="V44" i="46" s="1"/>
  <c r="T44" i="46"/>
  <c r="X44" i="46" s="1"/>
  <c r="AB62" i="46"/>
  <c r="G75" i="45"/>
  <c r="L75" i="45" s="1"/>
  <c r="U75" i="45"/>
  <c r="Y75" i="45" s="1"/>
  <c r="AA45" i="41"/>
  <c r="BS101" i="45"/>
  <c r="BK66" i="46"/>
  <c r="T30" i="43"/>
  <c r="X30" i="43" s="1"/>
  <c r="V30" i="43"/>
  <c r="Z30" i="43" s="1"/>
  <c r="U50" i="43"/>
  <c r="T50" i="43"/>
  <c r="BT52" i="25"/>
  <c r="BU52" i="25" s="1"/>
  <c r="BV52" i="25" s="1"/>
  <c r="U25" i="24"/>
  <c r="Y12" i="24"/>
  <c r="Y25" i="24" s="1"/>
  <c r="BJ88" i="24"/>
  <c r="BT53" i="24"/>
  <c r="BU53" i="24" s="1"/>
  <c r="BV53" i="24" s="1"/>
  <c r="U87" i="24"/>
  <c r="Y87" i="24" s="1"/>
  <c r="R67" i="24"/>
  <c r="V67" i="24" s="1"/>
  <c r="R87" i="24"/>
  <c r="V87" i="24" s="1"/>
  <c r="S57" i="24"/>
  <c r="W57" i="24" s="1"/>
  <c r="R23" i="46"/>
  <c r="V23" i="46" s="1"/>
  <c r="G57" i="24"/>
  <c r="BI88" i="24"/>
  <c r="F41" i="46"/>
  <c r="H41" i="46" s="1"/>
  <c r="AH18" i="26"/>
  <c r="AA48" i="25"/>
  <c r="BH53" i="46"/>
  <c r="BJ60" i="46"/>
  <c r="F60" i="46" s="1"/>
  <c r="BO60" i="46" s="1"/>
  <c r="BQ60" i="46" s="1"/>
  <c r="BU60" i="46" s="1"/>
  <c r="BJ29" i="46"/>
  <c r="BN29" i="46" s="1"/>
  <c r="BQ29" i="46" s="1"/>
  <c r="BU29" i="46" s="1"/>
  <c r="BW31" i="26"/>
  <c r="U40" i="25"/>
  <c r="Y40" i="25" s="1"/>
  <c r="S40" i="25"/>
  <c r="W40" i="25" s="1"/>
  <c r="BG25" i="46"/>
  <c r="BI20" i="46"/>
  <c r="E20" i="46" s="1"/>
  <c r="BI38" i="46"/>
  <c r="E38" i="46" s="1"/>
  <c r="S38" i="46" s="1"/>
  <c r="W38" i="46" s="1"/>
  <c r="BG42" i="46"/>
  <c r="BK43" i="41"/>
  <c r="BL50" i="43"/>
  <c r="H50" i="43" s="1"/>
  <c r="R50" i="43" s="1"/>
  <c r="R59" i="43" s="1"/>
  <c r="R65" i="43" s="1"/>
  <c r="N17" i="20" s="1"/>
  <c r="BL52" i="43"/>
  <c r="BT65" i="43"/>
  <c r="AM19" i="25"/>
  <c r="AM30" i="25" s="1"/>
  <c r="AS19" i="25"/>
  <c r="AS30" i="25" s="1"/>
  <c r="AQ19" i="25"/>
  <c r="AQ30" i="25" s="1"/>
  <c r="AO19" i="25"/>
  <c r="AO30" i="25" s="1"/>
  <c r="AW19" i="25"/>
  <c r="AW30" i="25" s="1"/>
  <c r="AU19" i="25"/>
  <c r="AU30" i="25" s="1"/>
  <c r="BE42" i="46"/>
  <c r="BF40" i="46"/>
  <c r="BF42" i="46" s="1"/>
  <c r="Z53" i="46"/>
  <c r="AI55" i="25"/>
  <c r="T55" i="24"/>
  <c r="X55" i="24" s="1"/>
  <c r="R55" i="24"/>
  <c r="V55" i="24" s="1"/>
  <c r="U57" i="24"/>
  <c r="Y57" i="24" s="1"/>
  <c r="G55" i="24"/>
  <c r="G21" i="24"/>
  <c r="L56" i="25"/>
  <c r="I27" i="20" s="1"/>
  <c r="BK45" i="25"/>
  <c r="BU61" i="24"/>
  <c r="AA20" i="41"/>
  <c r="BK44" i="41"/>
  <c r="BO44" i="41" s="1"/>
  <c r="BO45" i="41" s="1"/>
  <c r="BO46" i="41" s="1"/>
  <c r="AH16" i="44"/>
  <c r="AJ50" i="47"/>
  <c r="BJ41" i="46"/>
  <c r="BN41" i="46" s="1"/>
  <c r="BQ41" i="46" s="1"/>
  <c r="BU41" i="46" s="1"/>
  <c r="AH53" i="46"/>
  <c r="Y34" i="26"/>
  <c r="BV56" i="24"/>
  <c r="BR61" i="24"/>
  <c r="T60" i="24"/>
  <c r="X60" i="24" s="1"/>
  <c r="G60" i="24"/>
  <c r="BH25" i="46"/>
  <c r="I23" i="24"/>
  <c r="T73" i="24"/>
  <c r="X73" i="24" s="1"/>
  <c r="G67" i="24"/>
  <c r="BK48" i="24"/>
  <c r="I81" i="24"/>
  <c r="G36" i="24"/>
  <c r="H36" i="24" s="1"/>
  <c r="S60" i="24"/>
  <c r="W60" i="24" s="1"/>
  <c r="I44" i="24"/>
  <c r="S55" i="24"/>
  <c r="W55" i="24" s="1"/>
  <c r="R40" i="25"/>
  <c r="V40" i="25" s="1"/>
  <c r="BI17" i="46"/>
  <c r="H22" i="24"/>
  <c r="I22" i="24"/>
  <c r="G32" i="24"/>
  <c r="G73" i="24"/>
  <c r="BV44" i="43"/>
  <c r="AE16" i="25"/>
  <c r="BK26" i="25"/>
  <c r="BK35" i="25"/>
  <c r="BI48" i="25"/>
  <c r="AG35" i="26"/>
  <c r="K28" i="39" s="1"/>
  <c r="R64" i="24"/>
  <c r="V64" i="24" s="1"/>
  <c r="U64" i="24"/>
  <c r="Y64" i="24" s="1"/>
  <c r="T83" i="24"/>
  <c r="X83" i="24" s="1"/>
  <c r="S83" i="24"/>
  <c r="W83" i="24" s="1"/>
  <c r="R83" i="24"/>
  <c r="V83" i="24" s="1"/>
  <c r="AL16" i="44"/>
  <c r="BJ14" i="46"/>
  <c r="BN14" i="46" s="1"/>
  <c r="BQ14" i="46" s="1"/>
  <c r="BU14" i="46" s="1"/>
  <c r="BF44" i="43"/>
  <c r="R43" i="25"/>
  <c r="V43" i="25" s="1"/>
  <c r="U43" i="25"/>
  <c r="Y43" i="25" s="1"/>
  <c r="BD89" i="24"/>
  <c r="AI26" i="39" s="1"/>
  <c r="S13" i="26"/>
  <c r="W13" i="26" s="1"/>
  <c r="U13" i="26"/>
  <c r="Y13" i="26" s="1"/>
  <c r="AD59" i="43"/>
  <c r="L45" i="41"/>
  <c r="AK37" i="41"/>
  <c r="BA37" i="41"/>
  <c r="BE37" i="41"/>
  <c r="BI37" i="41"/>
  <c r="BH16" i="44"/>
  <c r="BF33" i="47"/>
  <c r="BH32" i="46"/>
  <c r="BJ31" i="46"/>
  <c r="BN31" i="46" s="1"/>
  <c r="BQ31" i="46" s="1"/>
  <c r="W22" i="26"/>
  <c r="M51" i="47"/>
  <c r="I10" i="20" s="1"/>
  <c r="BK34" i="41"/>
  <c r="G34" i="41" s="1"/>
  <c r="F82" i="51" s="1"/>
  <c r="BC45" i="41"/>
  <c r="AC45" i="41"/>
  <c r="BK25" i="41"/>
  <c r="S12" i="24"/>
  <c r="W12" i="24" s="1"/>
  <c r="AH42" i="46"/>
  <c r="K35" i="26"/>
  <c r="G28" i="20" s="1"/>
  <c r="BV61" i="43"/>
  <c r="BV64" i="43" s="1"/>
  <c r="BS66" i="46"/>
  <c r="S63" i="24"/>
  <c r="W63" i="24" s="1"/>
  <c r="BA16" i="25"/>
  <c r="BE55" i="25"/>
  <c r="AH14" i="26"/>
  <c r="AB18" i="26"/>
  <c r="BC35" i="26"/>
  <c r="AG28" i="39" s="1"/>
  <c r="BV72" i="24"/>
  <c r="BI20" i="41"/>
  <c r="BE19" i="42"/>
  <c r="BC46" i="42"/>
  <c r="AF53" i="46"/>
  <c r="AH62" i="46"/>
  <c r="AM44" i="25"/>
  <c r="AM48" i="25" s="1"/>
  <c r="AS44" i="25"/>
  <c r="AS48" i="25" s="1"/>
  <c r="AQ44" i="25"/>
  <c r="AQ48" i="25" s="1"/>
  <c r="AQ56" i="25" s="1"/>
  <c r="V27" i="39" s="1"/>
  <c r="AO44" i="25"/>
  <c r="AO48" i="25" s="1"/>
  <c r="AW44" i="25"/>
  <c r="AW48" i="25" s="1"/>
  <c r="AU44" i="25"/>
  <c r="AU48" i="25" s="1"/>
  <c r="BI45" i="41"/>
  <c r="BK29" i="41"/>
  <c r="BE45" i="41"/>
  <c r="AG45" i="41"/>
  <c r="AH22" i="43"/>
  <c r="BQ56" i="25"/>
  <c r="T12" i="24"/>
  <c r="AB25" i="46"/>
  <c r="G12" i="24"/>
  <c r="H12" i="24" s="1"/>
  <c r="BW11" i="26"/>
  <c r="BV27" i="26"/>
  <c r="AF22" i="26"/>
  <c r="BB18" i="26"/>
  <c r="AJ18" i="26"/>
  <c r="BV76" i="24"/>
  <c r="F33" i="24"/>
  <c r="AA37" i="41"/>
  <c r="AE37" i="41"/>
  <c r="AI37" i="41"/>
  <c r="BG37" i="41"/>
  <c r="BJ22" i="46"/>
  <c r="BN22" i="46" s="1"/>
  <c r="BQ22" i="46" s="1"/>
  <c r="BU22" i="46" s="1"/>
  <c r="P51" i="47"/>
  <c r="L10" i="20" s="1"/>
  <c r="BJ46" i="46"/>
  <c r="BN46" i="46" s="1"/>
  <c r="BQ46" i="46" s="1"/>
  <c r="BU46" i="46" s="1"/>
  <c r="AH64" i="43"/>
  <c r="BK28" i="41"/>
  <c r="BN28" i="41" s="1"/>
  <c r="BR28" i="41" s="1"/>
  <c r="BV28" i="41" s="1"/>
  <c r="BL88" i="44"/>
  <c r="BE20" i="41"/>
  <c r="BA45" i="41"/>
  <c r="BG45" i="41"/>
  <c r="AK45" i="41"/>
  <c r="BD33" i="47"/>
  <c r="BP32" i="24"/>
  <c r="BR32" i="24" s="1"/>
  <c r="BV32" i="24" s="1"/>
  <c r="G37" i="24"/>
  <c r="I37" i="24" s="1"/>
  <c r="BH89" i="24"/>
  <c r="AM26" i="39" s="1"/>
  <c r="BI79" i="24"/>
  <c r="H58" i="24"/>
  <c r="AZ35" i="26"/>
  <c r="AD28" i="39" s="1"/>
  <c r="BL16" i="26"/>
  <c r="BL18" i="26" s="1"/>
  <c r="T16" i="26"/>
  <c r="X16" i="26" s="1"/>
  <c r="X18" i="26" s="1"/>
  <c r="S16" i="26"/>
  <c r="W16" i="26" s="1"/>
  <c r="W18" i="26" s="1"/>
  <c r="H16" i="26"/>
  <c r="J16" i="26" s="1"/>
  <c r="V16" i="26"/>
  <c r="V18" i="26" s="1"/>
  <c r="AF18" i="26"/>
  <c r="AY55" i="25"/>
  <c r="BA55" i="25"/>
  <c r="Z56" i="25"/>
  <c r="E27" i="39" s="1"/>
  <c r="BL36" i="43"/>
  <c r="H36" i="43" s="1"/>
  <c r="F58" i="51" s="1"/>
  <c r="AJ14" i="43"/>
  <c r="AG65" i="43"/>
  <c r="K17" i="39" s="1"/>
  <c r="AF22" i="43"/>
  <c r="AF15" i="46"/>
  <c r="BJ50" i="47"/>
  <c r="O51" i="47"/>
  <c r="K10" i="20" s="1"/>
  <c r="Q51" i="47"/>
  <c r="M10" i="20" s="1"/>
  <c r="H26" i="26"/>
  <c r="J26" i="26" s="1"/>
  <c r="J27" i="26" s="1"/>
  <c r="BK18" i="26"/>
  <c r="I32" i="26"/>
  <c r="V13" i="26"/>
  <c r="Z13" i="26" s="1"/>
  <c r="U17" i="26"/>
  <c r="Y17" i="26" s="1"/>
  <c r="Y18" i="26" s="1"/>
  <c r="G18" i="26"/>
  <c r="G21" i="25"/>
  <c r="BT21" i="25" s="1"/>
  <c r="T50" i="25"/>
  <c r="X50" i="25" s="1"/>
  <c r="R38" i="25"/>
  <c r="V38" i="25" s="1"/>
  <c r="T26" i="42"/>
  <c r="V33" i="43"/>
  <c r="V41" i="43"/>
  <c r="Z41" i="43" s="1"/>
  <c r="T41" i="43"/>
  <c r="X41" i="43" s="1"/>
  <c r="S29" i="46"/>
  <c r="W29" i="46" s="1"/>
  <c r="R59" i="46"/>
  <c r="V59" i="46" s="1"/>
  <c r="F29" i="46"/>
  <c r="H29" i="46" s="1"/>
  <c r="S39" i="46"/>
  <c r="W39" i="46" s="1"/>
  <c r="F39" i="46"/>
  <c r="H39" i="46" s="1"/>
  <c r="Q59" i="46"/>
  <c r="U59" i="46" s="1"/>
  <c r="Q39" i="46"/>
  <c r="U39" i="46" s="1"/>
  <c r="H52" i="25"/>
  <c r="V45" i="42"/>
  <c r="V43" i="43"/>
  <c r="Z43" i="43" s="1"/>
  <c r="S47" i="43"/>
  <c r="U39" i="43"/>
  <c r="Y39" i="43" s="1"/>
  <c r="R27" i="46"/>
  <c r="V27" i="46" s="1"/>
  <c r="S49" i="46"/>
  <c r="W49" i="46" s="1"/>
  <c r="S42" i="25"/>
  <c r="W42" i="25" s="1"/>
  <c r="I26" i="25"/>
  <c r="T42" i="25"/>
  <c r="X42" i="25" s="1"/>
  <c r="G50" i="25"/>
  <c r="BT50" i="25" s="1"/>
  <c r="BU50" i="25" s="1"/>
  <c r="BV50" i="25" s="1"/>
  <c r="G38" i="25"/>
  <c r="BS38" i="25" s="1"/>
  <c r="BU38" i="25" s="1"/>
  <c r="BV38" i="25" s="1"/>
  <c r="G25" i="25"/>
  <c r="I25" i="25" s="1"/>
  <c r="R50" i="25"/>
  <c r="V50" i="25" s="1"/>
  <c r="U38" i="25"/>
  <c r="Y38" i="25" s="1"/>
  <c r="G42" i="25"/>
  <c r="H42" i="25" s="1"/>
  <c r="U50" i="25"/>
  <c r="Y50" i="25" s="1"/>
  <c r="S21" i="25"/>
  <c r="W21" i="25" s="1"/>
  <c r="T38" i="25"/>
  <c r="X38" i="25" s="1"/>
  <c r="BI62" i="46"/>
  <c r="BQ33" i="26"/>
  <c r="BS33" i="26" s="1"/>
  <c r="I33" i="26"/>
  <c r="V24" i="26"/>
  <c r="BP26" i="26"/>
  <c r="BS26" i="26" s="1"/>
  <c r="BW26" i="26" s="1"/>
  <c r="U39" i="25"/>
  <c r="Y39" i="25" s="1"/>
  <c r="T21" i="25"/>
  <c r="X21" i="25" s="1"/>
  <c r="U21" i="25"/>
  <c r="Y21" i="25" s="1"/>
  <c r="BP27" i="25"/>
  <c r="BR27" i="25" s="1"/>
  <c r="BV27" i="25" s="1"/>
  <c r="H27" i="25"/>
  <c r="S46" i="25"/>
  <c r="W46" i="25" s="1"/>
  <c r="U42" i="25"/>
  <c r="Y42" i="25" s="1"/>
  <c r="V42" i="43"/>
  <c r="Z42" i="43" s="1"/>
  <c r="U42" i="43"/>
  <c r="Y42" i="43" s="1"/>
  <c r="Q87" i="44"/>
  <c r="S37" i="44"/>
  <c r="W37" i="44" s="1"/>
  <c r="T45" i="46"/>
  <c r="X45" i="46" s="1"/>
  <c r="Q49" i="46"/>
  <c r="U49" i="46" s="1"/>
  <c r="Q41" i="46"/>
  <c r="U41" i="46" s="1"/>
  <c r="R41" i="46"/>
  <c r="V41" i="46" s="1"/>
  <c r="S45" i="46"/>
  <c r="W45" i="46" s="1"/>
  <c r="R45" i="46"/>
  <c r="V45" i="46" s="1"/>
  <c r="R49" i="46"/>
  <c r="V49" i="46" s="1"/>
  <c r="T41" i="46"/>
  <c r="X41" i="46" s="1"/>
  <c r="BK34" i="26"/>
  <c r="R37" i="25"/>
  <c r="V37" i="25" s="1"/>
  <c r="G45" i="25"/>
  <c r="H45" i="25" s="1"/>
  <c r="U45" i="25"/>
  <c r="Y45" i="25" s="1"/>
  <c r="S26" i="43"/>
  <c r="W26" i="43" s="1"/>
  <c r="S52" i="43"/>
  <c r="W52" i="43" s="1"/>
  <c r="U40" i="43"/>
  <c r="Y40" i="43" s="1"/>
  <c r="V40" i="43"/>
  <c r="Z40" i="43" s="1"/>
  <c r="U26" i="43"/>
  <c r="Y26" i="43" s="1"/>
  <c r="T23" i="46"/>
  <c r="X23" i="46" s="1"/>
  <c r="Q45" i="46"/>
  <c r="U45" i="46" s="1"/>
  <c r="S48" i="46"/>
  <c r="W48" i="46" s="1"/>
  <c r="S60" i="46"/>
  <c r="W60" i="46" s="1"/>
  <c r="Q31" i="46"/>
  <c r="U31" i="46" s="1"/>
  <c r="I25" i="26"/>
  <c r="BK14" i="26"/>
  <c r="G30" i="26"/>
  <c r="G34" i="26" s="1"/>
  <c r="J33" i="26"/>
  <c r="V25" i="26"/>
  <c r="Z25" i="26" s="1"/>
  <c r="I26" i="26"/>
  <c r="G27" i="26"/>
  <c r="BK27" i="26"/>
  <c r="S53" i="25"/>
  <c r="W53" i="25" s="1"/>
  <c r="U53" i="25"/>
  <c r="Y53" i="25" s="1"/>
  <c r="T53" i="25"/>
  <c r="X53" i="25" s="1"/>
  <c r="R53" i="25"/>
  <c r="V53" i="25" s="1"/>
  <c r="S37" i="25"/>
  <c r="W37" i="25" s="1"/>
  <c r="T45" i="25"/>
  <c r="X45" i="25" s="1"/>
  <c r="S28" i="25"/>
  <c r="W28" i="25" s="1"/>
  <c r="I21" i="25"/>
  <c r="T37" i="25"/>
  <c r="X37" i="25" s="1"/>
  <c r="S45" i="25"/>
  <c r="W45" i="25" s="1"/>
  <c r="G39" i="25"/>
  <c r="BS39" i="25" s="1"/>
  <c r="BU39" i="25" s="1"/>
  <c r="BV39" i="25" s="1"/>
  <c r="G37" i="25"/>
  <c r="BS37" i="25" s="1"/>
  <c r="BU37" i="25" s="1"/>
  <c r="BV37" i="25" s="1"/>
  <c r="H66" i="44"/>
  <c r="I66" i="44" s="1"/>
  <c r="H37" i="44"/>
  <c r="J37" i="44" s="1"/>
  <c r="T66" i="44"/>
  <c r="X66" i="44" s="1"/>
  <c r="J74" i="44"/>
  <c r="T37" i="44"/>
  <c r="X37" i="44" s="1"/>
  <c r="G48" i="46"/>
  <c r="H48" i="46"/>
  <c r="Q48" i="46"/>
  <c r="U48" i="46" s="1"/>
  <c r="S27" i="46"/>
  <c r="W27" i="46" s="1"/>
  <c r="T27" i="46"/>
  <c r="X27" i="46" s="1"/>
  <c r="R31" i="46"/>
  <c r="V31" i="46" s="1"/>
  <c r="F31" i="46"/>
  <c r="T48" i="46"/>
  <c r="X48" i="46" s="1"/>
  <c r="R48" i="46"/>
  <c r="V48" i="46" s="1"/>
  <c r="G34" i="46"/>
  <c r="G35" i="46" s="1"/>
  <c r="F27" i="46"/>
  <c r="G27" i="46" s="1"/>
  <c r="S31" i="46"/>
  <c r="W31" i="46" s="1"/>
  <c r="R60" i="46"/>
  <c r="V60" i="46" s="1"/>
  <c r="Q34" i="46"/>
  <c r="U34" i="46" s="1"/>
  <c r="U35" i="46" s="1"/>
  <c r="BK40" i="41"/>
  <c r="BP40" i="41" s="1"/>
  <c r="BR40" i="41" s="1"/>
  <c r="BV40" i="41" s="1"/>
  <c r="AY37" i="41"/>
  <c r="V27" i="42"/>
  <c r="BL21" i="43"/>
  <c r="H21" i="43" s="1"/>
  <c r="S68" i="45"/>
  <c r="W68" i="45" s="1"/>
  <c r="T19" i="45"/>
  <c r="X19" i="45" s="1"/>
  <c r="AX25" i="46"/>
  <c r="AZ50" i="47"/>
  <c r="BK42" i="41"/>
  <c r="W45" i="42"/>
  <c r="U45" i="42"/>
  <c r="I45" i="42"/>
  <c r="BP45" i="42" s="1"/>
  <c r="BT45" i="42" s="1"/>
  <c r="BX45" i="42" s="1"/>
  <c r="BB53" i="42"/>
  <c r="AE21" i="39" s="1"/>
  <c r="BC19" i="42"/>
  <c r="BL55" i="43"/>
  <c r="BB59" i="43"/>
  <c r="U51" i="43"/>
  <c r="Y51" i="43" s="1"/>
  <c r="BB50" i="47"/>
  <c r="BC37" i="41"/>
  <c r="U30" i="43"/>
  <c r="Y30" i="43" s="1"/>
  <c r="S30" i="43"/>
  <c r="W30" i="43" s="1"/>
  <c r="I87" i="44"/>
  <c r="BD15" i="47"/>
  <c r="BC66" i="46"/>
  <c r="AI11" i="39" s="1"/>
  <c r="BD32" i="46"/>
  <c r="BJ24" i="46"/>
  <c r="BN24" i="46" s="1"/>
  <c r="BQ24" i="46" s="1"/>
  <c r="BU24" i="46" s="1"/>
  <c r="BD15" i="46"/>
  <c r="BK64" i="43"/>
  <c r="I56" i="44"/>
  <c r="BJ64" i="46"/>
  <c r="BJ65" i="46" s="1"/>
  <c r="H22" i="26"/>
  <c r="BK22" i="26"/>
  <c r="I20" i="26"/>
  <c r="J20" i="26"/>
  <c r="G22" i="26"/>
  <c r="U27" i="42"/>
  <c r="I27" i="42"/>
  <c r="T27" i="42"/>
  <c r="BK22" i="43"/>
  <c r="S51" i="46"/>
  <c r="W51" i="46" s="1"/>
  <c r="F51" i="46"/>
  <c r="H51" i="46" s="1"/>
  <c r="R51" i="46"/>
  <c r="V51" i="46" s="1"/>
  <c r="Q51" i="46"/>
  <c r="U51" i="46" s="1"/>
  <c r="AJ25" i="46"/>
  <c r="E17" i="46"/>
  <c r="BI15" i="46"/>
  <c r="AL26" i="47"/>
  <c r="AI45" i="41"/>
  <c r="BK39" i="41"/>
  <c r="AJ37" i="43"/>
  <c r="S34" i="46"/>
  <c r="E35" i="46"/>
  <c r="T34" i="46"/>
  <c r="T35" i="46" s="1"/>
  <c r="F35" i="46"/>
  <c r="R34" i="46"/>
  <c r="V34" i="46" s="1"/>
  <c r="V35" i="46" s="1"/>
  <c r="BI35" i="46"/>
  <c r="BJ34" i="46"/>
  <c r="BJ35" i="46" s="1"/>
  <c r="T30" i="46"/>
  <c r="X30" i="46" s="1"/>
  <c r="S30" i="46"/>
  <c r="W30" i="46" s="1"/>
  <c r="F30" i="46"/>
  <c r="Q30" i="46"/>
  <c r="U30" i="46" s="1"/>
  <c r="F24" i="46"/>
  <c r="H24" i="46" s="1"/>
  <c r="S24" i="46"/>
  <c r="W24" i="46" s="1"/>
  <c r="Q22" i="46"/>
  <c r="U22" i="46" s="1"/>
  <c r="BK35" i="41"/>
  <c r="AG37" i="41"/>
  <c r="BK23" i="41"/>
  <c r="BP23" i="41" s="1"/>
  <c r="BR23" i="41" s="1"/>
  <c r="BV23" i="41" s="1"/>
  <c r="AG20" i="41"/>
  <c r="BL33" i="43"/>
  <c r="H33" i="43" s="1"/>
  <c r="I33" i="43" s="1"/>
  <c r="G71" i="45"/>
  <c r="BN71" i="45" s="1"/>
  <c r="BR71" i="45" s="1"/>
  <c r="BV71" i="45" s="1"/>
  <c r="BJ23" i="46"/>
  <c r="BN23" i="46" s="1"/>
  <c r="BQ23" i="46" s="1"/>
  <c r="BU23" i="46" s="1"/>
  <c r="AE45" i="41"/>
  <c r="BK31" i="41"/>
  <c r="BN31" i="41" s="1"/>
  <c r="BR31" i="41" s="1"/>
  <c r="BV31" i="41" s="1"/>
  <c r="V51" i="43"/>
  <c r="Z51" i="43" s="1"/>
  <c r="S51" i="43"/>
  <c r="W51" i="43" s="1"/>
  <c r="S39" i="43"/>
  <c r="W39" i="43" s="1"/>
  <c r="V39" i="43"/>
  <c r="Z39" i="43" s="1"/>
  <c r="G44" i="43"/>
  <c r="BK44" i="43"/>
  <c r="BL31" i="43"/>
  <c r="H31" i="43" s="1"/>
  <c r="Q31" i="43" s="1"/>
  <c r="BL24" i="43"/>
  <c r="T24" i="46"/>
  <c r="X24" i="46" s="1"/>
  <c r="R24" i="46"/>
  <c r="V24" i="46" s="1"/>
  <c r="Q24" i="46"/>
  <c r="U24" i="46" s="1"/>
  <c r="AF33" i="47"/>
  <c r="AF15" i="47"/>
  <c r="I16" i="26"/>
  <c r="I18" i="26" s="1"/>
  <c r="BK33" i="41"/>
  <c r="AC37" i="41"/>
  <c r="BK41" i="41"/>
  <c r="AY45" i="41"/>
  <c r="BK18" i="41"/>
  <c r="BK16" i="41"/>
  <c r="H16" i="41" s="1"/>
  <c r="AY20" i="41"/>
  <c r="BK15" i="41"/>
  <c r="U25" i="42"/>
  <c r="Y25" i="42" s="1"/>
  <c r="V25" i="42"/>
  <c r="Z25" i="42" s="1"/>
  <c r="BL47" i="43"/>
  <c r="H47" i="43" s="1"/>
  <c r="W47" i="43" s="1"/>
  <c r="AD37" i="43"/>
  <c r="BL15" i="43"/>
  <c r="AC65" i="43"/>
  <c r="G17" i="39" s="1"/>
  <c r="U84" i="44"/>
  <c r="Y84" i="44" s="1"/>
  <c r="U46" i="45"/>
  <c r="Y46" i="45" s="1"/>
  <c r="U14" i="45"/>
  <c r="S60" i="45"/>
  <c r="W60" i="45" s="1"/>
  <c r="R64" i="45"/>
  <c r="V64" i="45" s="1"/>
  <c r="G29" i="45"/>
  <c r="BN29" i="45" s="1"/>
  <c r="BR29" i="45" s="1"/>
  <c r="BV29" i="45" s="1"/>
  <c r="U64" i="45"/>
  <c r="Y64" i="45" s="1"/>
  <c r="T64" i="45"/>
  <c r="X64" i="45" s="1"/>
  <c r="G74" i="45"/>
  <c r="L74" i="45" s="1"/>
  <c r="R59" i="45"/>
  <c r="V59" i="45" s="1"/>
  <c r="S59" i="45"/>
  <c r="W59" i="45" s="1"/>
  <c r="R60" i="45"/>
  <c r="V60" i="45" s="1"/>
  <c r="BU16" i="45"/>
  <c r="G7" i="52" s="1"/>
  <c r="G60" i="45"/>
  <c r="J60" i="45" s="1"/>
  <c r="R84" i="45"/>
  <c r="V84" i="45" s="1"/>
  <c r="T60" i="45"/>
  <c r="X60" i="45" s="1"/>
  <c r="T91" i="45"/>
  <c r="X91" i="45" s="1"/>
  <c r="BM101" i="45"/>
  <c r="BM102" i="45" s="1"/>
  <c r="G87" i="45"/>
  <c r="M87" i="45" s="1"/>
  <c r="S46" i="45"/>
  <c r="W46" i="45" s="1"/>
  <c r="R46" i="45"/>
  <c r="V46" i="45" s="1"/>
  <c r="S91" i="45"/>
  <c r="W91" i="45" s="1"/>
  <c r="R75" i="45"/>
  <c r="V75" i="45" s="1"/>
  <c r="F40" i="45"/>
  <c r="T40" i="45" s="1"/>
  <c r="X40" i="45" s="1"/>
  <c r="I91" i="45"/>
  <c r="BN43" i="45"/>
  <c r="BR43" i="45" s="1"/>
  <c r="BV43" i="45" s="1"/>
  <c r="R91" i="45"/>
  <c r="V91" i="45" s="1"/>
  <c r="S94" i="45"/>
  <c r="W94" i="45" s="1"/>
  <c r="T75" i="45"/>
  <c r="X75" i="45" s="1"/>
  <c r="U51" i="45"/>
  <c r="Y51" i="45" s="1"/>
  <c r="S49" i="45"/>
  <c r="W49" i="45" s="1"/>
  <c r="AB101" i="45"/>
  <c r="AB102" i="45" s="1"/>
  <c r="G15" i="39" s="1"/>
  <c r="R99" i="45"/>
  <c r="V99" i="45" s="1"/>
  <c r="Y100" i="45"/>
  <c r="BV53" i="45"/>
  <c r="BF50" i="47"/>
  <c r="AA13" i="47"/>
  <c r="AB13" i="47" s="1"/>
  <c r="BL13" i="47" s="1"/>
  <c r="BP13" i="47" s="1"/>
  <c r="BS13" i="47" s="1"/>
  <c r="BW13" i="47" s="1"/>
  <c r="BW28" i="47"/>
  <c r="AB12" i="47"/>
  <c r="BL12" i="47" s="1"/>
  <c r="BP12" i="47" s="1"/>
  <c r="BS12" i="47" s="1"/>
  <c r="BW12" i="47" s="1"/>
  <c r="AI26" i="47"/>
  <c r="BF26" i="47"/>
  <c r="AL33" i="47"/>
  <c r="BN51" i="47"/>
  <c r="AZ35" i="47"/>
  <c r="AZ45" i="47" s="1"/>
  <c r="BK47" i="47"/>
  <c r="BK50" i="47" s="1"/>
  <c r="BT35" i="47"/>
  <c r="BT45" i="47" s="1"/>
  <c r="BT48" i="47" s="1"/>
  <c r="BT50" i="47" s="1"/>
  <c r="BT51" i="47" s="1"/>
  <c r="BK38" i="47"/>
  <c r="G38" i="47" s="1"/>
  <c r="T38" i="47" s="1"/>
  <c r="X38" i="47" s="1"/>
  <c r="BE51" i="47"/>
  <c r="AI10" i="39" s="1"/>
  <c r="AI45" i="47"/>
  <c r="U10" i="39"/>
  <c r="S49" i="47"/>
  <c r="W49" i="47" s="1"/>
  <c r="T49" i="47"/>
  <c r="X49" i="47" s="1"/>
  <c r="BB26" i="47"/>
  <c r="BJ26" i="47"/>
  <c r="BL29" i="47"/>
  <c r="H29" i="47" s="1"/>
  <c r="AA33" i="47"/>
  <c r="AF23" i="47"/>
  <c r="AF26" i="47" s="1"/>
  <c r="BL18" i="47"/>
  <c r="H18" i="47" s="1"/>
  <c r="BL10" i="47"/>
  <c r="H10" i="47" s="1"/>
  <c r="BQ10" i="47" s="1"/>
  <c r="AJ15" i="47"/>
  <c r="AZ15" i="47"/>
  <c r="BH15" i="47"/>
  <c r="AJ26" i="47"/>
  <c r="BB33" i="47"/>
  <c r="AJ33" i="47"/>
  <c r="AZ33" i="47"/>
  <c r="BK43" i="47"/>
  <c r="G43" i="47" s="1"/>
  <c r="S43" i="47" s="1"/>
  <c r="BL47" i="47"/>
  <c r="BP47" i="47" s="1"/>
  <c r="BS47" i="47" s="1"/>
  <c r="BL48" i="47"/>
  <c r="BP48" i="47" s="1"/>
  <c r="BJ33" i="47"/>
  <c r="BK36" i="47"/>
  <c r="G36" i="47" s="1"/>
  <c r="V36" i="47" s="1"/>
  <c r="Z36" i="47" s="1"/>
  <c r="AY26" i="47"/>
  <c r="AY51" i="47" s="1"/>
  <c r="AC10" i="39" s="1"/>
  <c r="BL38" i="47"/>
  <c r="H38" i="47" s="1"/>
  <c r="I38" i="47" s="1"/>
  <c r="BC45" i="47"/>
  <c r="BL41" i="47"/>
  <c r="H41" i="47" s="1"/>
  <c r="J41" i="47" s="1"/>
  <c r="AZ26" i="47"/>
  <c r="BI51" i="47"/>
  <c r="AM10" i="39" s="1"/>
  <c r="V29" i="47"/>
  <c r="Z29" i="47" s="1"/>
  <c r="U49" i="47"/>
  <c r="Y49" i="47" s="1"/>
  <c r="AG26" i="47"/>
  <c r="BH26" i="47"/>
  <c r="BA26" i="47"/>
  <c r="BK23" i="47"/>
  <c r="G23" i="47" s="1"/>
  <c r="BC26" i="47"/>
  <c r="BH50" i="47"/>
  <c r="AB26" i="47"/>
  <c r="BL25" i="47"/>
  <c r="BP25" i="47" s="1"/>
  <c r="BS25" i="47" s="1"/>
  <c r="AA27" i="39"/>
  <c r="BJ16" i="25"/>
  <c r="W14" i="25"/>
  <c r="W16" i="25" s="1"/>
  <c r="G14" i="25"/>
  <c r="I14" i="25" s="1"/>
  <c r="R14" i="25"/>
  <c r="V14" i="25" s="1"/>
  <c r="V16" i="25" s="1"/>
  <c r="BJ37" i="41"/>
  <c r="BK22" i="41"/>
  <c r="U22" i="41"/>
  <c r="BK13" i="41"/>
  <c r="BI90" i="44"/>
  <c r="BI92" i="44" s="1"/>
  <c r="AM16" i="39" s="1"/>
  <c r="Q61" i="44"/>
  <c r="AG90" i="44"/>
  <c r="AG92" i="44" s="1"/>
  <c r="K16" i="39" s="1"/>
  <c r="R90" i="44"/>
  <c r="R92" i="44" s="1"/>
  <c r="N16" i="20" s="1"/>
  <c r="BG90" i="44"/>
  <c r="BG92" i="44" s="1"/>
  <c r="AK16" i="39" s="1"/>
  <c r="AY90" i="44"/>
  <c r="AY92" i="44" s="1"/>
  <c r="AC16" i="39" s="1"/>
  <c r="BA90" i="44"/>
  <c r="BA92" i="44" s="1"/>
  <c r="I61" i="44"/>
  <c r="BK40" i="44"/>
  <c r="G12" i="44"/>
  <c r="H12" i="44" s="1"/>
  <c r="AK90" i="44"/>
  <c r="AK92" i="44" s="1"/>
  <c r="O16" i="39" s="1"/>
  <c r="AE90" i="44"/>
  <c r="AE92" i="44" s="1"/>
  <c r="I16" i="39" s="1"/>
  <c r="P90" i="44"/>
  <c r="P92" i="44" s="1"/>
  <c r="L16" i="20" s="1"/>
  <c r="L90" i="44"/>
  <c r="L92" i="44" s="1"/>
  <c r="H16" i="20" s="1"/>
  <c r="BE90" i="44"/>
  <c r="BE92" i="44" s="1"/>
  <c r="AI16" i="39" s="1"/>
  <c r="BR90" i="44"/>
  <c r="BR92" i="44" s="1"/>
  <c r="BD13" i="44"/>
  <c r="BD16" i="44" s="1"/>
  <c r="N90" i="44"/>
  <c r="V75" i="44"/>
  <c r="Z75" i="44" s="1"/>
  <c r="AA90" i="44"/>
  <c r="AA92" i="44" s="1"/>
  <c r="E16" i="39" s="1"/>
  <c r="AZ13" i="44"/>
  <c r="AZ16" i="44" s="1"/>
  <c r="AI90" i="44"/>
  <c r="AI92" i="44" s="1"/>
  <c r="M16" i="39" s="1"/>
  <c r="AD13" i="44"/>
  <c r="AD16" i="44" s="1"/>
  <c r="BB13" i="44"/>
  <c r="BB16" i="44" s="1"/>
  <c r="BJ13" i="44"/>
  <c r="BJ16" i="44" s="1"/>
  <c r="BJ89" i="44"/>
  <c r="O90" i="44"/>
  <c r="O92" i="44" s="1"/>
  <c r="K16" i="20" s="1"/>
  <c r="K90" i="44"/>
  <c r="K92" i="44" s="1"/>
  <c r="G16" i="20" s="1"/>
  <c r="BC90" i="44"/>
  <c r="BC92" i="44" s="1"/>
  <c r="AG16" i="39" s="1"/>
  <c r="W31" i="44"/>
  <c r="T99" i="45"/>
  <c r="X99" i="45" s="1"/>
  <c r="R49" i="45"/>
  <c r="V49" i="45" s="1"/>
  <c r="U49" i="45"/>
  <c r="Y49" i="45" s="1"/>
  <c r="U19" i="45"/>
  <c r="Y19" i="45" s="1"/>
  <c r="R19" i="45"/>
  <c r="V19" i="45" s="1"/>
  <c r="BI56" i="46"/>
  <c r="AA11" i="39"/>
  <c r="T12" i="47"/>
  <c r="X12" i="47" s="1"/>
  <c r="V12" i="47"/>
  <c r="Z12" i="47" s="1"/>
  <c r="G29" i="44"/>
  <c r="J75" i="44"/>
  <c r="H64" i="24"/>
  <c r="BP21" i="26"/>
  <c r="BS21" i="26" s="1"/>
  <c r="BW21" i="26" s="1"/>
  <c r="H70" i="24"/>
  <c r="R29" i="45"/>
  <c r="T29" i="45"/>
  <c r="H69" i="24"/>
  <c r="I69" i="24"/>
  <c r="BV49" i="24"/>
  <c r="T59" i="24"/>
  <c r="X59" i="24" s="1"/>
  <c r="G59" i="24"/>
  <c r="F40" i="46"/>
  <c r="G40" i="46" s="1"/>
  <c r="Q40" i="46"/>
  <c r="U40" i="46" s="1"/>
  <c r="BV82" i="24"/>
  <c r="R33" i="45"/>
  <c r="G33" i="45"/>
  <c r="X33" i="45" s="1"/>
  <c r="H34" i="25"/>
  <c r="I34" i="25"/>
  <c r="BR53" i="25"/>
  <c r="BR55" i="25" s="1"/>
  <c r="BK14" i="25"/>
  <c r="S18" i="24"/>
  <c r="W18" i="24" s="1"/>
  <c r="G18" i="24"/>
  <c r="H20" i="25"/>
  <c r="BT20" i="25"/>
  <c r="BL14" i="26"/>
  <c r="H35" i="25"/>
  <c r="I35" i="25"/>
  <c r="R70" i="24"/>
  <c r="V70" i="24" s="1"/>
  <c r="U70" i="24"/>
  <c r="Y70" i="24" s="1"/>
  <c r="T70" i="24"/>
  <c r="X70" i="24" s="1"/>
  <c r="U12" i="47"/>
  <c r="Y12" i="47" s="1"/>
  <c r="H20" i="24"/>
  <c r="W11" i="39"/>
  <c r="S99" i="45"/>
  <c r="W99" i="45" s="1"/>
  <c r="BK33" i="24"/>
  <c r="G14" i="24"/>
  <c r="S20" i="24"/>
  <c r="W20" i="24" s="1"/>
  <c r="G54" i="24"/>
  <c r="T71" i="24"/>
  <c r="X71" i="24" s="1"/>
  <c r="BV27" i="24"/>
  <c r="BK22" i="25"/>
  <c r="BB14" i="26"/>
  <c r="AD42" i="46"/>
  <c r="V52" i="43"/>
  <c r="Z52" i="43" s="1"/>
  <c r="H52" i="43"/>
  <c r="BB21" i="46"/>
  <c r="BB25" i="46" s="1"/>
  <c r="BA25" i="46"/>
  <c r="AL13" i="43"/>
  <c r="AL14" i="43" s="1"/>
  <c r="AK14" i="43"/>
  <c r="AK65" i="43" s="1"/>
  <c r="O17" i="39" s="1"/>
  <c r="BD26" i="47"/>
  <c r="T16" i="46"/>
  <c r="X16" i="46" s="1"/>
  <c r="X17" i="46" s="1"/>
  <c r="U54" i="24"/>
  <c r="Y54" i="24" s="1"/>
  <c r="T54" i="24"/>
  <c r="X54" i="24" s="1"/>
  <c r="U71" i="24"/>
  <c r="Y71" i="24" s="1"/>
  <c r="BW15" i="42"/>
  <c r="U63" i="24"/>
  <c r="Y63" i="24" s="1"/>
  <c r="AG48" i="25"/>
  <c r="BK34" i="25"/>
  <c r="BK36" i="25"/>
  <c r="BK40" i="25"/>
  <c r="BK41" i="25"/>
  <c r="BK42" i="25"/>
  <c r="BK43" i="25"/>
  <c r="BK46" i="25"/>
  <c r="BK47" i="25"/>
  <c r="BK52" i="25"/>
  <c r="BK53" i="25"/>
  <c r="AB56" i="25"/>
  <c r="G27" i="39" s="1"/>
  <c r="AK55" i="25"/>
  <c r="S66" i="24"/>
  <c r="W66" i="24" s="1"/>
  <c r="U66" i="24"/>
  <c r="Y66" i="24" s="1"/>
  <c r="T66" i="24"/>
  <c r="X66" i="24" s="1"/>
  <c r="R66" i="24"/>
  <c r="V66" i="24" s="1"/>
  <c r="R34" i="25"/>
  <c r="V34" i="25" s="1"/>
  <c r="T34" i="25"/>
  <c r="X34" i="25" s="1"/>
  <c r="BD53" i="46"/>
  <c r="BA44" i="25"/>
  <c r="BA48" i="25" s="1"/>
  <c r="AE44" i="25"/>
  <c r="AE48" i="25" s="1"/>
  <c r="AC44" i="25"/>
  <c r="AC48" i="25" s="1"/>
  <c r="BE44" i="25"/>
  <c r="AI44" i="25"/>
  <c r="AI48" i="25" s="1"/>
  <c r="AY42" i="46"/>
  <c r="AZ40" i="46"/>
  <c r="Z21" i="46"/>
  <c r="Z25" i="46" s="1"/>
  <c r="Y25" i="46"/>
  <c r="S16" i="46"/>
  <c r="W16" i="46" s="1"/>
  <c r="W17" i="46" s="1"/>
  <c r="R63" i="24"/>
  <c r="V63" i="24" s="1"/>
  <c r="R86" i="24"/>
  <c r="V86" i="24" s="1"/>
  <c r="G86" i="24"/>
  <c r="BA19" i="25"/>
  <c r="BA30" i="25" s="1"/>
  <c r="BA56" i="25" s="1"/>
  <c r="AF27" i="39" s="1"/>
  <c r="BC19" i="25"/>
  <c r="BE19" i="25"/>
  <c r="BE30" i="25" s="1"/>
  <c r="BG19" i="25"/>
  <c r="BG30" i="25" s="1"/>
  <c r="BI19" i="25"/>
  <c r="AE19" i="25"/>
  <c r="AE30" i="25" s="1"/>
  <c r="AG19" i="25"/>
  <c r="AG30" i="25" s="1"/>
  <c r="AI19" i="25"/>
  <c r="AI30" i="25" s="1"/>
  <c r="AC19" i="25"/>
  <c r="AC30" i="25" s="1"/>
  <c r="AA19" i="25"/>
  <c r="BF21" i="46"/>
  <c r="BF25" i="46" s="1"/>
  <c r="BI21" i="46"/>
  <c r="E21" i="46" s="1"/>
  <c r="T21" i="46" s="1"/>
  <c r="X21" i="46" s="1"/>
  <c r="S12" i="47"/>
  <c r="W12" i="47" s="1"/>
  <c r="G28" i="24"/>
  <c r="I72" i="24"/>
  <c r="AB22" i="43"/>
  <c r="BJ33" i="24"/>
  <c r="G66" i="24"/>
  <c r="P56" i="25"/>
  <c r="M27" i="20" s="1"/>
  <c r="BV13" i="44"/>
  <c r="BV16" i="44" s="1"/>
  <c r="G15" i="52" s="1"/>
  <c r="BW11" i="44"/>
  <c r="G63" i="24"/>
  <c r="AB14" i="26"/>
  <c r="V50" i="43"/>
  <c r="S50" i="43"/>
  <c r="G71" i="24"/>
  <c r="I71" i="24" s="1"/>
  <c r="J56" i="25"/>
  <c r="G27" i="20" s="1"/>
  <c r="K56" i="25"/>
  <c r="H27" i="20" s="1"/>
  <c r="AX56" i="25"/>
  <c r="AC27" i="39" s="1"/>
  <c r="W27" i="39"/>
  <c r="AK48" i="25"/>
  <c r="BK29" i="25"/>
  <c r="BK23" i="25"/>
  <c r="BK27" i="25"/>
  <c r="AY30" i="25"/>
  <c r="Y27" i="26"/>
  <c r="AX50" i="46"/>
  <c r="AW53" i="46"/>
  <c r="W28" i="39"/>
  <c r="AA28" i="39"/>
  <c r="R35" i="26"/>
  <c r="N28" i="20" s="1"/>
  <c r="AY35" i="26"/>
  <c r="AC28" i="39" s="1"/>
  <c r="BP66" i="46"/>
  <c r="F5" i="52" s="1"/>
  <c r="F6" i="52" s="1"/>
  <c r="AE25" i="46"/>
  <c r="AF21" i="46"/>
  <c r="AF25" i="46" s="1"/>
  <c r="BV66" i="24"/>
  <c r="Z33" i="26"/>
  <c r="Z34" i="26" s="1"/>
  <c r="BO56" i="25"/>
  <c r="BT35" i="26"/>
  <c r="BV35" i="24"/>
  <c r="AH27" i="26"/>
  <c r="BV77" i="24"/>
  <c r="BV19" i="24"/>
  <c r="BV13" i="24"/>
  <c r="BE15" i="42"/>
  <c r="AH15" i="47"/>
  <c r="BF15" i="47"/>
  <c r="AD33" i="47"/>
  <c r="AH33" i="47"/>
  <c r="Z62" i="46"/>
  <c r="AL89" i="44"/>
  <c r="Z42" i="46"/>
  <c r="BM89" i="24"/>
  <c r="O35" i="26"/>
  <c r="K28" i="20" s="1"/>
  <c r="BK16" i="44"/>
  <c r="AB89" i="44"/>
  <c r="G25" i="45"/>
  <c r="BV31" i="25"/>
  <c r="AB22" i="26"/>
  <c r="Y28" i="39"/>
  <c r="AK35" i="26"/>
  <c r="O28" i="39" s="1"/>
  <c r="BV44" i="24"/>
  <c r="AL50" i="47"/>
  <c r="AD89" i="44"/>
  <c r="BA28" i="42"/>
  <c r="BT68" i="24"/>
  <c r="BU68" i="24" s="1"/>
  <c r="BW19" i="26"/>
  <c r="BV14" i="43"/>
  <c r="AI35" i="26"/>
  <c r="M28" i="39" s="1"/>
  <c r="BG35" i="26"/>
  <c r="AK28" i="39" s="1"/>
  <c r="AM15" i="42"/>
  <c r="BI19" i="42"/>
  <c r="BB15" i="47"/>
  <c r="AB11" i="39"/>
  <c r="BW41" i="44"/>
  <c r="W89" i="44"/>
  <c r="BF89" i="44"/>
  <c r="BH35" i="26"/>
  <c r="AL28" i="39" s="1"/>
  <c r="BJ22" i="26"/>
  <c r="BJ35" i="26" s="1"/>
  <c r="AN28" i="39" s="1"/>
  <c r="W27" i="26"/>
  <c r="BL56" i="25"/>
  <c r="BK20" i="25"/>
  <c r="BP20" i="25" s="1"/>
  <c r="BK18" i="25"/>
  <c r="G18" i="25" s="1"/>
  <c r="BT18" i="25" s="1"/>
  <c r="Y11" i="39"/>
  <c r="AH26" i="47"/>
  <c r="P65" i="43"/>
  <c r="L17" i="20" s="1"/>
  <c r="N65" i="43"/>
  <c r="J17" i="20" s="1"/>
  <c r="T28" i="43"/>
  <c r="X28" i="43" s="1"/>
  <c r="S28" i="43"/>
  <c r="W28" i="43" s="1"/>
  <c r="U28" i="43"/>
  <c r="Y28" i="43" s="1"/>
  <c r="BH37" i="43"/>
  <c r="AA16" i="39"/>
  <c r="BB40" i="44"/>
  <c r="AB40" i="44"/>
  <c r="Z64" i="44"/>
  <c r="BL62" i="44"/>
  <c r="AH89" i="44"/>
  <c r="BJ40" i="44"/>
  <c r="AJ40" i="44"/>
  <c r="BH40" i="44"/>
  <c r="U56" i="44"/>
  <c r="Y56" i="44" s="1"/>
  <c r="BK89" i="44"/>
  <c r="BL26" i="44"/>
  <c r="H26" i="44" s="1"/>
  <c r="M26" i="44" s="1"/>
  <c r="BL27" i="44"/>
  <c r="H27" i="44" s="1"/>
  <c r="M27" i="44" s="1"/>
  <c r="BW34" i="44"/>
  <c r="BL81" i="44"/>
  <c r="H81" i="44" s="1"/>
  <c r="AJ89" i="44"/>
  <c r="BQ56" i="44"/>
  <c r="BS56" i="44" s="1"/>
  <c r="BW56" i="44" s="1"/>
  <c r="T85" i="44"/>
  <c r="X85" i="44" s="1"/>
  <c r="Z40" i="44"/>
  <c r="AL40" i="44"/>
  <c r="BL39" i="44"/>
  <c r="H39" i="44" s="1"/>
  <c r="BB64" i="44"/>
  <c r="AL64" i="44"/>
  <c r="BF64" i="44"/>
  <c r="BL46" i="44"/>
  <c r="BL52" i="44"/>
  <c r="BL63" i="44"/>
  <c r="H63" i="44" s="1"/>
  <c r="J63" i="44" s="1"/>
  <c r="BL66" i="44"/>
  <c r="AF82" i="44"/>
  <c r="BD82" i="44"/>
  <c r="AH82" i="44"/>
  <c r="BF82" i="44"/>
  <c r="BL76" i="44"/>
  <c r="BL77" i="44"/>
  <c r="BL21" i="44"/>
  <c r="BQ21" i="44" s="1"/>
  <c r="BL87" i="44"/>
  <c r="J56" i="44"/>
  <c r="U85" i="44"/>
  <c r="Y85" i="44" s="1"/>
  <c r="BL14" i="44"/>
  <c r="AB16" i="44"/>
  <c r="BL91" i="44"/>
  <c r="H91" i="44" s="1"/>
  <c r="BP91" i="44" s="1"/>
  <c r="D23" i="52" s="1"/>
  <c r="H23" i="52" s="1"/>
  <c r="V31" i="44"/>
  <c r="BW10" i="44"/>
  <c r="BD89" i="44"/>
  <c r="E22" i="39"/>
  <c r="U27" i="41"/>
  <c r="Y27" i="41" s="1"/>
  <c r="I22" i="39"/>
  <c r="Q60" i="44"/>
  <c r="J60" i="44"/>
  <c r="BQ60" i="44"/>
  <c r="BS60" i="44" s="1"/>
  <c r="BW60" i="44" s="1"/>
  <c r="I60" i="44"/>
  <c r="S35" i="44"/>
  <c r="W35" i="44" s="1"/>
  <c r="U35" i="44"/>
  <c r="Y35" i="44" s="1"/>
  <c r="H35" i="44"/>
  <c r="I35" i="44" s="1"/>
  <c r="BL35" i="44"/>
  <c r="BL84" i="44"/>
  <c r="BL68" i="44"/>
  <c r="BQ74" i="44"/>
  <c r="BS74" i="44" s="1"/>
  <c r="BW74" i="44" s="1"/>
  <c r="I74" i="44"/>
  <c r="AC82" i="44"/>
  <c r="BJ82" i="44"/>
  <c r="U74" i="44"/>
  <c r="Y74" i="44" s="1"/>
  <c r="Y16" i="39"/>
  <c r="BL31" i="44"/>
  <c r="BQ31" i="44" s="1"/>
  <c r="T31" i="44"/>
  <c r="X31" i="44" s="1"/>
  <c r="BQ75" i="44"/>
  <c r="BS75" i="44" s="1"/>
  <c r="BW75" i="44" s="1"/>
  <c r="U31" i="44"/>
  <c r="I75" i="44"/>
  <c r="AH40" i="44"/>
  <c r="BF40" i="44"/>
  <c r="AF40" i="44"/>
  <c r="BD40" i="44"/>
  <c r="AD40" i="44"/>
  <c r="BJ64" i="44"/>
  <c r="AH64" i="44"/>
  <c r="BL48" i="44"/>
  <c r="BL49" i="44"/>
  <c r="BL50" i="44"/>
  <c r="H50" i="44" s="1"/>
  <c r="BL51" i="44"/>
  <c r="H51" i="44" s="1"/>
  <c r="BL53" i="44"/>
  <c r="BL56" i="44"/>
  <c r="BL57" i="44"/>
  <c r="H57" i="44" s="1"/>
  <c r="BL58" i="44"/>
  <c r="BL61" i="44"/>
  <c r="AJ82" i="44"/>
  <c r="BL67" i="44"/>
  <c r="BL69" i="44"/>
  <c r="H69" i="44" s="1"/>
  <c r="BL70" i="44"/>
  <c r="BL71" i="44"/>
  <c r="BB82" i="44"/>
  <c r="BL72" i="44"/>
  <c r="BL73" i="44"/>
  <c r="BL74" i="44"/>
  <c r="BL75" i="44"/>
  <c r="AL82" i="44"/>
  <c r="BL78" i="44"/>
  <c r="AD79" i="44"/>
  <c r="BL79" i="44" s="1"/>
  <c r="BL80" i="44"/>
  <c r="BL85" i="44"/>
  <c r="H85" i="44" s="1"/>
  <c r="J85" i="44" s="1"/>
  <c r="BW30" i="44"/>
  <c r="W22" i="42"/>
  <c r="BA15" i="42"/>
  <c r="I44" i="42"/>
  <c r="W44" i="42"/>
  <c r="T33" i="42"/>
  <c r="X33" i="42" s="1"/>
  <c r="T22" i="42"/>
  <c r="BM25" i="42"/>
  <c r="BM33" i="42"/>
  <c r="BR33" i="42" s="1"/>
  <c r="BL46" i="42"/>
  <c r="BK15" i="42"/>
  <c r="BE28" i="42"/>
  <c r="AE46" i="42"/>
  <c r="BG39" i="42"/>
  <c r="BM37" i="42"/>
  <c r="I37" i="42" s="1"/>
  <c r="M37" i="42" s="1"/>
  <c r="L12" i="41"/>
  <c r="BP12" i="41"/>
  <c r="BR12" i="41" s="1"/>
  <c r="BV12" i="41" s="1"/>
  <c r="AK22" i="39"/>
  <c r="I12" i="41"/>
  <c r="P12" i="41"/>
  <c r="J12" i="41"/>
  <c r="P26" i="41"/>
  <c r="H26" i="41"/>
  <c r="BP43" i="41"/>
  <c r="BN29" i="41"/>
  <c r="BR29" i="41" s="1"/>
  <c r="BV29" i="41" s="1"/>
  <c r="BT46" i="41"/>
  <c r="BS46" i="41"/>
  <c r="BK21" i="41"/>
  <c r="G22" i="39"/>
  <c r="BQ46" i="41"/>
  <c r="K12" i="41"/>
  <c r="BK12" i="41"/>
  <c r="G15" i="41"/>
  <c r="Q22" i="39"/>
  <c r="G33" i="41"/>
  <c r="F81" i="51" s="1"/>
  <c r="U33" i="41"/>
  <c r="I26" i="41"/>
  <c r="BJ45" i="41"/>
  <c r="Y22" i="39"/>
  <c r="M22" i="39"/>
  <c r="S22" i="41"/>
  <c r="BK38" i="41"/>
  <c r="BL26" i="43"/>
  <c r="H26" i="43" s="1"/>
  <c r="BQ26" i="43" s="1"/>
  <c r="BS26" i="43" s="1"/>
  <c r="BW26" i="43" s="1"/>
  <c r="BT29" i="42"/>
  <c r="BX29" i="42" s="1"/>
  <c r="AK52" i="42"/>
  <c r="BH53" i="42"/>
  <c r="AK21" i="39" s="1"/>
  <c r="Y21" i="39"/>
  <c r="AJ53" i="42"/>
  <c r="M21" i="39" s="1"/>
  <c r="AB53" i="42"/>
  <c r="E21" i="39" s="1"/>
  <c r="AG28" i="42"/>
  <c r="BC39" i="42"/>
  <c r="AC52" i="42"/>
  <c r="BM42" i="42"/>
  <c r="BP42" i="42" s="1"/>
  <c r="C37" i="52" s="1"/>
  <c r="BC52" i="42"/>
  <c r="AI28" i="42"/>
  <c r="AE28" i="42"/>
  <c r="BK39" i="42"/>
  <c r="BX16" i="42"/>
  <c r="BM12" i="42"/>
  <c r="BP12" i="42" s="1"/>
  <c r="BT12" i="42" s="1"/>
  <c r="BX12" i="42" s="1"/>
  <c r="BM14" i="42"/>
  <c r="BP14" i="42" s="1"/>
  <c r="AI19" i="42"/>
  <c r="BI28" i="42"/>
  <c r="AG15" i="42"/>
  <c r="AC19" i="42"/>
  <c r="BA19" i="42"/>
  <c r="BV49" i="42"/>
  <c r="BV52" i="42" s="1"/>
  <c r="BV53" i="42" s="1"/>
  <c r="T21" i="42"/>
  <c r="BL19" i="42"/>
  <c r="AI52" i="42"/>
  <c r="T41" i="42"/>
  <c r="V41" i="42"/>
  <c r="I41" i="42"/>
  <c r="F69" i="51" s="1"/>
  <c r="U41" i="42"/>
  <c r="W41" i="42"/>
  <c r="U13" i="42"/>
  <c r="BX20" i="42"/>
  <c r="BM27" i="42"/>
  <c r="BG28" i="42"/>
  <c r="AG39" i="42"/>
  <c r="BM38" i="42"/>
  <c r="BA52" i="42"/>
  <c r="BM49" i="42"/>
  <c r="BR49" i="42" s="1"/>
  <c r="BK52" i="42"/>
  <c r="BM43" i="42"/>
  <c r="I26" i="42"/>
  <c r="I14" i="42"/>
  <c r="AM19" i="42"/>
  <c r="U26" i="42"/>
  <c r="BM17" i="42"/>
  <c r="AE52" i="42"/>
  <c r="V26" i="42"/>
  <c r="V13" i="42"/>
  <c r="BM21" i="42"/>
  <c r="BX47" i="42"/>
  <c r="BW39" i="42"/>
  <c r="BU53" i="42"/>
  <c r="BC28" i="42"/>
  <c r="AC28" i="42"/>
  <c r="AK28" i="42"/>
  <c r="Q53" i="42"/>
  <c r="L21" i="20" s="1"/>
  <c r="AK19" i="42"/>
  <c r="BG19" i="42"/>
  <c r="S51" i="25"/>
  <c r="W51" i="25" s="1"/>
  <c r="R51" i="25"/>
  <c r="V51" i="25" s="1"/>
  <c r="T51" i="25"/>
  <c r="X51" i="25" s="1"/>
  <c r="U51" i="25"/>
  <c r="Y51" i="25" s="1"/>
  <c r="G51" i="25"/>
  <c r="U36" i="25"/>
  <c r="Y36" i="25" s="1"/>
  <c r="R36" i="25"/>
  <c r="V36" i="25" s="1"/>
  <c r="S36" i="25"/>
  <c r="W36" i="25" s="1"/>
  <c r="G36" i="25"/>
  <c r="T36" i="25"/>
  <c r="X36" i="25" s="1"/>
  <c r="S18" i="25"/>
  <c r="W18" i="25" s="1"/>
  <c r="T18" i="25"/>
  <c r="X18" i="25" s="1"/>
  <c r="R18" i="25"/>
  <c r="V18" i="25" s="1"/>
  <c r="U18" i="25"/>
  <c r="Y18" i="25" s="1"/>
  <c r="G41" i="25"/>
  <c r="S41" i="25"/>
  <c r="W41" i="25" s="1"/>
  <c r="T41" i="25"/>
  <c r="X41" i="25" s="1"/>
  <c r="U41" i="25"/>
  <c r="Y41" i="25" s="1"/>
  <c r="R41" i="25"/>
  <c r="V41" i="25" s="1"/>
  <c r="S29" i="25"/>
  <c r="W29" i="25" s="1"/>
  <c r="G29" i="25"/>
  <c r="BP29" i="25" s="1"/>
  <c r="BR29" i="25" s="1"/>
  <c r="BV29" i="25" s="1"/>
  <c r="I23" i="25"/>
  <c r="H23" i="25"/>
  <c r="BV40" i="25"/>
  <c r="BS35" i="25"/>
  <c r="BU35" i="25" s="1"/>
  <c r="BV35" i="25" s="1"/>
  <c r="I22" i="25"/>
  <c r="S23" i="25"/>
  <c r="W23" i="25" s="1"/>
  <c r="BK37" i="25"/>
  <c r="BE48" i="25"/>
  <c r="U46" i="25"/>
  <c r="Y46" i="25" s="1"/>
  <c r="BI16" i="25"/>
  <c r="AG55" i="25"/>
  <c r="BC55" i="25"/>
  <c r="BG55" i="25"/>
  <c r="BK50" i="25"/>
  <c r="AI16" i="25"/>
  <c r="V20" i="25"/>
  <c r="BP22" i="25"/>
  <c r="BR22" i="25" s="1"/>
  <c r="BV22" i="25" s="1"/>
  <c r="BK21" i="25"/>
  <c r="BJ48" i="25"/>
  <c r="AA30" i="25"/>
  <c r="M56" i="25"/>
  <c r="J27" i="20" s="1"/>
  <c r="AC16" i="25"/>
  <c r="BK25" i="25"/>
  <c r="T46" i="25"/>
  <c r="X46" i="25" s="1"/>
  <c r="BK13" i="25"/>
  <c r="G13" i="25" s="1"/>
  <c r="Y27" i="39"/>
  <c r="BK54" i="25"/>
  <c r="R19" i="25"/>
  <c r="V19" i="25" s="1"/>
  <c r="BJ30" i="25"/>
  <c r="G46" i="25"/>
  <c r="H46" i="25" s="1"/>
  <c r="Z33" i="43"/>
  <c r="BQ58" i="43"/>
  <c r="BS58" i="43" s="1"/>
  <c r="BW58" i="43" s="1"/>
  <c r="J58" i="43"/>
  <c r="Z58" i="43"/>
  <c r="Q58" i="43"/>
  <c r="I34" i="43"/>
  <c r="Q34" i="43"/>
  <c r="BQ48" i="43"/>
  <c r="BS48" i="43" s="1"/>
  <c r="BW48" i="43" s="1"/>
  <c r="Q48" i="43"/>
  <c r="J48" i="43"/>
  <c r="I48" i="43"/>
  <c r="BD22" i="43"/>
  <c r="AD14" i="43"/>
  <c r="AF59" i="43"/>
  <c r="BH59" i="43"/>
  <c r="AF44" i="43"/>
  <c r="BB37" i="43"/>
  <c r="O65" i="43"/>
  <c r="K17" i="20" s="1"/>
  <c r="S22" i="39"/>
  <c r="BM31" i="42"/>
  <c r="BQ31" i="42" s="1"/>
  <c r="BQ39" i="42" s="1"/>
  <c r="BQ53" i="42" s="1"/>
  <c r="AZ53" i="42"/>
  <c r="AC21" i="39" s="1"/>
  <c r="S21" i="39"/>
  <c r="BM30" i="42"/>
  <c r="I30" i="42" s="1"/>
  <c r="BP30" i="42" s="1"/>
  <c r="BT30" i="42" s="1"/>
  <c r="BX30" i="42" s="1"/>
  <c r="U30" i="42"/>
  <c r="V30" i="42"/>
  <c r="AM39" i="42"/>
  <c r="AH53" i="42"/>
  <c r="K21" i="39" s="1"/>
  <c r="T30" i="42"/>
  <c r="W30" i="42"/>
  <c r="AH59" i="43"/>
  <c r="U21" i="43"/>
  <c r="Y21" i="43" s="1"/>
  <c r="V21" i="43"/>
  <c r="Z21" i="43" s="1"/>
  <c r="T21" i="43"/>
  <c r="X21" i="43" s="1"/>
  <c r="S21" i="43"/>
  <c r="W21" i="43" s="1"/>
  <c r="AI15" i="42"/>
  <c r="V11" i="42"/>
  <c r="AE15" i="42"/>
  <c r="BM11" i="42"/>
  <c r="BP11" i="42" s="1"/>
  <c r="BL24" i="44"/>
  <c r="S16" i="39"/>
  <c r="Q21" i="39"/>
  <c r="U22" i="39"/>
  <c r="T18" i="42"/>
  <c r="V18" i="42"/>
  <c r="I18" i="42"/>
  <c r="N18" i="42" s="1"/>
  <c r="N19" i="42" s="1"/>
  <c r="W18" i="42"/>
  <c r="U18" i="42"/>
  <c r="U21" i="42"/>
  <c r="BF53" i="42"/>
  <c r="AI21" i="39" s="1"/>
  <c r="AI23" i="39" s="1"/>
  <c r="AG19" i="42"/>
  <c r="U33" i="42"/>
  <c r="Y33" i="42" s="1"/>
  <c r="V33" i="42"/>
  <c r="Z33" i="42" s="1"/>
  <c r="V22" i="42"/>
  <c r="BL28" i="42"/>
  <c r="AC15" i="42"/>
  <c r="I22" i="42"/>
  <c r="Y22" i="42" s="1"/>
  <c r="BX40" i="42"/>
  <c r="BC15" i="42"/>
  <c r="AG52" i="42"/>
  <c r="BE52" i="42"/>
  <c r="BI52" i="42"/>
  <c r="BL39" i="42"/>
  <c r="I21" i="42"/>
  <c r="AK15" i="42"/>
  <c r="AC46" i="42"/>
  <c r="AA21" i="39"/>
  <c r="AL53" i="42"/>
  <c r="O21" i="39" s="1"/>
  <c r="AM52" i="42"/>
  <c r="BD53" i="42"/>
  <c r="AG21" i="39" s="1"/>
  <c r="U21" i="39"/>
  <c r="AF53" i="42"/>
  <c r="I21" i="39" s="1"/>
  <c r="H28" i="42"/>
  <c r="BM18" i="42"/>
  <c r="W21" i="42"/>
  <c r="O53" i="42"/>
  <c r="J21" i="20" s="1"/>
  <c r="BE39" i="42"/>
  <c r="BA46" i="42"/>
  <c r="BL101" i="45"/>
  <c r="U15" i="39"/>
  <c r="BK12" i="45"/>
  <c r="S74" i="45"/>
  <c r="W74" i="45" s="1"/>
  <c r="T62" i="45"/>
  <c r="X62" i="45" s="1"/>
  <c r="U63" i="45"/>
  <c r="Y63" i="45" s="1"/>
  <c r="O101" i="45"/>
  <c r="O102" i="45" s="1"/>
  <c r="L15" i="20" s="1"/>
  <c r="U62" i="45"/>
  <c r="Y62" i="45" s="1"/>
  <c r="U74" i="45"/>
  <c r="Y74" i="45" s="1"/>
  <c r="R63" i="45"/>
  <c r="V63" i="45" s="1"/>
  <c r="BH101" i="45"/>
  <c r="BH102" i="45" s="1"/>
  <c r="AM15" i="39" s="1"/>
  <c r="BN68" i="45"/>
  <c r="BR68" i="45" s="1"/>
  <c r="BV68" i="45" s="1"/>
  <c r="S62" i="45"/>
  <c r="W62" i="45" s="1"/>
  <c r="T74" i="45"/>
  <c r="X74" i="45" s="1"/>
  <c r="T63" i="45"/>
  <c r="X63" i="45" s="1"/>
  <c r="G70" i="45"/>
  <c r="M70" i="45" s="1"/>
  <c r="AF101" i="45"/>
  <c r="AF102" i="45" s="1"/>
  <c r="K15" i="39" s="1"/>
  <c r="AA15" i="39"/>
  <c r="R68" i="45"/>
  <c r="V68" i="45" s="1"/>
  <c r="U68" i="45"/>
  <c r="Y68" i="45" s="1"/>
  <c r="T68" i="45"/>
  <c r="X68" i="45" s="1"/>
  <c r="V28" i="43"/>
  <c r="Z28" i="43" s="1"/>
  <c r="H28" i="43"/>
  <c r="M28" i="43" s="1"/>
  <c r="BM22" i="42"/>
  <c r="T30" i="44"/>
  <c r="X30" i="44" s="1"/>
  <c r="H30" i="44"/>
  <c r="U48" i="44"/>
  <c r="Y48" i="44" s="1"/>
  <c r="H48" i="44"/>
  <c r="I48" i="44" s="1"/>
  <c r="T48" i="44"/>
  <c r="X48" i="44" s="1"/>
  <c r="U36" i="44"/>
  <c r="Y36" i="44" s="1"/>
  <c r="S36" i="44"/>
  <c r="W36" i="44" s="1"/>
  <c r="H36" i="44"/>
  <c r="T36" i="44"/>
  <c r="X36" i="44" s="1"/>
  <c r="U53" i="44"/>
  <c r="Y53" i="44" s="1"/>
  <c r="H53" i="44"/>
  <c r="T35" i="44"/>
  <c r="X35" i="44" s="1"/>
  <c r="BL36" i="44"/>
  <c r="H19" i="44"/>
  <c r="BH64" i="44"/>
  <c r="BL60" i="44"/>
  <c r="BL15" i="44"/>
  <c r="BL38" i="44"/>
  <c r="H38" i="44" s="1"/>
  <c r="BL23" i="44"/>
  <c r="AJ16" i="44"/>
  <c r="BL30" i="44"/>
  <c r="AF89" i="44"/>
  <c r="BL28" i="43"/>
  <c r="R32" i="45"/>
  <c r="R87" i="45"/>
  <c r="V87" i="45" s="1"/>
  <c r="BB101" i="45"/>
  <c r="BB102" i="45" s="1"/>
  <c r="AG15" i="39" s="1"/>
  <c r="Y15" i="39"/>
  <c r="S15" i="39"/>
  <c r="G58" i="45"/>
  <c r="AH101" i="45"/>
  <c r="AH102" i="45" s="1"/>
  <c r="M15" i="39" s="1"/>
  <c r="S69" i="45"/>
  <c r="T69" i="45"/>
  <c r="U69" i="45"/>
  <c r="S45" i="45"/>
  <c r="W45" i="45" s="1"/>
  <c r="U50" i="45"/>
  <c r="Y50" i="45" s="1"/>
  <c r="R50" i="45"/>
  <c r="V50" i="45" s="1"/>
  <c r="T50" i="45"/>
  <c r="X50" i="45" s="1"/>
  <c r="S32" i="45"/>
  <c r="S36" i="45"/>
  <c r="T31" i="45"/>
  <c r="U31" i="45"/>
  <c r="S31" i="45"/>
  <c r="R81" i="45"/>
  <c r="S81" i="45"/>
  <c r="BM51" i="42"/>
  <c r="V51" i="42"/>
  <c r="Z51" i="42" s="1"/>
  <c r="U51" i="42"/>
  <c r="Y51" i="42" s="1"/>
  <c r="W51" i="42"/>
  <c r="AA51" i="42" s="1"/>
  <c r="AM46" i="42"/>
  <c r="BM45" i="42"/>
  <c r="AI46" i="42"/>
  <c r="BM44" i="42"/>
  <c r="W38" i="42"/>
  <c r="T38" i="42"/>
  <c r="I38" i="42"/>
  <c r="BP38" i="42" s="1"/>
  <c r="BT38" i="42" s="1"/>
  <c r="BX38" i="42" s="1"/>
  <c r="AC39" i="42"/>
  <c r="AE39" i="42"/>
  <c r="AI39" i="42"/>
  <c r="BM36" i="42"/>
  <c r="I35" i="42"/>
  <c r="M35" i="42" s="1"/>
  <c r="H39" i="42"/>
  <c r="BM35" i="42"/>
  <c r="BA39" i="42"/>
  <c r="BL54" i="43"/>
  <c r="H54" i="43" s="1"/>
  <c r="Y54" i="43" s="1"/>
  <c r="V54" i="43"/>
  <c r="U54" i="43"/>
  <c r="T54" i="43"/>
  <c r="S54" i="43"/>
  <c r="AA17" i="39"/>
  <c r="BL49" i="43"/>
  <c r="BL30" i="43"/>
  <c r="H30" i="43" s="1"/>
  <c r="K30" i="43" s="1"/>
  <c r="AB37" i="43"/>
  <c r="BF101" i="45"/>
  <c r="BF102" i="45" s="1"/>
  <c r="AK15" i="39" s="1"/>
  <c r="R61" i="45"/>
  <c r="V61" i="45" s="1"/>
  <c r="S61" i="45"/>
  <c r="W61" i="45" s="1"/>
  <c r="T61" i="45"/>
  <c r="X61" i="45" s="1"/>
  <c r="G61" i="45"/>
  <c r="U61" i="45"/>
  <c r="Y61" i="45" s="1"/>
  <c r="G59" i="45"/>
  <c r="BN59" i="45" s="1"/>
  <c r="BR59" i="45" s="1"/>
  <c r="BV59" i="45" s="1"/>
  <c r="BN42" i="45"/>
  <c r="BR42" i="45" s="1"/>
  <c r="BV42" i="45" s="1"/>
  <c r="M42" i="45"/>
  <c r="H59" i="24"/>
  <c r="I59" i="24"/>
  <c r="S42" i="45"/>
  <c r="W42" i="45" s="1"/>
  <c r="T42" i="45"/>
  <c r="X42" i="45" s="1"/>
  <c r="Q61" i="46"/>
  <c r="U61" i="46" s="1"/>
  <c r="E62" i="46"/>
  <c r="T61" i="46"/>
  <c r="X61" i="46" s="1"/>
  <c r="X62" i="46" s="1"/>
  <c r="BP41" i="24"/>
  <c r="BR41" i="24" s="1"/>
  <c r="R61" i="46"/>
  <c r="R62" i="46" s="1"/>
  <c r="R56" i="45"/>
  <c r="V56" i="45" s="1"/>
  <c r="T56" i="45"/>
  <c r="X56" i="45" s="1"/>
  <c r="S56" i="45"/>
  <c r="W56" i="45" s="1"/>
  <c r="BL25" i="44"/>
  <c r="H25" i="44" s="1"/>
  <c r="U31" i="42"/>
  <c r="Y31" i="42" s="1"/>
  <c r="V31" i="42"/>
  <c r="Z31" i="42" s="1"/>
  <c r="T31" i="42"/>
  <c r="X31" i="42" s="1"/>
  <c r="W31" i="42"/>
  <c r="AA31" i="42" s="1"/>
  <c r="BL29" i="44"/>
  <c r="BT29" i="44" s="1"/>
  <c r="AA10" i="39"/>
  <c r="U29" i="47"/>
  <c r="F22" i="46"/>
  <c r="AW66" i="46"/>
  <c r="AC11" i="39" s="1"/>
  <c r="S48" i="47"/>
  <c r="W48" i="47" s="1"/>
  <c r="BL20" i="44"/>
  <c r="I76" i="24"/>
  <c r="H76" i="24"/>
  <c r="F19" i="24"/>
  <c r="BJ25" i="24"/>
  <c r="BL12" i="44"/>
  <c r="BL13" i="44" s="1"/>
  <c r="BG45" i="47"/>
  <c r="BG51" i="47" s="1"/>
  <c r="AK10" i="39" s="1"/>
  <c r="BH35" i="47"/>
  <c r="BH45" i="47" s="1"/>
  <c r="X17" i="39"/>
  <c r="I20" i="25"/>
  <c r="I99" i="45"/>
  <c r="T48" i="47"/>
  <c r="X48" i="47" s="1"/>
  <c r="S40" i="46"/>
  <c r="S39" i="25"/>
  <c r="W61" i="46"/>
  <c r="BL20" i="47"/>
  <c r="H20" i="47" s="1"/>
  <c r="AF35" i="26"/>
  <c r="J28" i="39" s="1"/>
  <c r="I28" i="25"/>
  <c r="BP28" i="25"/>
  <c r="BR28" i="25" s="1"/>
  <c r="BV28" i="25" s="1"/>
  <c r="BS44" i="25"/>
  <c r="BU44" i="25" s="1"/>
  <c r="BV44" i="25" s="1"/>
  <c r="I44" i="25"/>
  <c r="V88" i="24"/>
  <c r="R22" i="46"/>
  <c r="V22" i="46" s="1"/>
  <c r="U18" i="26"/>
  <c r="T67" i="44"/>
  <c r="X67" i="44" s="1"/>
  <c r="U67" i="44"/>
  <c r="Y67" i="44" s="1"/>
  <c r="H67" i="44"/>
  <c r="G24" i="24"/>
  <c r="S24" i="24"/>
  <c r="W24" i="24" s="1"/>
  <c r="BI46" i="42"/>
  <c r="BM41" i="42"/>
  <c r="BR41" i="42" s="1"/>
  <c r="BP99" i="45"/>
  <c r="BR99" i="45" s="1"/>
  <c r="BV99" i="45" s="1"/>
  <c r="V48" i="47"/>
  <c r="Z48" i="47" s="1"/>
  <c r="T40" i="46"/>
  <c r="X40" i="46" s="1"/>
  <c r="BQ34" i="43"/>
  <c r="BS34" i="43" s="1"/>
  <c r="BW34" i="43" s="1"/>
  <c r="N25" i="42"/>
  <c r="BP25" i="42"/>
  <c r="BT25" i="42" s="1"/>
  <c r="BX25" i="42" s="1"/>
  <c r="BL36" i="47"/>
  <c r="H36" i="47" s="1"/>
  <c r="I36" i="47" s="1"/>
  <c r="Q14" i="46"/>
  <c r="U14" i="46" s="1"/>
  <c r="T14" i="46"/>
  <c r="R14" i="46"/>
  <c r="V14" i="46" s="1"/>
  <c r="S14" i="46"/>
  <c r="W14" i="46" s="1"/>
  <c r="H47" i="25"/>
  <c r="X28" i="39"/>
  <c r="H83" i="24"/>
  <c r="I83" i="24"/>
  <c r="BG52" i="42"/>
  <c r="BM48" i="42"/>
  <c r="AK45" i="47"/>
  <c r="AK51" i="47" s="1"/>
  <c r="O10" i="39" s="1"/>
  <c r="AL35" i="47"/>
  <c r="AL45" i="47" s="1"/>
  <c r="BK35" i="47"/>
  <c r="G35" i="47" s="1"/>
  <c r="S29" i="47"/>
  <c r="U59" i="24"/>
  <c r="Y59" i="24" s="1"/>
  <c r="G23" i="46"/>
  <c r="BP23" i="25"/>
  <c r="BR23" i="25" s="1"/>
  <c r="BV23" i="25" s="1"/>
  <c r="BL17" i="47"/>
  <c r="BP17" i="47" s="1"/>
  <c r="BS17" i="47" s="1"/>
  <c r="BW17" i="47" s="1"/>
  <c r="E42" i="46"/>
  <c r="E28" i="51" s="1"/>
  <c r="J34" i="43"/>
  <c r="R39" i="25"/>
  <c r="V39" i="25" s="1"/>
  <c r="S22" i="46"/>
  <c r="W22" i="46" s="1"/>
  <c r="AF16" i="44"/>
  <c r="H25" i="25"/>
  <c r="H17" i="42"/>
  <c r="S31" i="24"/>
  <c r="G31" i="24"/>
  <c r="G43" i="24"/>
  <c r="T43" i="24"/>
  <c r="BL61" i="43"/>
  <c r="AI65" i="43"/>
  <c r="M17" i="39" s="1"/>
  <c r="S29" i="45"/>
  <c r="L65" i="43"/>
  <c r="H17" i="20" s="1"/>
  <c r="BK24" i="24"/>
  <c r="BI25" i="24"/>
  <c r="AF40" i="46"/>
  <c r="AF42" i="46" s="1"/>
  <c r="AE42" i="46"/>
  <c r="BF52" i="46"/>
  <c r="BF53" i="46" s="1"/>
  <c r="BE53" i="46"/>
  <c r="BB50" i="46"/>
  <c r="BB53" i="46" s="1"/>
  <c r="BA53" i="46"/>
  <c r="BA66" i="46" s="1"/>
  <c r="AG11" i="39" s="1"/>
  <c r="Z28" i="46"/>
  <c r="Z32" i="46" s="1"/>
  <c r="Y32" i="46"/>
  <c r="BI28" i="46"/>
  <c r="E28" i="46" s="1"/>
  <c r="T28" i="46" s="1"/>
  <c r="S51" i="45"/>
  <c r="W51" i="45" s="1"/>
  <c r="R51" i="45"/>
  <c r="V51" i="45" s="1"/>
  <c r="BP63" i="43"/>
  <c r="H63" i="43"/>
  <c r="BL39" i="43"/>
  <c r="H39" i="43" s="1"/>
  <c r="V31" i="43"/>
  <c r="Z31" i="43" s="1"/>
  <c r="T31" i="43"/>
  <c r="X31" i="43" s="1"/>
  <c r="S31" i="43"/>
  <c r="W31" i="43" s="1"/>
  <c r="U31" i="43"/>
  <c r="Y31" i="43" s="1"/>
  <c r="V11" i="39"/>
  <c r="G35" i="24"/>
  <c r="T35" i="24"/>
  <c r="X35" i="24" s="1"/>
  <c r="F46" i="24"/>
  <c r="BJ48" i="24"/>
  <c r="R68" i="24"/>
  <c r="V68" i="24" s="1"/>
  <c r="G68" i="24"/>
  <c r="S68" i="24"/>
  <c r="W68" i="24" s="1"/>
  <c r="AD101" i="45"/>
  <c r="AD102" i="45" s="1"/>
  <c r="I15" i="39" s="1"/>
  <c r="BR48" i="25"/>
  <c r="BW27" i="47"/>
  <c r="U69" i="24"/>
  <c r="Y69" i="24" s="1"/>
  <c r="T69" i="24"/>
  <c r="R69" i="24"/>
  <c r="V69" i="24" s="1"/>
  <c r="S69" i="24"/>
  <c r="W69" i="24" s="1"/>
  <c r="AL15" i="47"/>
  <c r="AX42" i="46"/>
  <c r="BJ54" i="25"/>
  <c r="BD55" i="25"/>
  <c r="BD56" i="25" s="1"/>
  <c r="AI27" i="39" s="1"/>
  <c r="BD13" i="43"/>
  <c r="BD14" i="43" s="1"/>
  <c r="BC14" i="43"/>
  <c r="BC65" i="43" s="1"/>
  <c r="AG17" i="39" s="1"/>
  <c r="AC64" i="44"/>
  <c r="BK47" i="44"/>
  <c r="G47" i="44" s="1"/>
  <c r="T47" i="44" s="1"/>
  <c r="X47" i="44" s="1"/>
  <c r="AD47" i="44"/>
  <c r="BV12" i="24"/>
  <c r="BV73" i="24"/>
  <c r="BW28" i="26"/>
  <c r="BU54" i="46"/>
  <c r="BT62" i="46"/>
  <c r="BL25" i="26"/>
  <c r="BL27" i="26" s="1"/>
  <c r="BF14" i="43"/>
  <c r="BS20" i="25"/>
  <c r="BS21" i="25"/>
  <c r="BU21" i="25" s="1"/>
  <c r="BV21" i="25" s="1"/>
  <c r="BR35" i="26"/>
  <c r="BD35" i="26"/>
  <c r="AH28" i="39" s="1"/>
  <c r="U28" i="39"/>
  <c r="BU65" i="43"/>
  <c r="AY32" i="46"/>
  <c r="AY66" i="46" s="1"/>
  <c r="AE11" i="39" s="1"/>
  <c r="AZ28" i="46"/>
  <c r="AZ32" i="46" s="1"/>
  <c r="AI53" i="46"/>
  <c r="AJ50" i="46"/>
  <c r="AJ53" i="46" s="1"/>
  <c r="AG32" i="46"/>
  <c r="AG66" i="46" s="1"/>
  <c r="M11" i="39" s="1"/>
  <c r="AH28" i="46"/>
  <c r="AH32" i="46" s="1"/>
  <c r="AC53" i="46"/>
  <c r="AC66" i="46" s="1"/>
  <c r="I11" i="39" s="1"/>
  <c r="AD52" i="46"/>
  <c r="AD53" i="46" s="1"/>
  <c r="AL37" i="43"/>
  <c r="BR67" i="24"/>
  <c r="AL35" i="26"/>
  <c r="P28" i="39" s="1"/>
  <c r="BI35" i="26"/>
  <c r="AM28" i="39" s="1"/>
  <c r="BD50" i="47"/>
  <c r="K101" i="45"/>
  <c r="K102" i="45" s="1"/>
  <c r="H15" i="20" s="1"/>
  <c r="AB32" i="47"/>
  <c r="BL32" i="47" s="1"/>
  <c r="BK32" i="47"/>
  <c r="G32" i="47" s="1"/>
  <c r="T14" i="25"/>
  <c r="U14" i="25"/>
  <c r="J29" i="26"/>
  <c r="I29" i="26"/>
  <c r="G84" i="24"/>
  <c r="H84" i="24" s="1"/>
  <c r="U84" i="24"/>
  <c r="BR65" i="43"/>
  <c r="AZ19" i="43"/>
  <c r="AZ22" i="43" s="1"/>
  <c r="AY22" i="43"/>
  <c r="AY65" i="43" s="1"/>
  <c r="AC17" i="39" s="1"/>
  <c r="U16" i="39"/>
  <c r="BW28" i="42"/>
  <c r="BM50" i="42"/>
  <c r="AB31" i="47"/>
  <c r="BK31" i="47"/>
  <c r="BL54" i="44"/>
  <c r="H54" i="44" s="1"/>
  <c r="I54" i="44" s="1"/>
  <c r="BI50" i="46"/>
  <c r="E50" i="46" s="1"/>
  <c r="AB40" i="46"/>
  <c r="AB42" i="46" s="1"/>
  <c r="AA42" i="46"/>
  <c r="AA66" i="46" s="1"/>
  <c r="G11" i="39" s="1"/>
  <c r="L35" i="26"/>
  <c r="H28" i="20" s="1"/>
  <c r="BW19" i="42"/>
  <c r="BT15" i="46"/>
  <c r="BT31" i="46"/>
  <c r="BT32" i="46" s="1"/>
  <c r="BR35" i="47"/>
  <c r="BR45" i="47" s="1"/>
  <c r="BR48" i="47" s="1"/>
  <c r="BR50" i="47" s="1"/>
  <c r="BR51" i="47" s="1"/>
  <c r="AJ14" i="26"/>
  <c r="BB22" i="26"/>
  <c r="BB35" i="26" s="1"/>
  <c r="AF28" i="39" s="1"/>
  <c r="AH22" i="26"/>
  <c r="BL20" i="26"/>
  <c r="AD14" i="26"/>
  <c r="Q28" i="39"/>
  <c r="BV64" i="24"/>
  <c r="AM28" i="42"/>
  <c r="AK46" i="42"/>
  <c r="AD15" i="47"/>
  <c r="BD62" i="46"/>
  <c r="AX32" i="46"/>
  <c r="X27" i="26"/>
  <c r="BL18" i="43"/>
  <c r="H18" i="43" s="1"/>
  <c r="BQ18" i="43" s="1"/>
  <c r="BS18" i="43" s="1"/>
  <c r="BW18" i="43" s="1"/>
  <c r="AC22" i="39"/>
  <c r="M35" i="26"/>
  <c r="I28" i="20" s="1"/>
  <c r="X22" i="26"/>
  <c r="BU20" i="41"/>
  <c r="BU46" i="41" s="1"/>
  <c r="AD34" i="26"/>
  <c r="AB34" i="26"/>
  <c r="AB28" i="39"/>
  <c r="AE35" i="26"/>
  <c r="I28" i="39" s="1"/>
  <c r="AA35" i="26"/>
  <c r="E28" i="39" s="1"/>
  <c r="BV71" i="24"/>
  <c r="BK28" i="42"/>
  <c r="G30" i="45"/>
  <c r="BH33" i="47"/>
  <c r="AH37" i="43"/>
  <c r="BL19" i="44"/>
  <c r="AG45" i="47"/>
  <c r="BS49" i="42"/>
  <c r="BS52" i="42" s="1"/>
  <c r="BS53" i="42" s="1"/>
  <c r="J30" i="47"/>
  <c r="Z30" i="47"/>
  <c r="P35" i="26"/>
  <c r="L28" i="20" s="1"/>
  <c r="BV33" i="25"/>
  <c r="BR88" i="24"/>
  <c r="BW10" i="26"/>
  <c r="BW24" i="26"/>
  <c r="BV35" i="47"/>
  <c r="BV45" i="47" s="1"/>
  <c r="BV48" i="47" s="1"/>
  <c r="BV50" i="47" s="1"/>
  <c r="BV51" i="47" s="1"/>
  <c r="BU51" i="47"/>
  <c r="AA55" i="25"/>
  <c r="V28" i="39"/>
  <c r="R28" i="39"/>
  <c r="AB27" i="26"/>
  <c r="AC35" i="26"/>
  <c r="G28" i="39" s="1"/>
  <c r="BE35" i="26"/>
  <c r="AI28" i="39" s="1"/>
  <c r="BV22" i="24"/>
  <c r="BE46" i="42"/>
  <c r="AJ35" i="47"/>
  <c r="BP39" i="41"/>
  <c r="BM56" i="25"/>
  <c r="BV59" i="24"/>
  <c r="N35" i="26"/>
  <c r="J28" i="20" s="1"/>
  <c r="BN89" i="24"/>
  <c r="C52" i="52" s="1"/>
  <c r="BV17" i="25"/>
  <c r="BV22" i="43"/>
  <c r="BR66" i="46"/>
  <c r="BO51" i="47"/>
  <c r="BK28" i="25"/>
  <c r="AJ27" i="26"/>
  <c r="BA35" i="26"/>
  <c r="AE28" i="39" s="1"/>
  <c r="BV21" i="24"/>
  <c r="BK19" i="42"/>
  <c r="BI39" i="42"/>
  <c r="AG46" i="42"/>
  <c r="BG46" i="42"/>
  <c r="AB50" i="47"/>
  <c r="BB56" i="25"/>
  <c r="AG27" i="39" s="1"/>
  <c r="AB15" i="46"/>
  <c r="W21" i="39"/>
  <c r="W23" i="39" s="1"/>
  <c r="BL37" i="47"/>
  <c r="H37" i="47" s="1"/>
  <c r="J37" i="47" s="1"/>
  <c r="BQ30" i="47"/>
  <c r="Z12" i="26"/>
  <c r="P52" i="42"/>
  <c r="Y19" i="25"/>
  <c r="Y30" i="25" s="1"/>
  <c r="X40" i="43"/>
  <c r="X44" i="43" s="1"/>
  <c r="BR46" i="24"/>
  <c r="BV46" i="24" s="1"/>
  <c r="BO48" i="24"/>
  <c r="BO89" i="24" s="1"/>
  <c r="D52" i="52" s="1"/>
  <c r="D55" i="52" s="1"/>
  <c r="G64" i="43"/>
  <c r="U38" i="42"/>
  <c r="BJ20" i="46"/>
  <c r="BN20" i="46" s="1"/>
  <c r="BQ20" i="46" s="1"/>
  <c r="BF22" i="43"/>
  <c r="T12" i="26"/>
  <c r="X39" i="25"/>
  <c r="BR45" i="24"/>
  <c r="BV45" i="24" s="1"/>
  <c r="T18" i="43"/>
  <c r="X18" i="43" s="1"/>
  <c r="U18" i="43"/>
  <c r="Y18" i="43" s="1"/>
  <c r="S18" i="43"/>
  <c r="W18" i="43" s="1"/>
  <c r="BP13" i="26"/>
  <c r="H13" i="26"/>
  <c r="I21" i="26"/>
  <c r="J21" i="26"/>
  <c r="H18" i="26"/>
  <c r="BP16" i="26"/>
  <c r="BW12" i="26"/>
  <c r="BH42" i="46"/>
  <c r="BJ38" i="46"/>
  <c r="T11" i="42"/>
  <c r="U11" i="42"/>
  <c r="I11" i="42"/>
  <c r="W11" i="42"/>
  <c r="Z24" i="26"/>
  <c r="Z27" i="26" s="1"/>
  <c r="V27" i="26"/>
  <c r="BB14" i="43"/>
  <c r="BL11" i="43"/>
  <c r="R59" i="24"/>
  <c r="V59" i="24" s="1"/>
  <c r="T19" i="25"/>
  <c r="S19" i="25"/>
  <c r="W19" i="25" s="1"/>
  <c r="G19" i="25"/>
  <c r="Q51" i="43"/>
  <c r="G22" i="41"/>
  <c r="F79" i="51" s="1"/>
  <c r="T22" i="41"/>
  <c r="W50" i="43"/>
  <c r="Q50" i="43"/>
  <c r="J17" i="26"/>
  <c r="J18" i="26" s="1"/>
  <c r="BP17" i="26"/>
  <c r="BS17" i="26" s="1"/>
  <c r="BW17" i="26" s="1"/>
  <c r="H12" i="26"/>
  <c r="G14" i="26"/>
  <c r="U12" i="26"/>
  <c r="S12" i="26"/>
  <c r="F79" i="24"/>
  <c r="BV39" i="24"/>
  <c r="U42" i="45"/>
  <c r="Y42" i="45" s="1"/>
  <c r="S59" i="24"/>
  <c r="W59" i="24" s="1"/>
  <c r="AY48" i="25"/>
  <c r="R88" i="24"/>
  <c r="G53" i="25"/>
  <c r="F48" i="25"/>
  <c r="I38" i="24"/>
  <c r="H38" i="24"/>
  <c r="H45" i="46"/>
  <c r="G45" i="46"/>
  <c r="BO59" i="46"/>
  <c r="G59" i="46"/>
  <c r="J84" i="44"/>
  <c r="I84" i="44"/>
  <c r="BQ84" i="44"/>
  <c r="R40" i="46"/>
  <c r="V40" i="46" s="1"/>
  <c r="N31" i="42"/>
  <c r="I40" i="25"/>
  <c r="H40" i="25"/>
  <c r="T48" i="45"/>
  <c r="X48" i="45" s="1"/>
  <c r="U48" i="45"/>
  <c r="Y48" i="45" s="1"/>
  <c r="S48" i="45"/>
  <c r="W48" i="45" s="1"/>
  <c r="R48" i="45"/>
  <c r="V48" i="45" s="1"/>
  <c r="S79" i="45"/>
  <c r="W79" i="45" s="1"/>
  <c r="I43" i="25"/>
  <c r="R16" i="46"/>
  <c r="V16" i="46" s="1"/>
  <c r="V17" i="46" s="1"/>
  <c r="F16" i="46"/>
  <c r="H43" i="25"/>
  <c r="T36" i="45"/>
  <c r="H71" i="24"/>
  <c r="BL35" i="43"/>
  <c r="N56" i="25"/>
  <c r="K27" i="20" s="1"/>
  <c r="T39" i="24"/>
  <c r="X39" i="24" s="1"/>
  <c r="G39" i="24"/>
  <c r="H12" i="47"/>
  <c r="F4" i="51" s="1"/>
  <c r="R79" i="45"/>
  <c r="V79" i="45" s="1"/>
  <c r="BF32" i="46"/>
  <c r="BJ30" i="46"/>
  <c r="BN30" i="46" s="1"/>
  <c r="BQ30" i="46" s="1"/>
  <c r="BU30" i="46" s="1"/>
  <c r="R65" i="24"/>
  <c r="V65" i="24" s="1"/>
  <c r="S65" i="24"/>
  <c r="W65" i="24" s="1"/>
  <c r="G65" i="24"/>
  <c r="G30" i="24"/>
  <c r="BL29" i="26"/>
  <c r="BL34" i="26" s="1"/>
  <c r="U75" i="24"/>
  <c r="Y75" i="24" s="1"/>
  <c r="G75" i="24"/>
  <c r="BG15" i="42"/>
  <c r="BJ15" i="47"/>
  <c r="BV65" i="24"/>
  <c r="T84" i="24"/>
  <c r="X84" i="24" s="1"/>
  <c r="U20" i="26"/>
  <c r="Y20" i="26" s="1"/>
  <c r="Y22" i="26" s="1"/>
  <c r="I61" i="24"/>
  <c r="BJ48" i="46"/>
  <c r="BN48" i="46" s="1"/>
  <c r="BQ48" i="46" s="1"/>
  <c r="BU48" i="46" s="1"/>
  <c r="S84" i="24"/>
  <c r="BC48" i="25"/>
  <c r="BL15" i="42"/>
  <c r="AZ42" i="46"/>
  <c r="H47" i="46"/>
  <c r="G47" i="46"/>
  <c r="BG14" i="43"/>
  <c r="BG65" i="43" s="1"/>
  <c r="AK17" i="39" s="1"/>
  <c r="BH13" i="43"/>
  <c r="BC30" i="25"/>
  <c r="BV23" i="45"/>
  <c r="BJ49" i="46"/>
  <c r="BN49" i="46" s="1"/>
  <c r="BQ49" i="46" s="1"/>
  <c r="BU49" i="46" s="1"/>
  <c r="AZ37" i="43"/>
  <c r="L66" i="46"/>
  <c r="J11" i="20" s="1"/>
  <c r="BB42" i="46"/>
  <c r="BB45" i="47"/>
  <c r="AZ59" i="43"/>
  <c r="BL28" i="44"/>
  <c r="H28" i="44" s="1"/>
  <c r="AH21" i="46"/>
  <c r="AH25" i="46" s="1"/>
  <c r="BF35" i="26"/>
  <c r="AJ28" i="39" s="1"/>
  <c r="BM32" i="42"/>
  <c r="I32" i="42" s="1"/>
  <c r="N32" i="42" s="1"/>
  <c r="BK21" i="47"/>
  <c r="G21" i="47" s="1"/>
  <c r="AD21" i="47"/>
  <c r="AA45" i="47"/>
  <c r="AB35" i="47"/>
  <c r="BF45" i="47"/>
  <c r="BK12" i="25"/>
  <c r="G12" i="25" s="1"/>
  <c r="I12" i="25" s="1"/>
  <c r="BJ45" i="47"/>
  <c r="AF56" i="25"/>
  <c r="K27" i="39" s="1"/>
  <c r="AJ62" i="46"/>
  <c r="AC45" i="47"/>
  <c r="AC51" i="47" s="1"/>
  <c r="G10" i="39" s="1"/>
  <c r="BP75" i="45"/>
  <c r="V17" i="39"/>
  <c r="BA65" i="43"/>
  <c r="AE17" i="39" s="1"/>
  <c r="S17" i="39"/>
  <c r="T11" i="39"/>
  <c r="S11" i="39"/>
  <c r="O22" i="39"/>
  <c r="AJ40" i="46"/>
  <c r="AJ42" i="46" s="1"/>
  <c r="AI42" i="46"/>
  <c r="Q11" i="39"/>
  <c r="AD19" i="47"/>
  <c r="BK19" i="47"/>
  <c r="BJ51" i="46"/>
  <c r="BN51" i="46" s="1"/>
  <c r="BQ51" i="46" s="1"/>
  <c r="BU51" i="46" s="1"/>
  <c r="AZ64" i="44"/>
  <c r="AE16" i="39"/>
  <c r="S27" i="39"/>
  <c r="Z10" i="39"/>
  <c r="AE45" i="47"/>
  <c r="AE51" i="47" s="1"/>
  <c r="I10" i="39" s="1"/>
  <c r="AM22" i="39"/>
  <c r="AZ82" i="44"/>
  <c r="Q27" i="39"/>
  <c r="BJ16" i="46"/>
  <c r="BJ17" i="46" s="1"/>
  <c r="W10" i="39"/>
  <c r="AE22" i="39"/>
  <c r="BQ101" i="45"/>
  <c r="BQ102" i="45" s="1"/>
  <c r="BD45" i="47"/>
  <c r="BD101" i="45"/>
  <c r="BD102" i="45" s="1"/>
  <c r="AI15" i="39" s="1"/>
  <c r="BB32" i="46"/>
  <c r="BA45" i="47"/>
  <c r="K22" i="39"/>
  <c r="BU101" i="45"/>
  <c r="BI52" i="46"/>
  <c r="E52" i="46" s="1"/>
  <c r="BL42" i="44"/>
  <c r="H42" i="44" s="1"/>
  <c r="BQ42" i="44" s="1"/>
  <c r="BS42" i="44" s="1"/>
  <c r="BW42" i="44" s="1"/>
  <c r="AF64" i="44"/>
  <c r="BD64" i="44"/>
  <c r="AB64" i="44"/>
  <c r="AB82" i="44"/>
  <c r="BH82" i="44"/>
  <c r="AH56" i="25"/>
  <c r="M27" i="39" s="1"/>
  <c r="AG22" i="39"/>
  <c r="BD59" i="43"/>
  <c r="G13" i="46"/>
  <c r="H13" i="46"/>
  <c r="BJ19" i="41"/>
  <c r="F19" i="41" s="1"/>
  <c r="E78" i="51" s="1"/>
  <c r="AC19" i="41"/>
  <c r="T25" i="45"/>
  <c r="H72" i="44"/>
  <c r="U72" i="44"/>
  <c r="Y72" i="44" s="1"/>
  <c r="R25" i="45"/>
  <c r="I19" i="43"/>
  <c r="I22" i="43" s="1"/>
  <c r="J19" i="43"/>
  <c r="W16" i="39"/>
  <c r="V49" i="47"/>
  <c r="Z49" i="47" s="1"/>
  <c r="AH50" i="47"/>
  <c r="F46" i="46"/>
  <c r="T46" i="46"/>
  <c r="Q46" i="46"/>
  <c r="S46" i="46"/>
  <c r="R46" i="46"/>
  <c r="BO56" i="43"/>
  <c r="BS56" i="43" s="1"/>
  <c r="BW56" i="43" s="1"/>
  <c r="J56" i="43"/>
  <c r="Z56" i="43"/>
  <c r="I56" i="43"/>
  <c r="Y56" i="43"/>
  <c r="BK59" i="43"/>
  <c r="BJ12" i="46"/>
  <c r="BN12" i="46" s="1"/>
  <c r="AZ101" i="45"/>
  <c r="AZ102" i="45" s="1"/>
  <c r="AE15" i="39" s="1"/>
  <c r="AX101" i="45"/>
  <c r="AX102" i="45" s="1"/>
  <c r="AC15" i="39" s="1"/>
  <c r="X11" i="39"/>
  <c r="F20" i="46"/>
  <c r="R11" i="39"/>
  <c r="T20" i="46"/>
  <c r="S20" i="46"/>
  <c r="Q20" i="46"/>
  <c r="R20" i="46"/>
  <c r="T12" i="46"/>
  <c r="X12" i="46" s="1"/>
  <c r="S12" i="46"/>
  <c r="W12" i="46" s="1"/>
  <c r="E15" i="46"/>
  <c r="Q12" i="46"/>
  <c r="U12" i="46" s="1"/>
  <c r="R12" i="46"/>
  <c r="V12" i="46" s="1"/>
  <c r="J17" i="47"/>
  <c r="Z17" i="47"/>
  <c r="I17" i="47"/>
  <c r="Q16" i="39"/>
  <c r="BI30" i="25"/>
  <c r="BK24" i="25"/>
  <c r="G24" i="25"/>
  <c r="S24" i="25"/>
  <c r="F30" i="25"/>
  <c r="BS54" i="24"/>
  <c r="BU54" i="24" s="1"/>
  <c r="BV54" i="24" s="1"/>
  <c r="BK79" i="24"/>
  <c r="AB17" i="39"/>
  <c r="S17" i="43"/>
  <c r="U17" i="43"/>
  <c r="T17" i="43"/>
  <c r="V17" i="43"/>
  <c r="G22" i="43"/>
  <c r="BL17" i="43"/>
  <c r="T17" i="39"/>
  <c r="BL55" i="44"/>
  <c r="H55" i="44" s="1"/>
  <c r="Q55" i="44" s="1"/>
  <c r="BL45" i="44"/>
  <c r="H45" i="44" s="1"/>
  <c r="BL44" i="44"/>
  <c r="V39" i="47"/>
  <c r="T39" i="47"/>
  <c r="S39" i="47"/>
  <c r="U39" i="47"/>
  <c r="H39" i="47"/>
  <c r="BL39" i="47"/>
  <c r="U25" i="45"/>
  <c r="S50" i="45"/>
  <c r="W50" i="45" s="1"/>
  <c r="G19" i="45"/>
  <c r="G69" i="45"/>
  <c r="BK53" i="45"/>
  <c r="R14" i="45"/>
  <c r="S14" i="45"/>
  <c r="R42" i="45"/>
  <c r="V42" i="45" s="1"/>
  <c r="R31" i="45"/>
  <c r="T45" i="45"/>
  <c r="X45" i="45" s="1"/>
  <c r="R70" i="45"/>
  <c r="V70" i="45" s="1"/>
  <c r="T70" i="45"/>
  <c r="X70" i="45" s="1"/>
  <c r="U70" i="45"/>
  <c r="Y70" i="45" s="1"/>
  <c r="R67" i="45"/>
  <c r="V67" i="45" s="1"/>
  <c r="T67" i="45"/>
  <c r="X67" i="45" s="1"/>
  <c r="U67" i="45"/>
  <c r="Y67" i="45" s="1"/>
  <c r="G67" i="45"/>
  <c r="G37" i="45"/>
  <c r="G45" i="45"/>
  <c r="BN45" i="45" s="1"/>
  <c r="BR45" i="45" s="1"/>
  <c r="BV45" i="45" s="1"/>
  <c r="T71" i="45"/>
  <c r="X71" i="45" s="1"/>
  <c r="U71" i="45"/>
  <c r="Y71" i="45" s="1"/>
  <c r="S71" i="45"/>
  <c r="W71" i="45" s="1"/>
  <c r="G55" i="45"/>
  <c r="X55" i="45" s="1"/>
  <c r="T72" i="45"/>
  <c r="X72" i="45" s="1"/>
  <c r="R72" i="45"/>
  <c r="V72" i="45" s="1"/>
  <c r="G72" i="45"/>
  <c r="S72" i="45"/>
  <c r="W72" i="45" s="1"/>
  <c r="BT101" i="45"/>
  <c r="BT102" i="45" s="1"/>
  <c r="G82" i="45"/>
  <c r="U45" i="45"/>
  <c r="Y45" i="45" s="1"/>
  <c r="S43" i="45"/>
  <c r="W43" i="45" s="1"/>
  <c r="R43" i="45"/>
  <c r="V43" i="45" s="1"/>
  <c r="U43" i="45"/>
  <c r="Y43" i="45" s="1"/>
  <c r="T43" i="45"/>
  <c r="X43" i="45" s="1"/>
  <c r="AJ101" i="45"/>
  <c r="AJ102" i="45" s="1"/>
  <c r="O15" i="39" s="1"/>
  <c r="Z101" i="45"/>
  <c r="Z102" i="45" s="1"/>
  <c r="E15" i="39" s="1"/>
  <c r="U36" i="45"/>
  <c r="W15" i="39"/>
  <c r="AA16" i="25"/>
  <c r="BU18" i="25"/>
  <c r="H18" i="25"/>
  <c r="I18" i="25"/>
  <c r="BT84" i="24"/>
  <c r="BK88" i="24"/>
  <c r="U50" i="44"/>
  <c r="Y50" i="44" s="1"/>
  <c r="G78" i="45"/>
  <c r="BP78" i="45" s="1"/>
  <c r="Q15" i="39"/>
  <c r="F39" i="45"/>
  <c r="BL86" i="44"/>
  <c r="BL43" i="44"/>
  <c r="T13" i="43"/>
  <c r="X13" i="43" s="1"/>
  <c r="U13" i="43"/>
  <c r="Y13" i="43" s="1"/>
  <c r="S13" i="43"/>
  <c r="W13" i="43" s="1"/>
  <c r="V13" i="43"/>
  <c r="Z13" i="43" s="1"/>
  <c r="BK14" i="43"/>
  <c r="H70" i="44"/>
  <c r="V70" i="44"/>
  <c r="T70" i="44"/>
  <c r="X70" i="44" s="1"/>
  <c r="BQ62" i="44"/>
  <c r="BS62" i="44" s="1"/>
  <c r="BW62" i="44" s="1"/>
  <c r="Q62" i="44"/>
  <c r="J62" i="44"/>
  <c r="I62" i="44"/>
  <c r="H52" i="44"/>
  <c r="U52" i="44"/>
  <c r="Y52" i="44" s="1"/>
  <c r="T44" i="44"/>
  <c r="X44" i="44" s="1"/>
  <c r="H44" i="44"/>
  <c r="AJ64" i="44"/>
  <c r="F16" i="25"/>
  <c r="G55" i="43"/>
  <c r="G49" i="44"/>
  <c r="H78" i="44"/>
  <c r="U78" i="44"/>
  <c r="Y78" i="44" s="1"/>
  <c r="T78" i="44"/>
  <c r="X78" i="44" s="1"/>
  <c r="U57" i="44"/>
  <c r="Y57" i="44" s="1"/>
  <c r="T97" i="45"/>
  <c r="X97" i="45" s="1"/>
  <c r="S97" i="45"/>
  <c r="W97" i="45" s="1"/>
  <c r="G97" i="45"/>
  <c r="R97" i="45"/>
  <c r="V97" i="45" s="1"/>
  <c r="AA22" i="39"/>
  <c r="G41" i="41"/>
  <c r="F45" i="41"/>
  <c r="S35" i="41"/>
  <c r="W35" i="41" s="1"/>
  <c r="G35" i="41"/>
  <c r="F83" i="51" s="1"/>
  <c r="T35" i="41"/>
  <c r="X35" i="41" s="1"/>
  <c r="U35" i="41"/>
  <c r="Y35" i="41" s="1"/>
  <c r="U18" i="41"/>
  <c r="Y18" i="41" s="1"/>
  <c r="T18" i="41"/>
  <c r="X18" i="41" s="1"/>
  <c r="R18" i="41"/>
  <c r="V18" i="41" s="1"/>
  <c r="S18" i="41"/>
  <c r="W18" i="41" s="1"/>
  <c r="G29" i="41"/>
  <c r="L29" i="41" s="1"/>
  <c r="U29" i="41"/>
  <c r="Y29" i="41" s="1"/>
  <c r="T29" i="41"/>
  <c r="X29" i="41" s="1"/>
  <c r="S29" i="41"/>
  <c r="W29" i="41" s="1"/>
  <c r="G31" i="41"/>
  <c r="L31" i="41" s="1"/>
  <c r="T31" i="41"/>
  <c r="X31" i="41" s="1"/>
  <c r="S31" i="41"/>
  <c r="W31" i="41" s="1"/>
  <c r="U31" i="41"/>
  <c r="Y31" i="41" s="1"/>
  <c r="H25" i="41"/>
  <c r="P25" i="41"/>
  <c r="I25" i="41"/>
  <c r="U44" i="41"/>
  <c r="U45" i="41" s="1"/>
  <c r="G44" i="41"/>
  <c r="F84" i="51" s="1"/>
  <c r="S44" i="41"/>
  <c r="T44" i="41"/>
  <c r="R44" i="41"/>
  <c r="G28" i="41"/>
  <c r="L28" i="41" s="1"/>
  <c r="S28" i="41"/>
  <c r="W28" i="41" s="1"/>
  <c r="T28" i="41"/>
  <c r="U28" i="41"/>
  <c r="T33" i="41"/>
  <c r="BN17" i="41"/>
  <c r="BR17" i="41" s="1"/>
  <c r="BV17" i="41" s="1"/>
  <c r="BN43" i="41"/>
  <c r="F23" i="41"/>
  <c r="G24" i="41"/>
  <c r="O12" i="41"/>
  <c r="M12" i="41"/>
  <c r="H17" i="41"/>
  <c r="I17" i="41"/>
  <c r="Q12" i="41"/>
  <c r="S33" i="41"/>
  <c r="N12" i="41"/>
  <c r="BE65" i="43"/>
  <c r="AI17" i="39" s="1"/>
  <c r="BK37" i="43"/>
  <c r="H32" i="43"/>
  <c r="H11" i="43"/>
  <c r="J11" i="43" s="1"/>
  <c r="H88" i="44"/>
  <c r="U88" i="44"/>
  <c r="V88" i="44"/>
  <c r="T88" i="44"/>
  <c r="Q79" i="44"/>
  <c r="I79" i="44"/>
  <c r="BQ79" i="44"/>
  <c r="BS79" i="44" s="1"/>
  <c r="BW79" i="44" s="1"/>
  <c r="J79" i="44"/>
  <c r="BK82" i="44"/>
  <c r="H77" i="44"/>
  <c r="U77" i="44"/>
  <c r="Y77" i="44" s="1"/>
  <c r="U76" i="44"/>
  <c r="Y76" i="44" s="1"/>
  <c r="H76" i="44"/>
  <c r="U69" i="44"/>
  <c r="Y69" i="44" s="1"/>
  <c r="U68" i="44"/>
  <c r="Y68" i="44" s="1"/>
  <c r="H68" i="44"/>
  <c r="S58" i="44"/>
  <c r="W58" i="44" s="1"/>
  <c r="H58" i="44"/>
  <c r="T58" i="44"/>
  <c r="X58" i="44" s="1"/>
  <c r="U51" i="44"/>
  <c r="Y51" i="44" s="1"/>
  <c r="T45" i="44"/>
  <c r="X45" i="44" s="1"/>
  <c r="U45" i="44"/>
  <c r="Y45" i="44" s="1"/>
  <c r="S44" i="44"/>
  <c r="W44" i="44" s="1"/>
  <c r="U44" i="44"/>
  <c r="Y44" i="44" s="1"/>
  <c r="I27" i="45"/>
  <c r="H27" i="45"/>
  <c r="G13" i="45"/>
  <c r="U13" i="45"/>
  <c r="Y13" i="45" s="1"/>
  <c r="S13" i="45"/>
  <c r="W13" i="45" s="1"/>
  <c r="T13" i="45"/>
  <c r="X13" i="45" s="1"/>
  <c r="R13" i="45"/>
  <c r="BB17" i="46"/>
  <c r="BL59" i="44"/>
  <c r="H59" i="44" s="1"/>
  <c r="T98" i="45"/>
  <c r="X98" i="45" s="1"/>
  <c r="S98" i="45"/>
  <c r="W98" i="45" s="1"/>
  <c r="R98" i="45"/>
  <c r="V98" i="45" s="1"/>
  <c r="G98" i="45"/>
  <c r="F41" i="51" s="1"/>
  <c r="BL49" i="47"/>
  <c r="H49" i="47" s="1"/>
  <c r="F20" i="51" s="1"/>
  <c r="Y48" i="47"/>
  <c r="T43" i="44"/>
  <c r="X43" i="44" s="1"/>
  <c r="U43" i="44"/>
  <c r="Y43" i="44" s="1"/>
  <c r="U38" i="44"/>
  <c r="Y38" i="44" s="1"/>
  <c r="S38" i="44"/>
  <c r="W38" i="44" s="1"/>
  <c r="T38" i="44"/>
  <c r="X38" i="44" s="1"/>
  <c r="V20" i="44"/>
  <c r="V33" i="44" s="1"/>
  <c r="S20" i="44"/>
  <c r="S33" i="44" s="1"/>
  <c r="U20" i="44"/>
  <c r="T20" i="44"/>
  <c r="BP44" i="47"/>
  <c r="BS44" i="47" s="1"/>
  <c r="BW44" i="47" s="1"/>
  <c r="H44" i="47"/>
  <c r="U44" i="47"/>
  <c r="Y44" i="47" s="1"/>
  <c r="S44" i="47"/>
  <c r="W44" i="47" s="1"/>
  <c r="V44" i="47"/>
  <c r="Z44" i="47" s="1"/>
  <c r="T44" i="47"/>
  <c r="X44" i="47" s="1"/>
  <c r="I40" i="47"/>
  <c r="J40" i="47"/>
  <c r="I48" i="42"/>
  <c r="V48" i="42"/>
  <c r="W48" i="42"/>
  <c r="U48" i="42"/>
  <c r="T48" i="42"/>
  <c r="BL52" i="42"/>
  <c r="V36" i="43"/>
  <c r="Z36" i="43" s="1"/>
  <c r="T36" i="43"/>
  <c r="X36" i="43" s="1"/>
  <c r="U36" i="43"/>
  <c r="Y36" i="43" s="1"/>
  <c r="S36" i="43"/>
  <c r="W36" i="43" s="1"/>
  <c r="T24" i="43"/>
  <c r="G37" i="43"/>
  <c r="S24" i="43"/>
  <c r="V24" i="43"/>
  <c r="U24" i="43"/>
  <c r="H24" i="43"/>
  <c r="Y11" i="43"/>
  <c r="V11" i="43"/>
  <c r="G14" i="43"/>
  <c r="E55" i="51" s="1"/>
  <c r="T11" i="43"/>
  <c r="S11" i="43"/>
  <c r="G89" i="44"/>
  <c r="E51" i="51" s="1"/>
  <c r="H86" i="44"/>
  <c r="BQ86" i="44" s="1"/>
  <c r="BS86" i="44" s="1"/>
  <c r="BW86" i="44" s="1"/>
  <c r="I80" i="44"/>
  <c r="Q80" i="44"/>
  <c r="J80" i="44"/>
  <c r="BQ80" i="44"/>
  <c r="BS80" i="44" s="1"/>
  <c r="BW80" i="44" s="1"/>
  <c r="S59" i="44"/>
  <c r="W59" i="44" s="1"/>
  <c r="T59" i="44"/>
  <c r="X59" i="44" s="1"/>
  <c r="BQ54" i="44"/>
  <c r="BS54" i="44" s="1"/>
  <c r="BW54" i="44" s="1"/>
  <c r="J54" i="44"/>
  <c r="H43" i="44"/>
  <c r="Q43" i="44" s="1"/>
  <c r="S42" i="44"/>
  <c r="W42" i="44" s="1"/>
  <c r="U42" i="44"/>
  <c r="T42" i="44"/>
  <c r="X42" i="44" s="1"/>
  <c r="S96" i="45"/>
  <c r="W96" i="45" s="1"/>
  <c r="R96" i="45"/>
  <c r="V96" i="45" s="1"/>
  <c r="G96" i="45"/>
  <c r="T93" i="45"/>
  <c r="X93" i="45" s="1"/>
  <c r="R93" i="45"/>
  <c r="V93" i="45" s="1"/>
  <c r="G93" i="45"/>
  <c r="F40" i="51" s="1"/>
  <c r="S93" i="45"/>
  <c r="W93" i="45" s="1"/>
  <c r="S90" i="45"/>
  <c r="W90" i="45" s="1"/>
  <c r="G90" i="45"/>
  <c r="R90" i="45"/>
  <c r="V90" i="45" s="1"/>
  <c r="S89" i="45"/>
  <c r="W89" i="45" s="1"/>
  <c r="T89" i="45"/>
  <c r="X89" i="45" s="1"/>
  <c r="R89" i="45"/>
  <c r="V89" i="45" s="1"/>
  <c r="T88" i="45"/>
  <c r="R88" i="45"/>
  <c r="V88" i="45" s="1"/>
  <c r="S88" i="45"/>
  <c r="W88" i="45" s="1"/>
  <c r="R85" i="45"/>
  <c r="V85" i="45" s="1"/>
  <c r="S85" i="45"/>
  <c r="W85" i="45" s="1"/>
  <c r="S83" i="45"/>
  <c r="W83" i="45" s="1"/>
  <c r="S82" i="45"/>
  <c r="W82" i="45" s="1"/>
  <c r="R82" i="45"/>
  <c r="V82" i="45" s="1"/>
  <c r="S80" i="45"/>
  <c r="W80" i="45" s="1"/>
  <c r="R80" i="45"/>
  <c r="V80" i="45" s="1"/>
  <c r="T73" i="45"/>
  <c r="U73" i="45"/>
  <c r="S73" i="45"/>
  <c r="R73" i="45"/>
  <c r="R58" i="45"/>
  <c r="V58" i="45" s="1"/>
  <c r="U58" i="45"/>
  <c r="Y58" i="45" s="1"/>
  <c r="S58" i="45"/>
  <c r="W58" i="45" s="1"/>
  <c r="T58" i="45"/>
  <c r="X58" i="45" s="1"/>
  <c r="T55" i="45"/>
  <c r="U55" i="45"/>
  <c r="T47" i="45"/>
  <c r="X47" i="45" s="1"/>
  <c r="U47" i="45"/>
  <c r="Y47" i="45" s="1"/>
  <c r="R47" i="45"/>
  <c r="V47" i="45" s="1"/>
  <c r="S47" i="45"/>
  <c r="W47" i="45" s="1"/>
  <c r="U44" i="45"/>
  <c r="Y44" i="45" s="1"/>
  <c r="S44" i="45"/>
  <c r="W44" i="45" s="1"/>
  <c r="R44" i="45"/>
  <c r="V44" i="45" s="1"/>
  <c r="T44" i="45"/>
  <c r="X44" i="45" s="1"/>
  <c r="G44" i="45"/>
  <c r="F52" i="45"/>
  <c r="R30" i="45"/>
  <c r="U30" i="45"/>
  <c r="T30" i="45"/>
  <c r="S30" i="45"/>
  <c r="U24" i="45"/>
  <c r="S20" i="45"/>
  <c r="T20" i="45"/>
  <c r="U20" i="45"/>
  <c r="R20" i="45"/>
  <c r="V25" i="47"/>
  <c r="H25" i="47"/>
  <c r="F14" i="51" s="1"/>
  <c r="U25" i="47"/>
  <c r="T25" i="47"/>
  <c r="S25" i="47"/>
  <c r="T46" i="43"/>
  <c r="S46" i="43"/>
  <c r="T81" i="44"/>
  <c r="X81" i="44" s="1"/>
  <c r="U81" i="44"/>
  <c r="Y81" i="44" s="1"/>
  <c r="H73" i="44"/>
  <c r="U73" i="44"/>
  <c r="S71" i="44"/>
  <c r="T71" i="44"/>
  <c r="H71" i="44"/>
  <c r="G82" i="44"/>
  <c r="E50" i="51" s="1"/>
  <c r="S46" i="44"/>
  <c r="H46" i="44"/>
  <c r="T46" i="44"/>
  <c r="T39" i="44"/>
  <c r="G40" i="44"/>
  <c r="E48" i="51" s="1"/>
  <c r="U39" i="44"/>
  <c r="S39" i="44"/>
  <c r="G28" i="45"/>
  <c r="R64" i="46"/>
  <c r="T64" i="46"/>
  <c r="Q64" i="46"/>
  <c r="S64" i="46"/>
  <c r="Q43" i="43" l="1"/>
  <c r="BQ43" i="43"/>
  <c r="BS43" i="43" s="1"/>
  <c r="BW43" i="43" s="1"/>
  <c r="Q41" i="43"/>
  <c r="J33" i="43"/>
  <c r="W44" i="43"/>
  <c r="E29" i="52"/>
  <c r="H29" i="52" s="1"/>
  <c r="BS53" i="43"/>
  <c r="BW53" i="43" s="1"/>
  <c r="BS63" i="43"/>
  <c r="D34" i="52"/>
  <c r="H34" i="52" s="1"/>
  <c r="J51" i="43"/>
  <c r="Q42" i="43"/>
  <c r="BS57" i="43"/>
  <c r="BW57" i="43" s="1"/>
  <c r="E31" i="52"/>
  <c r="H31" i="52" s="1"/>
  <c r="BO51" i="43"/>
  <c r="BS51" i="43" s="1"/>
  <c r="BW51" i="43" s="1"/>
  <c r="J42" i="43"/>
  <c r="F59" i="51"/>
  <c r="BQ46" i="43"/>
  <c r="E28" i="52" s="1"/>
  <c r="H28" i="52" s="1"/>
  <c r="J15" i="44"/>
  <c r="J16" i="44" s="1"/>
  <c r="M28" i="44"/>
  <c r="BT28" i="44"/>
  <c r="BS84" i="44"/>
  <c r="U33" i="44"/>
  <c r="Q15" i="44"/>
  <c r="Q16" i="44" s="1"/>
  <c r="F45" i="51"/>
  <c r="BQ33" i="44"/>
  <c r="BP15" i="44"/>
  <c r="BS15" i="44" s="1"/>
  <c r="BW15" i="44" s="1"/>
  <c r="BS31" i="44"/>
  <c r="BW31" i="44" s="1"/>
  <c r="E17" i="52"/>
  <c r="H17" i="52" s="1"/>
  <c r="F34" i="45"/>
  <c r="T24" i="45"/>
  <c r="S24" i="45"/>
  <c r="R78" i="45"/>
  <c r="J94" i="45"/>
  <c r="J100" i="45" s="1"/>
  <c r="R54" i="45"/>
  <c r="V54" i="45" s="1"/>
  <c r="F16" i="45"/>
  <c r="E34" i="51" s="1"/>
  <c r="T66" i="45"/>
  <c r="X66" i="45" s="1"/>
  <c r="F76" i="45"/>
  <c r="BR91" i="45"/>
  <c r="BV91" i="45" s="1"/>
  <c r="E12" i="52"/>
  <c r="H12" i="52" s="1"/>
  <c r="F37" i="51"/>
  <c r="BP27" i="45"/>
  <c r="F38" i="51"/>
  <c r="BP28" i="45"/>
  <c r="F21" i="45"/>
  <c r="E35" i="51" s="1"/>
  <c r="U41" i="45"/>
  <c r="V12" i="42"/>
  <c r="H52" i="42"/>
  <c r="BT14" i="42"/>
  <c r="C39" i="52"/>
  <c r="H39" i="52" s="1"/>
  <c r="H37" i="52"/>
  <c r="F57" i="52"/>
  <c r="C55" i="52"/>
  <c r="S45" i="41"/>
  <c r="W33" i="41"/>
  <c r="Y33" i="41"/>
  <c r="BR39" i="42"/>
  <c r="E36" i="52"/>
  <c r="I43" i="42"/>
  <c r="BR43" i="42"/>
  <c r="E38" i="52" s="1"/>
  <c r="H38" i="52" s="1"/>
  <c r="U12" i="42"/>
  <c r="H15" i="42"/>
  <c r="I12" i="42"/>
  <c r="S12" i="42" s="1"/>
  <c r="S15" i="42" s="1"/>
  <c r="S53" i="42" s="1"/>
  <c r="N21" i="20" s="1"/>
  <c r="U55" i="43"/>
  <c r="Y55" i="43" s="1"/>
  <c r="E61" i="51"/>
  <c r="E65" i="51" s="1"/>
  <c r="T23" i="47"/>
  <c r="X23" i="47" s="1"/>
  <c r="E12" i="51"/>
  <c r="AB35" i="26"/>
  <c r="F28" i="39" s="1"/>
  <c r="H15" i="41"/>
  <c r="F75" i="51"/>
  <c r="J18" i="47"/>
  <c r="F8" i="51"/>
  <c r="I42" i="42"/>
  <c r="F70" i="51" s="1"/>
  <c r="E70" i="51"/>
  <c r="V14" i="42"/>
  <c r="Z14" i="42" s="1"/>
  <c r="E67" i="51"/>
  <c r="F37" i="41"/>
  <c r="E80" i="51"/>
  <c r="E85" i="51" s="1"/>
  <c r="I20" i="47"/>
  <c r="F10" i="51"/>
  <c r="K14" i="42"/>
  <c r="K15" i="42" s="1"/>
  <c r="F67" i="51"/>
  <c r="J53" i="43"/>
  <c r="F60" i="51"/>
  <c r="V21" i="47"/>
  <c r="E11" i="51"/>
  <c r="W25" i="45"/>
  <c r="F36" i="51"/>
  <c r="H91" i="45"/>
  <c r="F39" i="51"/>
  <c r="K43" i="42"/>
  <c r="F71" i="51"/>
  <c r="J29" i="47"/>
  <c r="F15" i="51"/>
  <c r="BK52" i="45"/>
  <c r="BS91" i="44"/>
  <c r="BW91" i="44" s="1"/>
  <c r="F52" i="51"/>
  <c r="I12" i="20"/>
  <c r="N12" i="20"/>
  <c r="T41" i="45"/>
  <c r="T52" i="45" s="1"/>
  <c r="U54" i="45"/>
  <c r="Y54" i="45" s="1"/>
  <c r="F100" i="45"/>
  <c r="T18" i="45"/>
  <c r="X18" i="45" s="1"/>
  <c r="S86" i="45"/>
  <c r="W86" i="45" s="1"/>
  <c r="S41" i="45"/>
  <c r="S52" i="45" s="1"/>
  <c r="T54" i="45"/>
  <c r="X54" i="45" s="1"/>
  <c r="S12" i="45"/>
  <c r="S16" i="45" s="1"/>
  <c r="R12" i="45"/>
  <c r="V12" i="45" s="1"/>
  <c r="U18" i="45"/>
  <c r="Y18" i="45" s="1"/>
  <c r="R18" i="45"/>
  <c r="V18" i="45" s="1"/>
  <c r="BK34" i="45"/>
  <c r="BK21" i="45"/>
  <c r="BK76" i="45"/>
  <c r="BK16" i="45"/>
  <c r="G54" i="45"/>
  <c r="BN54" i="45" s="1"/>
  <c r="G12" i="45"/>
  <c r="H12" i="45" s="1"/>
  <c r="U12" i="45"/>
  <c r="Y12" i="45" s="1"/>
  <c r="G41" i="45"/>
  <c r="BN41" i="45" s="1"/>
  <c r="BK100" i="45"/>
  <c r="I13" i="24"/>
  <c r="H13" i="24"/>
  <c r="Y37" i="45"/>
  <c r="W37" i="45"/>
  <c r="X37" i="45"/>
  <c r="V37" i="45"/>
  <c r="M37" i="45"/>
  <c r="U14" i="42"/>
  <c r="Y14" i="42" s="1"/>
  <c r="T14" i="42"/>
  <c r="X14" i="42" s="1"/>
  <c r="H47" i="24"/>
  <c r="I47" i="24"/>
  <c r="H78" i="24"/>
  <c r="W14" i="42"/>
  <c r="AA14" i="42" s="1"/>
  <c r="H46" i="42"/>
  <c r="G44" i="46"/>
  <c r="I12" i="24"/>
  <c r="R38" i="46"/>
  <c r="BG56" i="25"/>
  <c r="AL27" i="39" s="1"/>
  <c r="I36" i="24"/>
  <c r="BV61" i="24"/>
  <c r="Y44" i="43"/>
  <c r="BL22" i="26"/>
  <c r="AD66" i="46"/>
  <c r="J11" i="39" s="1"/>
  <c r="V30" i="25"/>
  <c r="I45" i="24"/>
  <c r="H21" i="25"/>
  <c r="BI42" i="46"/>
  <c r="J12" i="20"/>
  <c r="K12" i="20"/>
  <c r="H61" i="46"/>
  <c r="H49" i="46"/>
  <c r="G60" i="46"/>
  <c r="T38" i="46"/>
  <c r="T42" i="46" s="1"/>
  <c r="Q38" i="46"/>
  <c r="F14" i="46"/>
  <c r="AI56" i="25"/>
  <c r="N27" i="39" s="1"/>
  <c r="T13" i="42"/>
  <c r="X13" i="42" s="1"/>
  <c r="V46" i="42"/>
  <c r="AK56" i="25"/>
  <c r="P27" i="39" s="1"/>
  <c r="W13" i="42"/>
  <c r="AA13" i="42" s="1"/>
  <c r="G61" i="46"/>
  <c r="BC56" i="25"/>
  <c r="AH27" i="39" s="1"/>
  <c r="F62" i="46"/>
  <c r="BV65" i="43"/>
  <c r="I56" i="24"/>
  <c r="BJ62" i="46"/>
  <c r="X88" i="24"/>
  <c r="BK19" i="25"/>
  <c r="G41" i="46"/>
  <c r="AB65" i="43"/>
  <c r="F17" i="39" s="1"/>
  <c r="X26" i="42"/>
  <c r="H27" i="26"/>
  <c r="H60" i="46"/>
  <c r="H62" i="46" s="1"/>
  <c r="I74" i="24"/>
  <c r="S44" i="43"/>
  <c r="Y79" i="24"/>
  <c r="R30" i="25"/>
  <c r="S18" i="26"/>
  <c r="BP27" i="26"/>
  <c r="BP22" i="26"/>
  <c r="BS22" i="26"/>
  <c r="AH35" i="26"/>
  <c r="L28" i="39" s="1"/>
  <c r="W12" i="42"/>
  <c r="AM29" i="39"/>
  <c r="G12" i="20"/>
  <c r="L12" i="20"/>
  <c r="M12" i="20"/>
  <c r="AA23" i="39"/>
  <c r="H29" i="25"/>
  <c r="I29" i="25"/>
  <c r="AU56" i="25"/>
  <c r="Z27" i="39" s="1"/>
  <c r="BJ65" i="43"/>
  <c r="AN17" i="39" s="1"/>
  <c r="AM23" i="39"/>
  <c r="AK29" i="39"/>
  <c r="T49" i="42"/>
  <c r="I49" i="42"/>
  <c r="J49" i="42" s="1"/>
  <c r="U49" i="42"/>
  <c r="U52" i="42" s="1"/>
  <c r="BL64" i="43"/>
  <c r="H61" i="43"/>
  <c r="BQ61" i="43" s="1"/>
  <c r="U66" i="45"/>
  <c r="Y66" i="45" s="1"/>
  <c r="R66" i="45"/>
  <c r="V66" i="45" s="1"/>
  <c r="T19" i="44"/>
  <c r="G33" i="44"/>
  <c r="AK23" i="39"/>
  <c r="H50" i="25"/>
  <c r="X34" i="41"/>
  <c r="Y34" i="41"/>
  <c r="W34" i="41"/>
  <c r="BR34" i="41"/>
  <c r="BV34" i="41" s="1"/>
  <c r="L34" i="41"/>
  <c r="V49" i="42"/>
  <c r="V52" i="42" s="1"/>
  <c r="H35" i="43"/>
  <c r="H37" i="43" s="1"/>
  <c r="AS56" i="25"/>
  <c r="X27" i="39" s="1"/>
  <c r="BE56" i="25"/>
  <c r="AJ27" i="39" s="1"/>
  <c r="BG66" i="46"/>
  <c r="AM11" i="39" s="1"/>
  <c r="AM12" i="39" s="1"/>
  <c r="BV35" i="26"/>
  <c r="J42" i="24"/>
  <c r="Z13" i="42"/>
  <c r="G23" i="39"/>
  <c r="BQ33" i="43"/>
  <c r="BS33" i="43" s="1"/>
  <c r="BW33" i="43" s="1"/>
  <c r="Q33" i="43"/>
  <c r="J41" i="43"/>
  <c r="I53" i="43"/>
  <c r="J39" i="43"/>
  <c r="H44" i="43"/>
  <c r="I33" i="41"/>
  <c r="L33" i="41"/>
  <c r="H33" i="41"/>
  <c r="J41" i="42"/>
  <c r="K41" i="42"/>
  <c r="G66" i="45"/>
  <c r="BO66" i="45" s="1"/>
  <c r="Z50" i="43"/>
  <c r="X50" i="43"/>
  <c r="K50" i="43"/>
  <c r="Y50" i="43"/>
  <c r="BQ50" i="43"/>
  <c r="BS50" i="43" s="1"/>
  <c r="BW50" i="43" s="1"/>
  <c r="BW22" i="26"/>
  <c r="AM56" i="25"/>
  <c r="R27" i="39" s="1"/>
  <c r="AK46" i="41"/>
  <c r="P22" i="39" s="1"/>
  <c r="BH66" i="46"/>
  <c r="AN11" i="39" s="1"/>
  <c r="BA46" i="41"/>
  <c r="AF22" i="39" s="1"/>
  <c r="BP27" i="41"/>
  <c r="BR27" i="41" s="1"/>
  <c r="BV27" i="41" s="1"/>
  <c r="BG46" i="41"/>
  <c r="AA14" i="47"/>
  <c r="BK14" i="47" s="1"/>
  <c r="G14" i="47" s="1"/>
  <c r="E6" i="51" s="1"/>
  <c r="BK13" i="47"/>
  <c r="G13" i="47" s="1"/>
  <c r="E5" i="51" s="1"/>
  <c r="AG51" i="47"/>
  <c r="K10" i="39" s="1"/>
  <c r="BL23" i="47"/>
  <c r="BP23" i="47" s="1"/>
  <c r="BS23" i="47" s="1"/>
  <c r="BW23" i="47" s="1"/>
  <c r="BE66" i="46"/>
  <c r="AK11" i="39" s="1"/>
  <c r="AK12" i="39" s="1"/>
  <c r="G39" i="46"/>
  <c r="F38" i="46"/>
  <c r="H38" i="46" s="1"/>
  <c r="BD66" i="46"/>
  <c r="AJ11" i="39" s="1"/>
  <c r="AZ66" i="46"/>
  <c r="AF11" i="39" s="1"/>
  <c r="BF66" i="46"/>
  <c r="AL11" i="39" s="1"/>
  <c r="W12" i="39"/>
  <c r="AI12" i="39"/>
  <c r="E23" i="39"/>
  <c r="BN33" i="41"/>
  <c r="BR33" i="41" s="1"/>
  <c r="BV33" i="41" s="1"/>
  <c r="P33" i="41"/>
  <c r="BE46" i="41"/>
  <c r="AJ22" i="39" s="1"/>
  <c r="X33" i="41"/>
  <c r="AI46" i="41"/>
  <c r="N22" i="39" s="1"/>
  <c r="AE46" i="41"/>
  <c r="J22" i="39" s="1"/>
  <c r="Y66" i="46"/>
  <c r="E11" i="39" s="1"/>
  <c r="AO56" i="25"/>
  <c r="T27" i="39" s="1"/>
  <c r="H32" i="24"/>
  <c r="I32" i="24"/>
  <c r="I55" i="24"/>
  <c r="H55" i="24"/>
  <c r="Z66" i="46"/>
  <c r="F11" i="39" s="1"/>
  <c r="AF65" i="43"/>
  <c r="J17" i="39" s="1"/>
  <c r="BJ52" i="46"/>
  <c r="BC46" i="41"/>
  <c r="AH22" i="39" s="1"/>
  <c r="BP25" i="25"/>
  <c r="BR25" i="25" s="1"/>
  <c r="BV25" i="25" s="1"/>
  <c r="AC23" i="39"/>
  <c r="Y13" i="42"/>
  <c r="BN34" i="46"/>
  <c r="BQ34" i="46" s="1"/>
  <c r="BU34" i="46" s="1"/>
  <c r="BU35" i="46" s="1"/>
  <c r="S62" i="46"/>
  <c r="AJ65" i="43"/>
  <c r="N17" i="39" s="1"/>
  <c r="X12" i="24"/>
  <c r="X25" i="24" s="1"/>
  <c r="T25" i="24"/>
  <c r="BI46" i="41"/>
  <c r="AN22" i="39" s="1"/>
  <c r="H60" i="24"/>
  <c r="I60" i="24"/>
  <c r="H57" i="24"/>
  <c r="I57" i="24"/>
  <c r="AH66" i="46"/>
  <c r="N11" i="39" s="1"/>
  <c r="I29" i="24"/>
  <c r="H29" i="24"/>
  <c r="BP29" i="24"/>
  <c r="BR29" i="24" s="1"/>
  <c r="BV29" i="24" s="1"/>
  <c r="BJ28" i="46"/>
  <c r="BN28" i="46" s="1"/>
  <c r="BK44" i="25"/>
  <c r="BK48" i="25" s="1"/>
  <c r="R35" i="46"/>
  <c r="Z27" i="42"/>
  <c r="BW33" i="26"/>
  <c r="AA46" i="41"/>
  <c r="F22" i="39" s="1"/>
  <c r="AW56" i="25"/>
  <c r="AB27" i="39" s="1"/>
  <c r="I73" i="24"/>
  <c r="H73" i="24"/>
  <c r="I67" i="24"/>
  <c r="H67" i="24"/>
  <c r="H21" i="24"/>
  <c r="I21" i="24"/>
  <c r="BB90" i="44"/>
  <c r="BB92" i="44" s="1"/>
  <c r="AF16" i="39" s="1"/>
  <c r="I18" i="39"/>
  <c r="H37" i="24"/>
  <c r="BJ89" i="24"/>
  <c r="BI89" i="24"/>
  <c r="AN26" i="39" s="1"/>
  <c r="AL29" i="39"/>
  <c r="Z16" i="26"/>
  <c r="Z18" i="26" s="1"/>
  <c r="T18" i="26"/>
  <c r="AG56" i="25"/>
  <c r="L27" i="39" s="1"/>
  <c r="AY56" i="25"/>
  <c r="AD27" i="39" s="1"/>
  <c r="Q62" i="46"/>
  <c r="AA12" i="39"/>
  <c r="V14" i="26"/>
  <c r="V35" i="26" s="1"/>
  <c r="I22" i="26"/>
  <c r="Z14" i="26"/>
  <c r="BS42" i="25"/>
  <c r="BU42" i="25" s="1"/>
  <c r="BV42" i="25" s="1"/>
  <c r="R16" i="25"/>
  <c r="I42" i="25"/>
  <c r="Q18" i="43"/>
  <c r="U44" i="43"/>
  <c r="T44" i="43"/>
  <c r="Q37" i="44"/>
  <c r="I37" i="44"/>
  <c r="G29" i="46"/>
  <c r="T62" i="46"/>
  <c r="W62" i="46"/>
  <c r="Q35" i="46"/>
  <c r="X34" i="46"/>
  <c r="X35" i="46" s="1"/>
  <c r="T30" i="26"/>
  <c r="T34" i="26" s="1"/>
  <c r="H37" i="25"/>
  <c r="I37" i="25"/>
  <c r="BT31" i="42"/>
  <c r="BX31" i="42" s="1"/>
  <c r="Z44" i="43"/>
  <c r="J66" i="44"/>
  <c r="Q85" i="44"/>
  <c r="S28" i="46"/>
  <c r="W28" i="46" s="1"/>
  <c r="W32" i="46" s="1"/>
  <c r="H30" i="26"/>
  <c r="H34" i="26" s="1"/>
  <c r="I50" i="25"/>
  <c r="H38" i="25"/>
  <c r="I38" i="25"/>
  <c r="Z26" i="42"/>
  <c r="Y26" i="42"/>
  <c r="BQ39" i="43"/>
  <c r="BS39" i="43" s="1"/>
  <c r="BU27" i="44"/>
  <c r="BV27" i="44" s="1"/>
  <c r="BW27" i="44" s="1"/>
  <c r="BQ66" i="44"/>
  <c r="BS66" i="44" s="1"/>
  <c r="BW66" i="44" s="1"/>
  <c r="Q66" i="44"/>
  <c r="U62" i="46"/>
  <c r="BS27" i="26"/>
  <c r="BK35" i="26"/>
  <c r="J22" i="26"/>
  <c r="I45" i="25"/>
  <c r="I39" i="25"/>
  <c r="BS45" i="25"/>
  <c r="BU45" i="25" s="1"/>
  <c r="BV45" i="25" s="1"/>
  <c r="H39" i="25"/>
  <c r="U30" i="25"/>
  <c r="BN14" i="25"/>
  <c r="BR14" i="25" s="1"/>
  <c r="I39" i="43"/>
  <c r="I27" i="26"/>
  <c r="R48" i="25"/>
  <c r="X48" i="25"/>
  <c r="H14" i="25"/>
  <c r="R14" i="42"/>
  <c r="R15" i="42" s="1"/>
  <c r="V28" i="42"/>
  <c r="U15" i="46"/>
  <c r="F64" i="46"/>
  <c r="G35" i="26"/>
  <c r="BK55" i="25"/>
  <c r="X27" i="42"/>
  <c r="M71" i="45"/>
  <c r="G40" i="45"/>
  <c r="G24" i="46"/>
  <c r="H31" i="46"/>
  <c r="G31" i="46"/>
  <c r="Q21" i="46"/>
  <c r="U21" i="46" s="1"/>
  <c r="V61" i="46"/>
  <c r="V62" i="46" s="1"/>
  <c r="H27" i="46"/>
  <c r="G47" i="47"/>
  <c r="U47" i="47" s="1"/>
  <c r="Y47" i="47" s="1"/>
  <c r="Y50" i="47" s="1"/>
  <c r="T36" i="47"/>
  <c r="X36" i="47" s="1"/>
  <c r="O15" i="41"/>
  <c r="Z45" i="42"/>
  <c r="L45" i="42"/>
  <c r="L46" i="42" s="1"/>
  <c r="AA45" i="42"/>
  <c r="Y27" i="42"/>
  <c r="AA27" i="42"/>
  <c r="AZ90" i="44"/>
  <c r="AZ92" i="44" s="1"/>
  <c r="AD16" i="39" s="1"/>
  <c r="G51" i="46"/>
  <c r="F12" i="46"/>
  <c r="F23" i="51" s="1"/>
  <c r="AC12" i="39"/>
  <c r="AE23" i="39"/>
  <c r="Y45" i="42"/>
  <c r="X45" i="42"/>
  <c r="U28" i="42"/>
  <c r="BC53" i="42"/>
  <c r="AF21" i="39" s="1"/>
  <c r="BP64" i="43"/>
  <c r="BB51" i="47"/>
  <c r="Q47" i="43"/>
  <c r="BO47" i="43"/>
  <c r="BS47" i="43" s="1"/>
  <c r="BW47" i="43" s="1"/>
  <c r="BL59" i="43"/>
  <c r="V44" i="43"/>
  <c r="BD65" i="43"/>
  <c r="AH17" i="39" s="1"/>
  <c r="V12" i="44"/>
  <c r="V13" i="44" s="1"/>
  <c r="V16" i="44" s="1"/>
  <c r="G13" i="44"/>
  <c r="G16" i="44" s="1"/>
  <c r="BF65" i="43"/>
  <c r="AJ17" i="39" s="1"/>
  <c r="I42" i="44"/>
  <c r="BF90" i="44"/>
  <c r="BF92" i="44" s="1"/>
  <c r="AJ16" i="39" s="1"/>
  <c r="BN64" i="46"/>
  <c r="BQ64" i="46" s="1"/>
  <c r="H47" i="47"/>
  <c r="J47" i="47" s="1"/>
  <c r="BP38" i="47"/>
  <c r="BS38" i="47" s="1"/>
  <c r="BW38" i="47" s="1"/>
  <c r="N22" i="42"/>
  <c r="Z22" i="42"/>
  <c r="G59" i="43"/>
  <c r="G65" i="43" s="1"/>
  <c r="BI53" i="46"/>
  <c r="AO28" i="39"/>
  <c r="BP27" i="42"/>
  <c r="BT27" i="42" s="1"/>
  <c r="BX27" i="42" s="1"/>
  <c r="M27" i="42"/>
  <c r="M28" i="42" s="1"/>
  <c r="I91" i="44"/>
  <c r="J91" i="44"/>
  <c r="BU26" i="44"/>
  <c r="BV26" i="44" s="1"/>
  <c r="BW26" i="44" s="1"/>
  <c r="BP16" i="44"/>
  <c r="BJ50" i="46"/>
  <c r="BN50" i="46" s="1"/>
  <c r="BQ50" i="46" s="1"/>
  <c r="BU50" i="46" s="1"/>
  <c r="AI66" i="46"/>
  <c r="O11" i="39" s="1"/>
  <c r="O12" i="39" s="1"/>
  <c r="W15" i="46"/>
  <c r="V44" i="41"/>
  <c r="V45" i="41" s="1"/>
  <c r="R45" i="41"/>
  <c r="X44" i="41"/>
  <c r="X45" i="41" s="1"/>
  <c r="T45" i="41"/>
  <c r="G45" i="41"/>
  <c r="BQ31" i="43"/>
  <c r="BS31" i="43" s="1"/>
  <c r="BW31" i="43" s="1"/>
  <c r="M31" i="43"/>
  <c r="E53" i="46"/>
  <c r="E29" i="51" s="1"/>
  <c r="H40" i="46"/>
  <c r="W34" i="46"/>
  <c r="W35" i="46" s="1"/>
  <c r="S35" i="46"/>
  <c r="H30" i="46"/>
  <c r="G30" i="46"/>
  <c r="F28" i="46"/>
  <c r="F32" i="46" s="1"/>
  <c r="F27" i="51" s="1"/>
  <c r="AI51" i="47"/>
  <c r="M10" i="39" s="1"/>
  <c r="M12" i="39" s="1"/>
  <c r="AG46" i="41"/>
  <c r="L22" i="39" s="1"/>
  <c r="Y30" i="42"/>
  <c r="K23" i="39"/>
  <c r="W28" i="42"/>
  <c r="Q63" i="44"/>
  <c r="AE66" i="46"/>
  <c r="K11" i="39" s="1"/>
  <c r="AF66" i="46"/>
  <c r="L11" i="39" s="1"/>
  <c r="S38" i="47"/>
  <c r="W38" i="47" s="1"/>
  <c r="L15" i="41"/>
  <c r="P15" i="41"/>
  <c r="Q15" i="41"/>
  <c r="BM28" i="42"/>
  <c r="AG53" i="42"/>
  <c r="J21" i="39" s="1"/>
  <c r="X22" i="42"/>
  <c r="BP22" i="42"/>
  <c r="BT22" i="42" s="1"/>
  <c r="BX22" i="42" s="1"/>
  <c r="I35" i="43"/>
  <c r="BQ63" i="44"/>
  <c r="BS63" i="44" s="1"/>
  <c r="BW63" i="44" s="1"/>
  <c r="I63" i="44"/>
  <c r="BQ55" i="44"/>
  <c r="BS55" i="44" s="1"/>
  <c r="BW55" i="44" s="1"/>
  <c r="H31" i="44"/>
  <c r="BI25" i="46"/>
  <c r="R21" i="46"/>
  <c r="V21" i="46" s="1"/>
  <c r="S21" i="46"/>
  <c r="W21" i="46" s="1"/>
  <c r="E25" i="46"/>
  <c r="E26" i="51" s="1"/>
  <c r="F21" i="46"/>
  <c r="F25" i="46" s="1"/>
  <c r="F26" i="51" s="1"/>
  <c r="I12" i="39"/>
  <c r="BK37" i="41"/>
  <c r="BK19" i="41"/>
  <c r="G19" i="41" s="1"/>
  <c r="F78" i="51" s="1"/>
  <c r="AC20" i="41"/>
  <c r="AC46" i="41" s="1"/>
  <c r="H22" i="39" s="1"/>
  <c r="AY46" i="41"/>
  <c r="AD22" i="39" s="1"/>
  <c r="J47" i="43"/>
  <c r="X47" i="43"/>
  <c r="I47" i="43"/>
  <c r="AD65" i="43"/>
  <c r="H17" i="39" s="1"/>
  <c r="AC90" i="44"/>
  <c r="AC92" i="44" s="1"/>
  <c r="G16" i="39" s="1"/>
  <c r="G18" i="39" s="1"/>
  <c r="BQ35" i="44"/>
  <c r="BS35" i="44" s="1"/>
  <c r="BW35" i="44" s="1"/>
  <c r="V29" i="45"/>
  <c r="X29" i="45"/>
  <c r="M29" i="45"/>
  <c r="W29" i="45"/>
  <c r="Y29" i="45"/>
  <c r="BN60" i="45"/>
  <c r="BR60" i="45" s="1"/>
  <c r="BV60" i="45" s="1"/>
  <c r="R40" i="45"/>
  <c r="V40" i="45" s="1"/>
  <c r="S40" i="45"/>
  <c r="W40" i="45" s="1"/>
  <c r="U40" i="45"/>
  <c r="Y40" i="45" s="1"/>
  <c r="I25" i="45"/>
  <c r="V33" i="45"/>
  <c r="Y33" i="45"/>
  <c r="M33" i="45"/>
  <c r="V14" i="45"/>
  <c r="V25" i="45"/>
  <c r="X25" i="45"/>
  <c r="W33" i="45"/>
  <c r="P25" i="45"/>
  <c r="P34" i="45" s="1"/>
  <c r="P101" i="45" s="1"/>
  <c r="P102" i="45" s="1"/>
  <c r="M15" i="20" s="1"/>
  <c r="Y25" i="45"/>
  <c r="H25" i="45"/>
  <c r="BP33" i="45"/>
  <c r="BR33" i="45" s="1"/>
  <c r="BV33" i="45" s="1"/>
  <c r="BN25" i="45"/>
  <c r="Q63" i="45"/>
  <c r="M32" i="45"/>
  <c r="W32" i="45"/>
  <c r="K18" i="39"/>
  <c r="V32" i="45"/>
  <c r="X32" i="45"/>
  <c r="BP32" i="45"/>
  <c r="BR32" i="45" s="1"/>
  <c r="BV32" i="45" s="1"/>
  <c r="BP84" i="45"/>
  <c r="BR84" i="45" s="1"/>
  <c r="BV84" i="45" s="1"/>
  <c r="BO14" i="45"/>
  <c r="BR14" i="45" s="1"/>
  <c r="BV14" i="45" s="1"/>
  <c r="Y14" i="45"/>
  <c r="H14" i="45"/>
  <c r="I14" i="45"/>
  <c r="W14" i="45"/>
  <c r="U38" i="47"/>
  <c r="Y38" i="47" s="1"/>
  <c r="I29" i="47"/>
  <c r="J36" i="47"/>
  <c r="V38" i="47"/>
  <c r="Z38" i="47" s="1"/>
  <c r="BP36" i="47"/>
  <c r="BS36" i="47" s="1"/>
  <c r="BW36" i="47" s="1"/>
  <c r="Y10" i="39"/>
  <c r="Y12" i="39" s="1"/>
  <c r="BQ29" i="47"/>
  <c r="BS29" i="47" s="1"/>
  <c r="BW29" i="47" s="1"/>
  <c r="BF51" i="47"/>
  <c r="BH51" i="47"/>
  <c r="I37" i="47"/>
  <c r="H48" i="47"/>
  <c r="BC51" i="47"/>
  <c r="AG10" i="39" s="1"/>
  <c r="AG12" i="39" s="1"/>
  <c r="T43" i="47"/>
  <c r="X43" i="47" s="1"/>
  <c r="J10" i="47"/>
  <c r="I41" i="47"/>
  <c r="BA51" i="47"/>
  <c r="AE10" i="39" s="1"/>
  <c r="AE12" i="39" s="1"/>
  <c r="Q10" i="39"/>
  <c r="Q12" i="39" s="1"/>
  <c r="I18" i="47"/>
  <c r="J38" i="47"/>
  <c r="V43" i="47"/>
  <c r="Z43" i="47" s="1"/>
  <c r="I10" i="47"/>
  <c r="T10" i="39"/>
  <c r="T12" i="39" s="1"/>
  <c r="V10" i="39"/>
  <c r="V12" i="39" s="1"/>
  <c r="BS48" i="47"/>
  <c r="BW48" i="47" s="1"/>
  <c r="U43" i="47"/>
  <c r="Y43" i="47" s="1"/>
  <c r="X10" i="39"/>
  <c r="X12" i="39" s="1"/>
  <c r="BJ51" i="47"/>
  <c r="G45" i="47"/>
  <c r="E18" i="51" s="1"/>
  <c r="BL21" i="47"/>
  <c r="H21" i="47" s="1"/>
  <c r="F11" i="51" s="1"/>
  <c r="R10" i="39"/>
  <c r="R12" i="39" s="1"/>
  <c r="S36" i="47"/>
  <c r="W36" i="47" s="1"/>
  <c r="BK45" i="47"/>
  <c r="U23" i="47"/>
  <c r="Y23" i="47" s="1"/>
  <c r="AL51" i="47"/>
  <c r="H23" i="47"/>
  <c r="F12" i="51" s="1"/>
  <c r="U36" i="47"/>
  <c r="Y36" i="47" s="1"/>
  <c r="AZ51" i="47"/>
  <c r="V23" i="47"/>
  <c r="Z23" i="47" s="1"/>
  <c r="AB10" i="39"/>
  <c r="AB12" i="39" s="1"/>
  <c r="AD26" i="47"/>
  <c r="BD51" i="47"/>
  <c r="S23" i="47"/>
  <c r="W23" i="47" s="1"/>
  <c r="BT14" i="25"/>
  <c r="BU14" i="25" s="1"/>
  <c r="BV14" i="25" s="1"/>
  <c r="Y12" i="25"/>
  <c r="BK16" i="25"/>
  <c r="P22" i="41"/>
  <c r="W22" i="41"/>
  <c r="S37" i="41"/>
  <c r="Y22" i="41"/>
  <c r="U37" i="41"/>
  <c r="X22" i="41"/>
  <c r="T37" i="41"/>
  <c r="J43" i="42"/>
  <c r="AA30" i="42"/>
  <c r="T28" i="42"/>
  <c r="AA22" i="42"/>
  <c r="Q54" i="44"/>
  <c r="BS21" i="44"/>
  <c r="BW21" i="44" s="1"/>
  <c r="H13" i="44"/>
  <c r="H16" i="44" s="1"/>
  <c r="BQ12" i="44"/>
  <c r="T16" i="39"/>
  <c r="AB16" i="39"/>
  <c r="AH90" i="44"/>
  <c r="AH92" i="44" s="1"/>
  <c r="L16" i="39" s="1"/>
  <c r="X16" i="39"/>
  <c r="J35" i="44"/>
  <c r="H21" i="44"/>
  <c r="M21" i="44" s="1"/>
  <c r="AJ90" i="44"/>
  <c r="AJ92" i="44" s="1"/>
  <c r="N16" i="39" s="1"/>
  <c r="AL90" i="44"/>
  <c r="AL92" i="44" s="1"/>
  <c r="P16" i="39" s="1"/>
  <c r="BJ90" i="44"/>
  <c r="BJ92" i="44" s="1"/>
  <c r="AN16" i="39" s="1"/>
  <c r="BH90" i="44"/>
  <c r="BH92" i="44" s="1"/>
  <c r="AL16" i="39" s="1"/>
  <c r="BD90" i="44"/>
  <c r="BD92" i="44" s="1"/>
  <c r="AH16" i="39" s="1"/>
  <c r="U12" i="44"/>
  <c r="S12" i="44"/>
  <c r="T12" i="44"/>
  <c r="J55" i="44"/>
  <c r="R16" i="39"/>
  <c r="Q35" i="44"/>
  <c r="AB90" i="44"/>
  <c r="AB92" i="44" s="1"/>
  <c r="F16" i="39" s="1"/>
  <c r="Y31" i="44"/>
  <c r="Z31" i="44"/>
  <c r="BP19" i="44"/>
  <c r="AA18" i="39"/>
  <c r="AB15" i="39"/>
  <c r="E32" i="46"/>
  <c r="E27" i="51" s="1"/>
  <c r="R28" i="46"/>
  <c r="V28" i="46" s="1"/>
  <c r="V32" i="46" s="1"/>
  <c r="Q28" i="46"/>
  <c r="Q32" i="46" s="1"/>
  <c r="BI32" i="46"/>
  <c r="V15" i="46"/>
  <c r="H29" i="44"/>
  <c r="Z16" i="39"/>
  <c r="Y18" i="39"/>
  <c r="J20" i="47"/>
  <c r="T22" i="43"/>
  <c r="BL44" i="43"/>
  <c r="AD35" i="26"/>
  <c r="H28" i="39" s="1"/>
  <c r="AE56" i="25"/>
  <c r="J27" i="39" s="1"/>
  <c r="AC56" i="25"/>
  <c r="H27" i="39" s="1"/>
  <c r="V48" i="25"/>
  <c r="N12" i="44"/>
  <c r="BP48" i="24"/>
  <c r="AJ35" i="26"/>
  <c r="N28" i="39" s="1"/>
  <c r="BT66" i="46"/>
  <c r="Q62" i="45"/>
  <c r="BR51" i="42"/>
  <c r="BT51" i="42" s="1"/>
  <c r="BX51" i="42" s="1"/>
  <c r="L51" i="42"/>
  <c r="BN70" i="45"/>
  <c r="BR70" i="45" s="1"/>
  <c r="BV70" i="45" s="1"/>
  <c r="Y48" i="25"/>
  <c r="X30" i="26"/>
  <c r="X34" i="26" s="1"/>
  <c r="BQ52" i="43"/>
  <c r="BS52" i="43" s="1"/>
  <c r="BW52" i="43" s="1"/>
  <c r="M52" i="43"/>
  <c r="M59" i="43" s="1"/>
  <c r="AM18" i="39"/>
  <c r="H66" i="24"/>
  <c r="I66" i="24"/>
  <c r="I28" i="24"/>
  <c r="H28" i="24"/>
  <c r="BP28" i="24"/>
  <c r="BR28" i="24" s="1"/>
  <c r="BV28" i="24" s="1"/>
  <c r="H18" i="24"/>
  <c r="I18" i="24"/>
  <c r="L18" i="20"/>
  <c r="I54" i="24"/>
  <c r="H54" i="24"/>
  <c r="I63" i="24"/>
  <c r="H63" i="24"/>
  <c r="I86" i="24"/>
  <c r="H86" i="24"/>
  <c r="H88" i="24" s="1"/>
  <c r="AA12" i="42"/>
  <c r="H14" i="24"/>
  <c r="I14" i="24"/>
  <c r="BB65" i="43"/>
  <c r="AF17" i="39" s="1"/>
  <c r="M26" i="43"/>
  <c r="Z26" i="43"/>
  <c r="R17" i="39"/>
  <c r="BQ85" i="44"/>
  <c r="BS85" i="44" s="1"/>
  <c r="BW85" i="44" s="1"/>
  <c r="BL89" i="44"/>
  <c r="I85" i="44"/>
  <c r="BL82" i="44"/>
  <c r="I55" i="44"/>
  <c r="H47" i="44"/>
  <c r="Q47" i="44" s="1"/>
  <c r="G64" i="44"/>
  <c r="E49" i="51" s="1"/>
  <c r="E53" i="51" s="1"/>
  <c r="V22" i="43"/>
  <c r="N37" i="42"/>
  <c r="I23" i="39"/>
  <c r="I34" i="41"/>
  <c r="BJ20" i="41"/>
  <c r="BJ46" i="41" s="1"/>
  <c r="H34" i="41"/>
  <c r="BL16" i="44"/>
  <c r="AD82" i="44"/>
  <c r="V16" i="39"/>
  <c r="BL40" i="44"/>
  <c r="U47" i="44"/>
  <c r="Y47" i="44" s="1"/>
  <c r="BK64" i="44"/>
  <c r="BK90" i="44" s="1"/>
  <c r="BK92" i="44" s="1"/>
  <c r="I33" i="42"/>
  <c r="N30" i="42"/>
  <c r="AE53" i="42"/>
  <c r="H21" i="39" s="1"/>
  <c r="AA44" i="42"/>
  <c r="N44" i="42"/>
  <c r="R22" i="39"/>
  <c r="Q23" i="39"/>
  <c r="J15" i="41"/>
  <c r="N15" i="41"/>
  <c r="I15" i="41"/>
  <c r="K15" i="41"/>
  <c r="M15" i="41"/>
  <c r="Z22" i="39"/>
  <c r="X22" i="39"/>
  <c r="L16" i="41"/>
  <c r="BK45" i="41"/>
  <c r="T22" i="39"/>
  <c r="N16" i="41"/>
  <c r="S23" i="39"/>
  <c r="J16" i="41"/>
  <c r="Y23" i="39"/>
  <c r="I16" i="41"/>
  <c r="M23" i="39"/>
  <c r="P16" i="41"/>
  <c r="V22" i="39"/>
  <c r="K16" i="41"/>
  <c r="V39" i="42"/>
  <c r="Z30" i="42"/>
  <c r="U46" i="42"/>
  <c r="Y41" i="42"/>
  <c r="AG23" i="39"/>
  <c r="O23" i="39"/>
  <c r="BW49" i="42"/>
  <c r="BW52" i="42" s="1"/>
  <c r="BW53" i="42" s="1"/>
  <c r="BA53" i="42"/>
  <c r="AD21" i="39" s="1"/>
  <c r="BP41" i="42"/>
  <c r="BP46" i="42" s="1"/>
  <c r="N26" i="42"/>
  <c r="BP26" i="42"/>
  <c r="BT26" i="42" s="1"/>
  <c r="BX26" i="42" s="1"/>
  <c r="Z41" i="42"/>
  <c r="W46" i="42"/>
  <c r="AA41" i="42"/>
  <c r="BM19" i="42"/>
  <c r="I28" i="42"/>
  <c r="X18" i="42"/>
  <c r="V15" i="42"/>
  <c r="AA26" i="42"/>
  <c r="T46" i="42"/>
  <c r="X41" i="42"/>
  <c r="AA56" i="25"/>
  <c r="F27" i="39" s="1"/>
  <c r="T48" i="25"/>
  <c r="H51" i="25"/>
  <c r="BT51" i="25"/>
  <c r="BU51" i="25" s="1"/>
  <c r="BV51" i="25" s="1"/>
  <c r="I51" i="25"/>
  <c r="AJ29" i="39"/>
  <c r="BN12" i="25"/>
  <c r="BR12" i="25" s="1"/>
  <c r="BV12" i="25" s="1"/>
  <c r="BK30" i="25"/>
  <c r="U48" i="25"/>
  <c r="BS46" i="25"/>
  <c r="BU46" i="25" s="1"/>
  <c r="BV46" i="25" s="1"/>
  <c r="H12" i="25"/>
  <c r="BS41" i="25"/>
  <c r="BU41" i="25" s="1"/>
  <c r="BV41" i="25" s="1"/>
  <c r="H41" i="25"/>
  <c r="I41" i="25"/>
  <c r="BS36" i="25"/>
  <c r="H36" i="25"/>
  <c r="I36" i="25"/>
  <c r="BI56" i="25"/>
  <c r="AN27" i="39" s="1"/>
  <c r="I46" i="25"/>
  <c r="G48" i="25"/>
  <c r="BS30" i="25"/>
  <c r="K37" i="43"/>
  <c r="H55" i="43"/>
  <c r="AL65" i="43"/>
  <c r="P17" i="39" s="1"/>
  <c r="U23" i="39"/>
  <c r="W39" i="42"/>
  <c r="X30" i="42"/>
  <c r="AH65" i="43"/>
  <c r="L17" i="39" s="1"/>
  <c r="Z17" i="39"/>
  <c r="M21" i="43"/>
  <c r="M22" i="43" s="1"/>
  <c r="BQ21" i="43"/>
  <c r="BS21" i="43" s="1"/>
  <c r="BW21" i="43" s="1"/>
  <c r="Q21" i="43"/>
  <c r="X21" i="42"/>
  <c r="T21" i="39"/>
  <c r="AK53" i="42"/>
  <c r="N21" i="39" s="1"/>
  <c r="Z11" i="42"/>
  <c r="BM15" i="42"/>
  <c r="BT11" i="42"/>
  <c r="BX11" i="42" s="1"/>
  <c r="BP15" i="42"/>
  <c r="BU24" i="44"/>
  <c r="BV24" i="44" s="1"/>
  <c r="BW24" i="44" s="1"/>
  <c r="H24" i="44"/>
  <c r="M24" i="44" s="1"/>
  <c r="BU23" i="44"/>
  <c r="BV23" i="44" s="1"/>
  <c r="BW23" i="44" s="1"/>
  <c r="H23" i="44"/>
  <c r="M23" i="44" s="1"/>
  <c r="E18" i="39"/>
  <c r="BU25" i="44"/>
  <c r="BV25" i="44" s="1"/>
  <c r="AB21" i="39"/>
  <c r="BL53" i="42"/>
  <c r="BI53" i="42"/>
  <c r="AL21" i="39" s="1"/>
  <c r="Z21" i="42"/>
  <c r="V21" i="39"/>
  <c r="Y18" i="42"/>
  <c r="BK53" i="42"/>
  <c r="AN21" i="39" s="1"/>
  <c r="BP18" i="42"/>
  <c r="BT18" i="42" s="1"/>
  <c r="BX18" i="42" s="1"/>
  <c r="AC53" i="42"/>
  <c r="F21" i="39" s="1"/>
  <c r="AA21" i="42"/>
  <c r="N21" i="42"/>
  <c r="BP21" i="42"/>
  <c r="BE53" i="42"/>
  <c r="AH21" i="39" s="1"/>
  <c r="Z21" i="39"/>
  <c r="Z18" i="42"/>
  <c r="AA18" i="42"/>
  <c r="Y21" i="42"/>
  <c r="W18" i="39"/>
  <c r="BQ28" i="43"/>
  <c r="BS28" i="43" s="1"/>
  <c r="BW28" i="43" s="1"/>
  <c r="R15" i="39"/>
  <c r="AE101" i="45"/>
  <c r="AE102" i="45" s="1"/>
  <c r="J15" i="39" s="1"/>
  <c r="AG101" i="45"/>
  <c r="AG102" i="45" s="1"/>
  <c r="L15" i="39" s="1"/>
  <c r="U18" i="39"/>
  <c r="BQ53" i="44"/>
  <c r="BS53" i="44" s="1"/>
  <c r="BW53" i="44" s="1"/>
  <c r="Q53" i="44"/>
  <c r="J53" i="44"/>
  <c r="I53" i="44"/>
  <c r="J19" i="44"/>
  <c r="I19" i="44"/>
  <c r="J48" i="44"/>
  <c r="Q48" i="44"/>
  <c r="BQ48" i="44"/>
  <c r="BS48" i="44" s="1"/>
  <c r="BW48" i="44" s="1"/>
  <c r="H18" i="20"/>
  <c r="I30" i="44"/>
  <c r="J30" i="44"/>
  <c r="Q36" i="44"/>
  <c r="I36" i="44"/>
  <c r="J36" i="44"/>
  <c r="BQ36" i="44"/>
  <c r="BS36" i="44" s="1"/>
  <c r="BW36" i="44" s="1"/>
  <c r="AK18" i="39"/>
  <c r="S39" i="45"/>
  <c r="BC101" i="45"/>
  <c r="BC102" i="45" s="1"/>
  <c r="AH15" i="39" s="1"/>
  <c r="M86" i="45"/>
  <c r="X15" i="39"/>
  <c r="M45" i="45"/>
  <c r="BN73" i="45"/>
  <c r="BR73" i="45" s="1"/>
  <c r="BV73" i="45" s="1"/>
  <c r="Y24" i="45"/>
  <c r="X78" i="45"/>
  <c r="M24" i="45"/>
  <c r="X24" i="45"/>
  <c r="V24" i="45"/>
  <c r="W24" i="45"/>
  <c r="V73" i="45"/>
  <c r="AA101" i="45"/>
  <c r="AA102" i="45" s="1"/>
  <c r="AM53" i="42"/>
  <c r="P21" i="39" s="1"/>
  <c r="BM46" i="42"/>
  <c r="AI53" i="42"/>
  <c r="L21" i="39" s="1"/>
  <c r="X21" i="39"/>
  <c r="R21" i="39"/>
  <c r="BP39" i="42"/>
  <c r="Y38" i="42"/>
  <c r="Z38" i="42"/>
  <c r="M38" i="42"/>
  <c r="M39" i="42" s="1"/>
  <c r="X38" i="42"/>
  <c r="T39" i="42"/>
  <c r="AA38" i="42"/>
  <c r="BM39" i="42"/>
  <c r="K54" i="43"/>
  <c r="K59" i="43" s="1"/>
  <c r="BQ54" i="43"/>
  <c r="BS54" i="43" s="1"/>
  <c r="BW54" i="43" s="1"/>
  <c r="X54" i="43"/>
  <c r="Z54" i="43"/>
  <c r="W54" i="43"/>
  <c r="O18" i="39"/>
  <c r="AC18" i="39"/>
  <c r="M18" i="39"/>
  <c r="BL37" i="43"/>
  <c r="BQ30" i="43"/>
  <c r="BS30" i="43" s="1"/>
  <c r="BW30" i="43" s="1"/>
  <c r="AK101" i="45"/>
  <c r="AK102" i="45" s="1"/>
  <c r="P15" i="39" s="1"/>
  <c r="Q64" i="45"/>
  <c r="V15" i="39"/>
  <c r="J59" i="45"/>
  <c r="J61" i="45"/>
  <c r="BN61" i="45"/>
  <c r="BR61" i="45" s="1"/>
  <c r="BV61" i="45" s="1"/>
  <c r="AB33" i="47"/>
  <c r="BL31" i="47"/>
  <c r="T32" i="47"/>
  <c r="X32" i="47" s="1"/>
  <c r="H32" i="47"/>
  <c r="U32" i="47"/>
  <c r="Y32" i="47" s="1"/>
  <c r="S32" i="47"/>
  <c r="W32" i="47" s="1"/>
  <c r="V32" i="47"/>
  <c r="Z32" i="47" s="1"/>
  <c r="U14" i="43"/>
  <c r="T15" i="39"/>
  <c r="H20" i="44"/>
  <c r="I20" i="44" s="1"/>
  <c r="BT33" i="42"/>
  <c r="BX33" i="42" s="1"/>
  <c r="BG53" i="42"/>
  <c r="AJ21" i="39" s="1"/>
  <c r="I50" i="42"/>
  <c r="F72" i="51" s="1"/>
  <c r="BR50" i="42"/>
  <c r="BT50" i="42" s="1"/>
  <c r="BX50" i="42" s="1"/>
  <c r="T50" i="42" s="1"/>
  <c r="X69" i="24"/>
  <c r="X79" i="24" s="1"/>
  <c r="T79" i="24"/>
  <c r="I35" i="24"/>
  <c r="H35" i="24"/>
  <c r="U38" i="46"/>
  <c r="U42" i="46" s="1"/>
  <c r="Q42" i="46"/>
  <c r="BP24" i="24"/>
  <c r="BR24" i="24" s="1"/>
  <c r="BV24" i="24" s="1"/>
  <c r="BK25" i="24"/>
  <c r="BK89" i="24" s="1"/>
  <c r="BU20" i="25"/>
  <c r="BV20" i="25" s="1"/>
  <c r="H24" i="24"/>
  <c r="I24" i="24"/>
  <c r="G22" i="46"/>
  <c r="H22" i="46"/>
  <c r="G88" i="24"/>
  <c r="I84" i="24"/>
  <c r="BO20" i="44"/>
  <c r="BO33" i="44" s="1"/>
  <c r="J18" i="43"/>
  <c r="G62" i="46"/>
  <c r="BW27" i="26"/>
  <c r="W30" i="45"/>
  <c r="M30" i="45"/>
  <c r="V30" i="45"/>
  <c r="X30" i="45"/>
  <c r="Y30" i="45"/>
  <c r="BN30" i="45"/>
  <c r="BR30" i="45" s="1"/>
  <c r="BV30" i="45" s="1"/>
  <c r="BV67" i="24"/>
  <c r="BR68" i="24"/>
  <c r="BV68" i="24" s="1"/>
  <c r="AI29" i="39"/>
  <c r="M83" i="45"/>
  <c r="BP83" i="45"/>
  <c r="BR83" i="45" s="1"/>
  <c r="BV83" i="45" s="1"/>
  <c r="I68" i="24"/>
  <c r="H68" i="24"/>
  <c r="BP31" i="24"/>
  <c r="BR31" i="24" s="1"/>
  <c r="BV31" i="24" s="1"/>
  <c r="I31" i="24"/>
  <c r="H31" i="24"/>
  <c r="W29" i="47"/>
  <c r="BR48" i="42"/>
  <c r="BM52" i="42"/>
  <c r="S48" i="25"/>
  <c r="W39" i="25"/>
  <c r="W48" i="25" s="1"/>
  <c r="Y29" i="47"/>
  <c r="L56" i="45"/>
  <c r="BN56" i="45"/>
  <c r="BR56" i="45" s="1"/>
  <c r="BV56" i="45" s="1"/>
  <c r="BJ21" i="46"/>
  <c r="BN21" i="46" s="1"/>
  <c r="BQ21" i="46" s="1"/>
  <c r="BU21" i="46" s="1"/>
  <c r="M31" i="45"/>
  <c r="X31" i="45"/>
  <c r="V31" i="45"/>
  <c r="Y31" i="45"/>
  <c r="BN31" i="45"/>
  <c r="BR31" i="45" s="1"/>
  <c r="BV31" i="45" s="1"/>
  <c r="W31" i="45"/>
  <c r="AJ66" i="46"/>
  <c r="P11" i="39" s="1"/>
  <c r="R79" i="24"/>
  <c r="F50" i="46"/>
  <c r="R50" i="46"/>
  <c r="V50" i="46" s="1"/>
  <c r="T50" i="46"/>
  <c r="X50" i="46" s="1"/>
  <c r="S50" i="46"/>
  <c r="W50" i="46" s="1"/>
  <c r="Q50" i="46"/>
  <c r="U50" i="46" s="1"/>
  <c r="AD64" i="44"/>
  <c r="BL47" i="44"/>
  <c r="BL64" i="44" s="1"/>
  <c r="F54" i="25"/>
  <c r="BJ55" i="25"/>
  <c r="BJ56" i="25" s="1"/>
  <c r="W31" i="24"/>
  <c r="W33" i="24" s="1"/>
  <c r="S33" i="24"/>
  <c r="G14" i="46"/>
  <c r="H14" i="46"/>
  <c r="BQ67" i="44"/>
  <c r="BS67" i="44" s="1"/>
  <c r="BW67" i="44" s="1"/>
  <c r="J67" i="44"/>
  <c r="I67" i="44"/>
  <c r="Q67" i="44"/>
  <c r="AG18" i="39"/>
  <c r="BL19" i="47"/>
  <c r="BL35" i="26"/>
  <c r="W79" i="24"/>
  <c r="Y14" i="25"/>
  <c r="U16" i="25"/>
  <c r="W63" i="43"/>
  <c r="W64" i="43" s="1"/>
  <c r="J63" i="43"/>
  <c r="V81" i="45"/>
  <c r="W81" i="45"/>
  <c r="BP81" i="45"/>
  <c r="BR81" i="45" s="1"/>
  <c r="BV81" i="45" s="1"/>
  <c r="X81" i="45"/>
  <c r="M81" i="45"/>
  <c r="U11" i="39"/>
  <c r="U12" i="39" s="1"/>
  <c r="U17" i="42"/>
  <c r="V17" i="42"/>
  <c r="H19" i="42"/>
  <c r="T17" i="42"/>
  <c r="I17" i="42"/>
  <c r="W17" i="42"/>
  <c r="W40" i="46"/>
  <c r="W42" i="46" s="1"/>
  <c r="S42" i="46"/>
  <c r="S19" i="24"/>
  <c r="G19" i="24"/>
  <c r="F25" i="24"/>
  <c r="BV29" i="44"/>
  <c r="BW29" i="44" s="1"/>
  <c r="S34" i="45"/>
  <c r="U39" i="45"/>
  <c r="AO21" i="39"/>
  <c r="AE18" i="39"/>
  <c r="BL35" i="47"/>
  <c r="BP35" i="47" s="1"/>
  <c r="BS35" i="47" s="1"/>
  <c r="BW35" i="47" s="1"/>
  <c r="V79" i="24"/>
  <c r="BL19" i="43"/>
  <c r="BL22" i="43" s="1"/>
  <c r="U39" i="42"/>
  <c r="G31" i="47"/>
  <c r="E17" i="51" s="1"/>
  <c r="BK33" i="47"/>
  <c r="Y84" i="24"/>
  <c r="Y88" i="24" s="1"/>
  <c r="U88" i="24"/>
  <c r="T16" i="25"/>
  <c r="X14" i="25"/>
  <c r="X16" i="25" s="1"/>
  <c r="G46" i="24"/>
  <c r="G48" i="24" s="1"/>
  <c r="T46" i="24"/>
  <c r="X46" i="24" s="1"/>
  <c r="F48" i="24"/>
  <c r="Y43" i="24"/>
  <c r="V43" i="24"/>
  <c r="W43" i="24"/>
  <c r="I43" i="24"/>
  <c r="H43" i="24"/>
  <c r="X43" i="24"/>
  <c r="T35" i="47"/>
  <c r="X35" i="47" s="1"/>
  <c r="S35" i="47"/>
  <c r="W35" i="47" s="1"/>
  <c r="V35" i="47"/>
  <c r="Z35" i="47" s="1"/>
  <c r="U35" i="47"/>
  <c r="Y35" i="47" s="1"/>
  <c r="BU31" i="46"/>
  <c r="S10" i="39"/>
  <c r="S12" i="39" s="1"/>
  <c r="BT49" i="42"/>
  <c r="BX49" i="42" s="1"/>
  <c r="BB66" i="46"/>
  <c r="AH11" i="39" s="1"/>
  <c r="G12" i="39"/>
  <c r="S18" i="39"/>
  <c r="BS30" i="47"/>
  <c r="BW30" i="47" s="1"/>
  <c r="BR75" i="45"/>
  <c r="BV75" i="45" s="1"/>
  <c r="BP76" i="45"/>
  <c r="W84" i="24"/>
  <c r="W88" i="24" s="1"/>
  <c r="S88" i="24"/>
  <c r="H65" i="24"/>
  <c r="I65" i="24"/>
  <c r="X38" i="46"/>
  <c r="X42" i="46" s="1"/>
  <c r="AA11" i="42"/>
  <c r="G79" i="24"/>
  <c r="X12" i="26"/>
  <c r="X14" i="26" s="1"/>
  <c r="T14" i="26"/>
  <c r="U79" i="24"/>
  <c r="BP18" i="41"/>
  <c r="G18" i="41"/>
  <c r="F77" i="51" s="1"/>
  <c r="U14" i="26"/>
  <c r="Y12" i="26"/>
  <c r="Y14" i="26" s="1"/>
  <c r="Y35" i="26" s="1"/>
  <c r="W55" i="45"/>
  <c r="Q18" i="39"/>
  <c r="V38" i="46"/>
  <c r="V42" i="46" s="1"/>
  <c r="R42" i="46"/>
  <c r="M79" i="45"/>
  <c r="BP79" i="45"/>
  <c r="BR79" i="45" s="1"/>
  <c r="BV79" i="45" s="1"/>
  <c r="J12" i="26"/>
  <c r="I12" i="26"/>
  <c r="H14" i="26"/>
  <c r="I19" i="25"/>
  <c r="H19" i="25"/>
  <c r="BT19" i="25"/>
  <c r="N11" i="42"/>
  <c r="N15" i="42" s="1"/>
  <c r="G19" i="47"/>
  <c r="BK26" i="47"/>
  <c r="BH14" i="43"/>
  <c r="BH65" i="43" s="1"/>
  <c r="AL17" i="39" s="1"/>
  <c r="BL13" i="43"/>
  <c r="H13" i="43" s="1"/>
  <c r="H14" i="43" s="1"/>
  <c r="F55" i="51" s="1"/>
  <c r="I75" i="24"/>
  <c r="H75" i="24"/>
  <c r="BQ59" i="46"/>
  <c r="BO62" i="46"/>
  <c r="BT53" i="25"/>
  <c r="H53" i="25"/>
  <c r="I53" i="25"/>
  <c r="T39" i="45"/>
  <c r="V55" i="45"/>
  <c r="J42" i="44"/>
  <c r="U50" i="47"/>
  <c r="I49" i="47"/>
  <c r="O16" i="41"/>
  <c r="Q16" i="41"/>
  <c r="BE101" i="45"/>
  <c r="BE102" i="45" s="1"/>
  <c r="AJ15" i="39" s="1"/>
  <c r="Z11" i="39"/>
  <c r="Z12" i="39" s="1"/>
  <c r="BJ40" i="46"/>
  <c r="BN40" i="46" s="1"/>
  <c r="BQ40" i="46" s="1"/>
  <c r="BU40" i="46" s="1"/>
  <c r="J12" i="47"/>
  <c r="I12" i="47"/>
  <c r="V47" i="47"/>
  <c r="Y11" i="42"/>
  <c r="BV41" i="24"/>
  <c r="BV48" i="24" s="1"/>
  <c r="BR48" i="24"/>
  <c r="I13" i="26"/>
  <c r="J13" i="26"/>
  <c r="F17" i="46"/>
  <c r="H16" i="46"/>
  <c r="H17" i="46" s="1"/>
  <c r="G16" i="46"/>
  <c r="G17" i="46" s="1"/>
  <c r="BO16" i="46"/>
  <c r="BN38" i="46"/>
  <c r="I22" i="41"/>
  <c r="Q42" i="44"/>
  <c r="M55" i="45"/>
  <c r="H22" i="41"/>
  <c r="M16" i="41"/>
  <c r="G21" i="45"/>
  <c r="Z15" i="39"/>
  <c r="U22" i="43"/>
  <c r="AO22" i="39"/>
  <c r="AO27" i="39"/>
  <c r="T52" i="46"/>
  <c r="X52" i="46" s="1"/>
  <c r="R52" i="46"/>
  <c r="V52" i="46" s="1"/>
  <c r="Q52" i="46"/>
  <c r="U52" i="46" s="1"/>
  <c r="S52" i="46"/>
  <c r="W52" i="46" s="1"/>
  <c r="X73" i="45"/>
  <c r="Y73" i="45"/>
  <c r="W73" i="45"/>
  <c r="T30" i="25"/>
  <c r="X19" i="25"/>
  <c r="X30" i="25" s="1"/>
  <c r="X11" i="42"/>
  <c r="BS13" i="26"/>
  <c r="BP14" i="26"/>
  <c r="Q61" i="43"/>
  <c r="Q64" i="43" s="1"/>
  <c r="H64" i="43"/>
  <c r="U22" i="26"/>
  <c r="S79" i="24"/>
  <c r="H30" i="24"/>
  <c r="G33" i="24"/>
  <c r="BP33" i="24" s="1"/>
  <c r="BR33" i="24" s="1"/>
  <c r="BV33" i="24" s="1"/>
  <c r="I30" i="24"/>
  <c r="I33" i="24" s="1"/>
  <c r="BP30" i="24"/>
  <c r="BR30" i="24" s="1"/>
  <c r="BV30" i="24" s="1"/>
  <c r="S22" i="43"/>
  <c r="AZ65" i="43"/>
  <c r="AD17" i="39" s="1"/>
  <c r="H39" i="24"/>
  <c r="I39" i="24"/>
  <c r="X28" i="46"/>
  <c r="X32" i="46" s="1"/>
  <c r="T32" i="46"/>
  <c r="AA15" i="47"/>
  <c r="AA51" i="47" s="1"/>
  <c r="E10" i="39" s="1"/>
  <c r="S14" i="26"/>
  <c r="S35" i="26" s="1"/>
  <c r="W12" i="26"/>
  <c r="W14" i="26" s="1"/>
  <c r="W35" i="26" s="1"/>
  <c r="I40" i="43"/>
  <c r="BQ40" i="43"/>
  <c r="BS40" i="43" s="1"/>
  <c r="BW40" i="43" s="1"/>
  <c r="J40" i="43"/>
  <c r="BP18" i="26"/>
  <c r="BS16" i="26"/>
  <c r="T88" i="24"/>
  <c r="BQ72" i="44"/>
  <c r="BS72" i="44" s="1"/>
  <c r="BW72" i="44" s="1"/>
  <c r="Q72" i="44"/>
  <c r="J72" i="44"/>
  <c r="I72" i="44"/>
  <c r="AY101" i="45"/>
  <c r="AY102" i="45" s="1"/>
  <c r="AD15" i="39" s="1"/>
  <c r="BW63" i="43"/>
  <c r="BJ15" i="46"/>
  <c r="H20" i="45"/>
  <c r="I20" i="45"/>
  <c r="AI18" i="39"/>
  <c r="J49" i="47"/>
  <c r="I11" i="43"/>
  <c r="W46" i="46"/>
  <c r="V46" i="46"/>
  <c r="G46" i="46"/>
  <c r="H46" i="46"/>
  <c r="X46" i="46"/>
  <c r="U46" i="46"/>
  <c r="BK65" i="43"/>
  <c r="H20" i="46"/>
  <c r="G20" i="46"/>
  <c r="T25" i="46"/>
  <c r="X20" i="46"/>
  <c r="X25" i="46" s="1"/>
  <c r="W20" i="46"/>
  <c r="U20" i="46"/>
  <c r="V20" i="46"/>
  <c r="BU20" i="46"/>
  <c r="BN15" i="46"/>
  <c r="BQ12" i="46"/>
  <c r="BX14" i="42"/>
  <c r="I24" i="25"/>
  <c r="H24" i="25"/>
  <c r="G30" i="25"/>
  <c r="BP24" i="25"/>
  <c r="S30" i="25"/>
  <c r="W24" i="25"/>
  <c r="W30" i="25" s="1"/>
  <c r="AO17" i="39"/>
  <c r="H17" i="43"/>
  <c r="Z39" i="47"/>
  <c r="BP39" i="47"/>
  <c r="W39" i="47"/>
  <c r="Y39" i="47"/>
  <c r="I39" i="47"/>
  <c r="J39" i="47"/>
  <c r="X39" i="47"/>
  <c r="V78" i="45"/>
  <c r="BS20" i="45"/>
  <c r="BA101" i="45"/>
  <c r="BA102" i="45" s="1"/>
  <c r="AF15" i="39" s="1"/>
  <c r="H15" i="45"/>
  <c r="I15" i="45"/>
  <c r="BN69" i="45"/>
  <c r="BR69" i="45" s="1"/>
  <c r="BV69" i="45" s="1"/>
  <c r="W69" i="45"/>
  <c r="M69" i="45"/>
  <c r="V69" i="45"/>
  <c r="X69" i="45"/>
  <c r="Y69" i="45"/>
  <c r="T34" i="45"/>
  <c r="M78" i="45"/>
  <c r="AI101" i="45"/>
  <c r="AI102" i="45" s="1"/>
  <c r="N15" i="39" s="1"/>
  <c r="I18" i="45"/>
  <c r="H18" i="45"/>
  <c r="BO18" i="45"/>
  <c r="AC101" i="45"/>
  <c r="AC102" i="45" s="1"/>
  <c r="H15" i="39" s="1"/>
  <c r="M72" i="45"/>
  <c r="BN72" i="45"/>
  <c r="BR72" i="45" s="1"/>
  <c r="BV72" i="45" s="1"/>
  <c r="BN37" i="45"/>
  <c r="I19" i="45"/>
  <c r="H19" i="45"/>
  <c r="BP19" i="45"/>
  <c r="G36" i="45"/>
  <c r="L67" i="45"/>
  <c r="BN67" i="45"/>
  <c r="BR67" i="45" s="1"/>
  <c r="BV67" i="45" s="1"/>
  <c r="BG101" i="45"/>
  <c r="BG102" i="45" s="1"/>
  <c r="AL15" i="39" s="1"/>
  <c r="BN55" i="45"/>
  <c r="BR55" i="45" s="1"/>
  <c r="BV55" i="45" s="1"/>
  <c r="Y55" i="45"/>
  <c r="BI101" i="45"/>
  <c r="BI102" i="45" s="1"/>
  <c r="AN15" i="39" s="1"/>
  <c r="AO15" i="39"/>
  <c r="AB53" i="46"/>
  <c r="AB66" i="46" s="1"/>
  <c r="H11" i="39" s="1"/>
  <c r="BV18" i="25"/>
  <c r="BT88" i="24"/>
  <c r="BT89" i="24" s="1"/>
  <c r="BU84" i="24"/>
  <c r="BQ50" i="44"/>
  <c r="BS50" i="44" s="1"/>
  <c r="BW50" i="44" s="1"/>
  <c r="I50" i="44"/>
  <c r="Q50" i="44"/>
  <c r="J50" i="44"/>
  <c r="W78" i="45"/>
  <c r="Y14" i="43"/>
  <c r="Z70" i="44"/>
  <c r="Z82" i="44" s="1"/>
  <c r="V82" i="44"/>
  <c r="Q70" i="44"/>
  <c r="I70" i="44"/>
  <c r="J70" i="44"/>
  <c r="BQ70" i="44"/>
  <c r="BS70" i="44" s="1"/>
  <c r="BW70" i="44" s="1"/>
  <c r="I52" i="44"/>
  <c r="BQ52" i="44"/>
  <c r="BS52" i="44" s="1"/>
  <c r="BW52" i="44" s="1"/>
  <c r="Q52" i="44"/>
  <c r="J52" i="44"/>
  <c r="Q44" i="44"/>
  <c r="BQ44" i="44"/>
  <c r="BS44" i="44" s="1"/>
  <c r="BW44" i="44" s="1"/>
  <c r="J44" i="44"/>
  <c r="I44" i="44"/>
  <c r="G16" i="25"/>
  <c r="BT13" i="25"/>
  <c r="BN13" i="25"/>
  <c r="I13" i="25"/>
  <c r="I16" i="25" s="1"/>
  <c r="H13" i="25"/>
  <c r="T55" i="43"/>
  <c r="X55" i="43" s="1"/>
  <c r="V55" i="43"/>
  <c r="S55" i="43"/>
  <c r="W55" i="43" s="1"/>
  <c r="H49" i="44"/>
  <c r="U49" i="44"/>
  <c r="Y49" i="44" s="1"/>
  <c r="Q78" i="44"/>
  <c r="J78" i="44"/>
  <c r="BQ78" i="44"/>
  <c r="BS78" i="44" s="1"/>
  <c r="BW78" i="44" s="1"/>
  <c r="I78" i="44"/>
  <c r="J57" i="44"/>
  <c r="I57" i="44"/>
  <c r="Q57" i="44"/>
  <c r="BQ57" i="44"/>
  <c r="BS57" i="44" s="1"/>
  <c r="BW57" i="44" s="1"/>
  <c r="I97" i="45"/>
  <c r="H97" i="45"/>
  <c r="BP97" i="45"/>
  <c r="BR97" i="45" s="1"/>
  <c r="BV97" i="45" s="1"/>
  <c r="Y28" i="41"/>
  <c r="X28" i="41"/>
  <c r="I44" i="41"/>
  <c r="H44" i="41"/>
  <c r="P35" i="41"/>
  <c r="I35" i="41"/>
  <c r="BR35" i="41"/>
  <c r="BV35" i="41" s="1"/>
  <c r="H35" i="41"/>
  <c r="Y44" i="41"/>
  <c r="Y45" i="41" s="1"/>
  <c r="BP22" i="41"/>
  <c r="W44" i="41"/>
  <c r="W45" i="41" s="1"/>
  <c r="BN44" i="41"/>
  <c r="BR44" i="41" s="1"/>
  <c r="BV44" i="41" s="1"/>
  <c r="BR43" i="41"/>
  <c r="BV43" i="41" s="1"/>
  <c r="BR39" i="41"/>
  <c r="BP45" i="41"/>
  <c r="G23" i="41"/>
  <c r="P24" i="41"/>
  <c r="I24" i="41"/>
  <c r="H24" i="41"/>
  <c r="H41" i="41"/>
  <c r="I41" i="41"/>
  <c r="J32" i="43"/>
  <c r="I32" i="43"/>
  <c r="BQ32" i="43"/>
  <c r="BS32" i="43" s="1"/>
  <c r="BW32" i="43" s="1"/>
  <c r="U13" i="41"/>
  <c r="U20" i="41" s="1"/>
  <c r="R13" i="41"/>
  <c r="R20" i="41" s="1"/>
  <c r="T13" i="41"/>
  <c r="T20" i="41" s="1"/>
  <c r="S13" i="41"/>
  <c r="S20" i="41" s="1"/>
  <c r="F20" i="41"/>
  <c r="BP11" i="43"/>
  <c r="X88" i="44"/>
  <c r="X89" i="44" s="1"/>
  <c r="T89" i="44"/>
  <c r="V89" i="44"/>
  <c r="Z88" i="44"/>
  <c r="Z89" i="44" s="1"/>
  <c r="Y88" i="44"/>
  <c r="Y89" i="44" s="1"/>
  <c r="U89" i="44"/>
  <c r="J88" i="44"/>
  <c r="BQ88" i="44"/>
  <c r="BS88" i="44" s="1"/>
  <c r="BW88" i="44" s="1"/>
  <c r="I88" i="44"/>
  <c r="Q88" i="44"/>
  <c r="I77" i="44"/>
  <c r="Q77" i="44"/>
  <c r="J77" i="44"/>
  <c r="BQ77" i="44"/>
  <c r="BS77" i="44" s="1"/>
  <c r="BW77" i="44" s="1"/>
  <c r="I76" i="44"/>
  <c r="Q76" i="44"/>
  <c r="BQ76" i="44"/>
  <c r="BS76" i="44" s="1"/>
  <c r="BW76" i="44" s="1"/>
  <c r="J76" i="44"/>
  <c r="Q69" i="44"/>
  <c r="J69" i="44"/>
  <c r="I69" i="44"/>
  <c r="BQ69" i="44"/>
  <c r="BS69" i="44" s="1"/>
  <c r="BW69" i="44" s="1"/>
  <c r="Q68" i="44"/>
  <c r="J68" i="44"/>
  <c r="BQ68" i="44"/>
  <c r="BS68" i="44" s="1"/>
  <c r="BW68" i="44" s="1"/>
  <c r="I68" i="44"/>
  <c r="J58" i="44"/>
  <c r="BQ58" i="44"/>
  <c r="BS58" i="44" s="1"/>
  <c r="BW58" i="44" s="1"/>
  <c r="Q58" i="44"/>
  <c r="I58" i="44"/>
  <c r="Q51" i="44"/>
  <c r="I51" i="44"/>
  <c r="BQ51" i="44"/>
  <c r="BS51" i="44" s="1"/>
  <c r="BW51" i="44" s="1"/>
  <c r="J51" i="44"/>
  <c r="J45" i="44"/>
  <c r="BQ45" i="44"/>
  <c r="BS45" i="44" s="1"/>
  <c r="BW45" i="44" s="1"/>
  <c r="Q45" i="44"/>
  <c r="I45" i="44"/>
  <c r="X16" i="45"/>
  <c r="V13" i="45"/>
  <c r="R16" i="45"/>
  <c r="T16" i="45"/>
  <c r="BO13" i="45"/>
  <c r="BR13" i="45" s="1"/>
  <c r="BV13" i="45" s="1"/>
  <c r="I13" i="45"/>
  <c r="H13" i="45"/>
  <c r="H98" i="45"/>
  <c r="BP98" i="45"/>
  <c r="I98" i="45"/>
  <c r="BP49" i="47"/>
  <c r="BL50" i="47"/>
  <c r="BS10" i="47"/>
  <c r="BW10" i="47" s="1"/>
  <c r="I43" i="44"/>
  <c r="I38" i="44"/>
  <c r="J38" i="44"/>
  <c r="Q38" i="44"/>
  <c r="BQ38" i="44"/>
  <c r="BS38" i="44" s="1"/>
  <c r="BW38" i="44" s="1"/>
  <c r="W20" i="44"/>
  <c r="W33" i="44" s="1"/>
  <c r="X20" i="44"/>
  <c r="Y20" i="44"/>
  <c r="Y33" i="44" s="1"/>
  <c r="BW47" i="47"/>
  <c r="I44" i="47"/>
  <c r="J44" i="47"/>
  <c r="L48" i="42"/>
  <c r="X48" i="42"/>
  <c r="Y48" i="42"/>
  <c r="Z48" i="42"/>
  <c r="W52" i="42"/>
  <c r="AA48" i="42"/>
  <c r="Q36" i="43"/>
  <c r="I36" i="43"/>
  <c r="BQ36" i="43"/>
  <c r="J36" i="43"/>
  <c r="Y24" i="43"/>
  <c r="Y37" i="43" s="1"/>
  <c r="U37" i="43"/>
  <c r="Z24" i="43"/>
  <c r="V37" i="43"/>
  <c r="S37" i="43"/>
  <c r="W24" i="43"/>
  <c r="W37" i="43" s="1"/>
  <c r="T37" i="43"/>
  <c r="X24" i="43"/>
  <c r="X37" i="43" s="1"/>
  <c r="BQ24" i="43"/>
  <c r="I24" i="43"/>
  <c r="Q24" i="43"/>
  <c r="J24" i="43"/>
  <c r="X11" i="43"/>
  <c r="X14" i="43" s="1"/>
  <c r="T14" i="43"/>
  <c r="V14" i="43"/>
  <c r="Z11" i="43"/>
  <c r="Z14" i="43" s="1"/>
  <c r="W11" i="43"/>
  <c r="W14" i="43" s="1"/>
  <c r="S14" i="43"/>
  <c r="H89" i="44"/>
  <c r="F51" i="51" s="1"/>
  <c r="I86" i="44"/>
  <c r="Q86" i="44"/>
  <c r="J86" i="44"/>
  <c r="I59" i="44"/>
  <c r="Q59" i="44"/>
  <c r="BQ59" i="44"/>
  <c r="BS59" i="44" s="1"/>
  <c r="BW59" i="44" s="1"/>
  <c r="J59" i="44"/>
  <c r="J43" i="44"/>
  <c r="BQ43" i="44"/>
  <c r="BS43" i="44" s="1"/>
  <c r="BW43" i="44" s="1"/>
  <c r="Y42" i="44"/>
  <c r="I96" i="45"/>
  <c r="H96" i="45"/>
  <c r="BP96" i="45"/>
  <c r="BR96" i="45" s="1"/>
  <c r="BV96" i="45" s="1"/>
  <c r="I93" i="45"/>
  <c r="BP93" i="45"/>
  <c r="H93" i="45"/>
  <c r="BP90" i="45"/>
  <c r="BR90" i="45" s="1"/>
  <c r="BV90" i="45" s="1"/>
  <c r="M90" i="45"/>
  <c r="BP89" i="45"/>
  <c r="BR89" i="45" s="1"/>
  <c r="BV89" i="45" s="1"/>
  <c r="M89" i="45"/>
  <c r="M88" i="45"/>
  <c r="BP88" i="45"/>
  <c r="BR88" i="45" s="1"/>
  <c r="BV88" i="45" s="1"/>
  <c r="X88" i="45"/>
  <c r="T100" i="45"/>
  <c r="R100" i="45"/>
  <c r="BP85" i="45"/>
  <c r="BR85" i="45" s="1"/>
  <c r="BV85" i="45" s="1"/>
  <c r="M85" i="45"/>
  <c r="G100" i="45"/>
  <c r="BP82" i="45"/>
  <c r="BR82" i="45" s="1"/>
  <c r="BV82" i="45" s="1"/>
  <c r="M82" i="45"/>
  <c r="BP80" i="45"/>
  <c r="BR80" i="45" s="1"/>
  <c r="BV80" i="45" s="1"/>
  <c r="M80" i="45"/>
  <c r="BR78" i="45"/>
  <c r="M58" i="45"/>
  <c r="BN58" i="45"/>
  <c r="BR58" i="45" s="1"/>
  <c r="BV58" i="45" s="1"/>
  <c r="T76" i="45"/>
  <c r="S76" i="45"/>
  <c r="W54" i="45"/>
  <c r="BN44" i="45"/>
  <c r="BR44" i="45" s="1"/>
  <c r="BV44" i="45" s="1"/>
  <c r="M44" i="45"/>
  <c r="BJ101" i="45"/>
  <c r="BJ102" i="45" s="1"/>
  <c r="U52" i="45"/>
  <c r="Y41" i="45"/>
  <c r="Y52" i="45" s="1"/>
  <c r="R52" i="45"/>
  <c r="V41" i="45"/>
  <c r="V52" i="45" s="1"/>
  <c r="G52" i="45"/>
  <c r="R34" i="45"/>
  <c r="U34" i="45"/>
  <c r="BR24" i="45"/>
  <c r="V20" i="45"/>
  <c r="Y20" i="45"/>
  <c r="X20" i="45"/>
  <c r="S21" i="45"/>
  <c r="W20" i="45"/>
  <c r="W21" i="45" s="1"/>
  <c r="W43" i="47"/>
  <c r="Z25" i="47"/>
  <c r="W25" i="47"/>
  <c r="T26" i="47"/>
  <c r="X25" i="47"/>
  <c r="X26" i="47" s="1"/>
  <c r="BW25" i="47"/>
  <c r="Y25" i="47"/>
  <c r="I25" i="47"/>
  <c r="J25" i="47"/>
  <c r="J46" i="43"/>
  <c r="Q46" i="43"/>
  <c r="W46" i="43"/>
  <c r="I46" i="43"/>
  <c r="X46" i="43"/>
  <c r="I81" i="44"/>
  <c r="J81" i="44"/>
  <c r="Q81" i="44"/>
  <c r="BQ81" i="44"/>
  <c r="BS81" i="44" s="1"/>
  <c r="BW81" i="44" s="1"/>
  <c r="Y73" i="44"/>
  <c r="Y82" i="44" s="1"/>
  <c r="U82" i="44"/>
  <c r="J73" i="44"/>
  <c r="BQ73" i="44"/>
  <c r="BS73" i="44" s="1"/>
  <c r="BW73" i="44" s="1"/>
  <c r="I73" i="44"/>
  <c r="Q73" i="44"/>
  <c r="J71" i="44"/>
  <c r="I71" i="44"/>
  <c r="BQ71" i="44"/>
  <c r="H82" i="44"/>
  <c r="F50" i="51" s="1"/>
  <c r="Q71" i="44"/>
  <c r="X71" i="44"/>
  <c r="X82" i="44" s="1"/>
  <c r="T82" i="44"/>
  <c r="S82" i="44"/>
  <c r="W71" i="44"/>
  <c r="W82" i="44" s="1"/>
  <c r="T64" i="44"/>
  <c r="X46" i="44"/>
  <c r="X64" i="44" s="1"/>
  <c r="J46" i="44"/>
  <c r="Q46" i="44"/>
  <c r="I46" i="44"/>
  <c r="BQ46" i="44"/>
  <c r="W46" i="44"/>
  <c r="W64" i="44" s="1"/>
  <c r="S64" i="44"/>
  <c r="S40" i="44"/>
  <c r="W39" i="44"/>
  <c r="W40" i="44" s="1"/>
  <c r="U40" i="44"/>
  <c r="Y39" i="44"/>
  <c r="Y40" i="44" s="1"/>
  <c r="H40" i="44"/>
  <c r="F48" i="51" s="1"/>
  <c r="BQ39" i="44"/>
  <c r="Q39" i="44"/>
  <c r="J39" i="44"/>
  <c r="I39" i="44"/>
  <c r="X39" i="44"/>
  <c r="X40" i="44" s="1"/>
  <c r="T40" i="44"/>
  <c r="I28" i="45"/>
  <c r="H28" i="45"/>
  <c r="G34" i="45"/>
  <c r="W64" i="46"/>
  <c r="W65" i="46" s="1"/>
  <c r="S65" i="46"/>
  <c r="Q65" i="46"/>
  <c r="U64" i="46"/>
  <c r="U65" i="46" s="1"/>
  <c r="X64" i="46"/>
  <c r="X65" i="46" s="1"/>
  <c r="T65" i="46"/>
  <c r="V64" i="46"/>
  <c r="V65" i="46" s="1"/>
  <c r="R65" i="46"/>
  <c r="E42" i="51" l="1"/>
  <c r="U59" i="43"/>
  <c r="Q44" i="43"/>
  <c r="J44" i="43"/>
  <c r="E32" i="52"/>
  <c r="H32" i="52" s="1"/>
  <c r="BQ64" i="43"/>
  <c r="BS61" i="43"/>
  <c r="I44" i="43"/>
  <c r="E27" i="52"/>
  <c r="H27" i="52" s="1"/>
  <c r="BS36" i="43"/>
  <c r="BW36" i="43" s="1"/>
  <c r="BQ89" i="44"/>
  <c r="E22" i="52" s="1"/>
  <c r="H22" i="52" s="1"/>
  <c r="X19" i="44"/>
  <c r="X33" i="44" s="1"/>
  <c r="X90" i="44" s="1"/>
  <c r="T33" i="44"/>
  <c r="T90" i="44" s="1"/>
  <c r="BS19" i="44"/>
  <c r="D16" i="52"/>
  <c r="H16" i="52" s="1"/>
  <c r="BP33" i="44"/>
  <c r="BP90" i="44" s="1"/>
  <c r="BP92" i="44" s="1"/>
  <c r="BW84" i="44"/>
  <c r="BW89" i="44" s="1"/>
  <c r="BS89" i="44"/>
  <c r="BT33" i="44"/>
  <c r="BT90" i="44" s="1"/>
  <c r="BT92" i="44" s="1"/>
  <c r="BV28" i="44"/>
  <c r="BW28" i="44" s="1"/>
  <c r="M41" i="45"/>
  <c r="F101" i="45"/>
  <c r="X41" i="45"/>
  <c r="X52" i="45" s="1"/>
  <c r="U21" i="45"/>
  <c r="T21" i="45"/>
  <c r="F102" i="45"/>
  <c r="G76" i="45"/>
  <c r="X21" i="45"/>
  <c r="U76" i="45"/>
  <c r="U101" i="45" s="1"/>
  <c r="M54" i="45"/>
  <c r="M76" i="45" s="1"/>
  <c r="I12" i="45"/>
  <c r="I16" i="45" s="1"/>
  <c r="Y21" i="45"/>
  <c r="BR93" i="45"/>
  <c r="BV93" i="45" s="1"/>
  <c r="E13" i="52"/>
  <c r="H13" i="52" s="1"/>
  <c r="BU20" i="45"/>
  <c r="BS21" i="45"/>
  <c r="BS102" i="45" s="1"/>
  <c r="E10" i="52"/>
  <c r="H10" i="52" s="1"/>
  <c r="BR27" i="45"/>
  <c r="BV27" i="45" s="1"/>
  <c r="V21" i="45"/>
  <c r="BR98" i="45"/>
  <c r="BV98" i="45" s="1"/>
  <c r="E14" i="52"/>
  <c r="H14" i="52" s="1"/>
  <c r="BR19" i="45"/>
  <c r="BV19" i="45" s="1"/>
  <c r="BP21" i="45"/>
  <c r="E8" i="52" s="1"/>
  <c r="BR18" i="45"/>
  <c r="BO21" i="45"/>
  <c r="D8" i="52" s="1"/>
  <c r="BO12" i="45"/>
  <c r="BR25" i="45"/>
  <c r="BV25" i="45" s="1"/>
  <c r="C9" i="52"/>
  <c r="BR28" i="45"/>
  <c r="BV28" i="45" s="1"/>
  <c r="E11" i="52"/>
  <c r="H11" i="52" s="1"/>
  <c r="C51" i="52"/>
  <c r="X12" i="42"/>
  <c r="I15" i="42"/>
  <c r="Z12" i="42"/>
  <c r="Y12" i="42"/>
  <c r="H36" i="52"/>
  <c r="E51" i="52"/>
  <c r="H51" i="52" s="1"/>
  <c r="BR46" i="42"/>
  <c r="E73" i="51"/>
  <c r="K42" i="42"/>
  <c r="I46" i="42"/>
  <c r="BX39" i="42"/>
  <c r="G26" i="47"/>
  <c r="E9" i="51"/>
  <c r="E21" i="51" s="1"/>
  <c r="E32" i="51"/>
  <c r="H64" i="46"/>
  <c r="H65" i="46" s="1"/>
  <c r="F31" i="51"/>
  <c r="J42" i="42"/>
  <c r="I48" i="47"/>
  <c r="F19" i="51"/>
  <c r="J35" i="43"/>
  <c r="F57" i="51"/>
  <c r="F35" i="51"/>
  <c r="F63" i="51"/>
  <c r="I61" i="43"/>
  <c r="G37" i="41"/>
  <c r="F80" i="51"/>
  <c r="F85" i="51" s="1"/>
  <c r="J31" i="44"/>
  <c r="F46" i="51"/>
  <c r="I55" i="43"/>
  <c r="F61" i="51"/>
  <c r="J33" i="42"/>
  <c r="J39" i="42" s="1"/>
  <c r="F68" i="51"/>
  <c r="F73" i="51" s="1"/>
  <c r="X14" i="46"/>
  <c r="X15" i="46" s="1"/>
  <c r="F25" i="51"/>
  <c r="H53" i="42"/>
  <c r="U15" i="42"/>
  <c r="R21" i="45"/>
  <c r="W41" i="45"/>
  <c r="W52" i="45" s="1"/>
  <c r="W12" i="45"/>
  <c r="W16" i="45" s="1"/>
  <c r="G16" i="45"/>
  <c r="F34" i="51" s="1"/>
  <c r="U16" i="45"/>
  <c r="S100" i="45"/>
  <c r="S101" i="45" s="1"/>
  <c r="S102" i="45" s="1"/>
  <c r="F15" i="39"/>
  <c r="AP15" i="39" s="1"/>
  <c r="G105" i="45"/>
  <c r="BR37" i="45"/>
  <c r="J39" i="45"/>
  <c r="J61" i="43"/>
  <c r="I64" i="43"/>
  <c r="W15" i="42"/>
  <c r="T15" i="42"/>
  <c r="F15" i="46"/>
  <c r="I88" i="24"/>
  <c r="L37" i="41"/>
  <c r="F42" i="46"/>
  <c r="F28" i="51" s="1"/>
  <c r="H42" i="46"/>
  <c r="BQ30" i="26"/>
  <c r="BS30" i="26" s="1"/>
  <c r="BW30" i="26" s="1"/>
  <c r="J30" i="26"/>
  <c r="J34" i="26" s="1"/>
  <c r="BQ35" i="43"/>
  <c r="R76" i="45"/>
  <c r="Y59" i="43"/>
  <c r="Q66" i="45"/>
  <c r="Q76" i="45" s="1"/>
  <c r="Q101" i="45" s="1"/>
  <c r="Q102" i="45" s="1"/>
  <c r="N15" i="20" s="1"/>
  <c r="N18" i="20" s="1"/>
  <c r="G38" i="46"/>
  <c r="G42" i="46" s="1"/>
  <c r="AB14" i="47"/>
  <c r="AM31" i="39"/>
  <c r="X49" i="42"/>
  <c r="X52" i="42" s="1"/>
  <c r="Y49" i="42"/>
  <c r="Y52" i="42" s="1"/>
  <c r="Z49" i="42"/>
  <c r="Z52" i="42" s="1"/>
  <c r="AA49" i="42"/>
  <c r="AA52" i="42" s="1"/>
  <c r="T52" i="42"/>
  <c r="K49" i="42"/>
  <c r="R49" i="42"/>
  <c r="AD90" i="44"/>
  <c r="AD92" i="44" s="1"/>
  <c r="H16" i="39" s="1"/>
  <c r="H18" i="39" s="1"/>
  <c r="Q31" i="44"/>
  <c r="Q33" i="44" s="1"/>
  <c r="W37" i="41"/>
  <c r="J46" i="42"/>
  <c r="K46" i="42"/>
  <c r="F65" i="46"/>
  <c r="G64" i="46"/>
  <c r="G65" i="46" s="1"/>
  <c r="BN52" i="46"/>
  <c r="BQ52" i="46" s="1"/>
  <c r="BU52" i="46" s="1"/>
  <c r="BU53" i="46" s="1"/>
  <c r="F52" i="46"/>
  <c r="H52" i="46" s="1"/>
  <c r="K42" i="24"/>
  <c r="J48" i="24"/>
  <c r="J89" i="24" s="1"/>
  <c r="G26" i="20" s="1"/>
  <c r="G29" i="20" s="1"/>
  <c r="AF23" i="39"/>
  <c r="L52" i="42"/>
  <c r="L53" i="42" s="1"/>
  <c r="G21" i="20" s="1"/>
  <c r="Q59" i="43"/>
  <c r="BQ35" i="46"/>
  <c r="AH10" i="39"/>
  <c r="AH12" i="39" s="1"/>
  <c r="AL10" i="39"/>
  <c r="AL12" i="39" s="1"/>
  <c r="AJ10" i="39"/>
  <c r="AJ12" i="39" s="1"/>
  <c r="P10" i="39"/>
  <c r="P12" i="39" s="1"/>
  <c r="AF10" i="39"/>
  <c r="AF12" i="39" s="1"/>
  <c r="AD10" i="39"/>
  <c r="AN10" i="39"/>
  <c r="AN12" i="39" s="1"/>
  <c r="BO76" i="45"/>
  <c r="BO101" i="45" s="1"/>
  <c r="BR66" i="45"/>
  <c r="BV66" i="45" s="1"/>
  <c r="Y46" i="42"/>
  <c r="K12" i="39"/>
  <c r="G50" i="47"/>
  <c r="S47" i="47"/>
  <c r="W47" i="47" s="1"/>
  <c r="W50" i="47" s="1"/>
  <c r="BN35" i="46"/>
  <c r="BJ32" i="46"/>
  <c r="S32" i="46"/>
  <c r="R25" i="46"/>
  <c r="J23" i="39"/>
  <c r="AP28" i="39"/>
  <c r="H45" i="41"/>
  <c r="AO11" i="39"/>
  <c r="AN29" i="39"/>
  <c r="Z35" i="26"/>
  <c r="BP35" i="26"/>
  <c r="AI31" i="39"/>
  <c r="AA57" i="25"/>
  <c r="AP27" i="39"/>
  <c r="H16" i="25"/>
  <c r="Q25" i="46"/>
  <c r="T47" i="47"/>
  <c r="H35" i="26"/>
  <c r="I30" i="26"/>
  <c r="I34" i="26" s="1"/>
  <c r="Y16" i="25"/>
  <c r="Y28" i="42"/>
  <c r="X15" i="42"/>
  <c r="BN65" i="46"/>
  <c r="G12" i="46"/>
  <c r="G15" i="46" s="1"/>
  <c r="H12" i="46"/>
  <c r="H15" i="46" s="1"/>
  <c r="T35" i="26"/>
  <c r="BK56" i="25"/>
  <c r="I48" i="25"/>
  <c r="Z28" i="42"/>
  <c r="Z37" i="43"/>
  <c r="V25" i="46"/>
  <c r="BQ25" i="46"/>
  <c r="H48" i="25"/>
  <c r="AA15" i="42"/>
  <c r="N28" i="42"/>
  <c r="K33" i="42"/>
  <c r="K39" i="42" s="1"/>
  <c r="I39" i="42"/>
  <c r="Y39" i="42"/>
  <c r="Z46" i="42"/>
  <c r="N39" i="42"/>
  <c r="X28" i="42"/>
  <c r="Y15" i="42"/>
  <c r="M53" i="42"/>
  <c r="H21" i="20" s="1"/>
  <c r="T18" i="39"/>
  <c r="Z12" i="44"/>
  <c r="Z13" i="44" s="1"/>
  <c r="Z16" i="44" s="1"/>
  <c r="U25" i="46"/>
  <c r="G21" i="46"/>
  <c r="G25" i="46" s="1"/>
  <c r="X35" i="26"/>
  <c r="Y37" i="41"/>
  <c r="X37" i="41"/>
  <c r="M37" i="43"/>
  <c r="M65" i="43" s="1"/>
  <c r="I17" i="20" s="1"/>
  <c r="S25" i="46"/>
  <c r="W25" i="46"/>
  <c r="R46" i="41"/>
  <c r="X46" i="42"/>
  <c r="BT39" i="42"/>
  <c r="H28" i="46"/>
  <c r="H32" i="46" s="1"/>
  <c r="R32" i="46"/>
  <c r="G28" i="46"/>
  <c r="G32" i="46" s="1"/>
  <c r="AA39" i="42"/>
  <c r="U46" i="41"/>
  <c r="H59" i="43"/>
  <c r="I31" i="44"/>
  <c r="I33" i="44" s="1"/>
  <c r="BJ42" i="46"/>
  <c r="BI66" i="46"/>
  <c r="H21" i="46"/>
  <c r="H25" i="46" s="1"/>
  <c r="I47" i="44"/>
  <c r="I45" i="41"/>
  <c r="I52" i="42"/>
  <c r="T53" i="46"/>
  <c r="T66" i="46" s="1"/>
  <c r="S26" i="47"/>
  <c r="W26" i="47"/>
  <c r="BK20" i="41"/>
  <c r="BK46" i="41" s="1"/>
  <c r="AA28" i="42"/>
  <c r="J55" i="43"/>
  <c r="J59" i="43" s="1"/>
  <c r="E66" i="46"/>
  <c r="V45" i="47"/>
  <c r="H34" i="45"/>
  <c r="U28" i="46"/>
  <c r="U32" i="46" s="1"/>
  <c r="P19" i="41"/>
  <c r="I19" i="41"/>
  <c r="H19" i="41"/>
  <c r="BQ55" i="43"/>
  <c r="AO16" i="39"/>
  <c r="AO18" i="39" s="1"/>
  <c r="I34" i="45"/>
  <c r="V16" i="45"/>
  <c r="Y16" i="45"/>
  <c r="BP34" i="45"/>
  <c r="H35" i="47"/>
  <c r="I35" i="47" s="1"/>
  <c r="H50" i="47"/>
  <c r="U26" i="47"/>
  <c r="Y26" i="47"/>
  <c r="J48" i="47"/>
  <c r="J50" i="47" s="1"/>
  <c r="BP21" i="47"/>
  <c r="BS21" i="47" s="1"/>
  <c r="BL26" i="47"/>
  <c r="V26" i="47"/>
  <c r="U45" i="47"/>
  <c r="I23" i="47"/>
  <c r="J23" i="47"/>
  <c r="I50" i="47"/>
  <c r="AB22" i="39"/>
  <c r="AB23" i="39" s="1"/>
  <c r="S46" i="41"/>
  <c r="T46" i="41"/>
  <c r="W90" i="44"/>
  <c r="S90" i="44"/>
  <c r="V90" i="44"/>
  <c r="V92" i="44" s="1"/>
  <c r="T13" i="44"/>
  <c r="T16" i="44" s="1"/>
  <c r="X12" i="44"/>
  <c r="BQ47" i="44"/>
  <c r="BS47" i="44" s="1"/>
  <c r="BW47" i="44" s="1"/>
  <c r="N13" i="44"/>
  <c r="N16" i="44" s="1"/>
  <c r="N92" i="44" s="1"/>
  <c r="J16" i="20" s="1"/>
  <c r="S13" i="44"/>
  <c r="S16" i="44" s="1"/>
  <c r="W12" i="44"/>
  <c r="BQ13" i="44"/>
  <c r="BQ16" i="44" s="1"/>
  <c r="H15" i="52" s="1"/>
  <c r="BS12" i="44"/>
  <c r="J47" i="44"/>
  <c r="H64" i="44"/>
  <c r="F49" i="51" s="1"/>
  <c r="AH18" i="39"/>
  <c r="U13" i="44"/>
  <c r="U16" i="44" s="1"/>
  <c r="Y12" i="44"/>
  <c r="Y13" i="44" s="1"/>
  <c r="Y16" i="44" s="1"/>
  <c r="AB18" i="39"/>
  <c r="R23" i="39"/>
  <c r="I18" i="41"/>
  <c r="G20" i="41"/>
  <c r="AH23" i="39"/>
  <c r="V23" i="39"/>
  <c r="AD23" i="39"/>
  <c r="AL22" i="39"/>
  <c r="AL23" i="39" s="1"/>
  <c r="M29" i="44"/>
  <c r="AN18" i="39"/>
  <c r="AK31" i="39"/>
  <c r="H19" i="47"/>
  <c r="BU25" i="46"/>
  <c r="X53" i="46"/>
  <c r="S53" i="46"/>
  <c r="BJ25" i="46"/>
  <c r="AJ18" i="39"/>
  <c r="H23" i="39"/>
  <c r="R18" i="39"/>
  <c r="Z15" i="42"/>
  <c r="T45" i="47"/>
  <c r="S45" i="47"/>
  <c r="U53" i="46"/>
  <c r="BN25" i="46"/>
  <c r="F89" i="24"/>
  <c r="Z39" i="42"/>
  <c r="W53" i="46"/>
  <c r="AF18" i="39"/>
  <c r="G90" i="44"/>
  <c r="G92" i="44" s="1"/>
  <c r="V18" i="39"/>
  <c r="Z23" i="39"/>
  <c r="X23" i="39"/>
  <c r="T23" i="39"/>
  <c r="L23" i="39"/>
  <c r="Q89" i="44"/>
  <c r="N46" i="42"/>
  <c r="AA46" i="42"/>
  <c r="AN23" i="39"/>
  <c r="P18" i="41"/>
  <c r="H18" i="41"/>
  <c r="P23" i="39"/>
  <c r="K65" i="43"/>
  <c r="G17" i="20" s="1"/>
  <c r="N23" i="39"/>
  <c r="BT41" i="42"/>
  <c r="BX41" i="42" s="1"/>
  <c r="BX46" i="42" s="1"/>
  <c r="BU36" i="25"/>
  <c r="BS48" i="25"/>
  <c r="BS56" i="25" s="1"/>
  <c r="J64" i="43"/>
  <c r="P18" i="39"/>
  <c r="Z18" i="39"/>
  <c r="L18" i="39"/>
  <c r="F23" i="39"/>
  <c r="X39" i="42"/>
  <c r="BT15" i="42"/>
  <c r="BX15" i="42"/>
  <c r="N18" i="39"/>
  <c r="J20" i="44"/>
  <c r="J33" i="44" s="1"/>
  <c r="M25" i="44"/>
  <c r="AO23" i="39"/>
  <c r="BT21" i="42"/>
  <c r="BP28" i="42"/>
  <c r="L76" i="45"/>
  <c r="L101" i="45" s="1"/>
  <c r="L102" i="45" s="1"/>
  <c r="I15" i="20" s="1"/>
  <c r="BS20" i="44"/>
  <c r="J89" i="44"/>
  <c r="X18" i="39"/>
  <c r="X100" i="45"/>
  <c r="Y34" i="45"/>
  <c r="V34" i="45"/>
  <c r="W34" i="45"/>
  <c r="X76" i="45"/>
  <c r="X34" i="45"/>
  <c r="M34" i="45"/>
  <c r="BN34" i="45"/>
  <c r="W100" i="45"/>
  <c r="BM53" i="42"/>
  <c r="AP21" i="39"/>
  <c r="AJ23" i="39"/>
  <c r="X59" i="43"/>
  <c r="AD18" i="39"/>
  <c r="AP17" i="39"/>
  <c r="AL18" i="39"/>
  <c r="J76" i="45"/>
  <c r="J101" i="45" s="1"/>
  <c r="J102" i="45" s="1"/>
  <c r="G15" i="20" s="1"/>
  <c r="V100" i="45"/>
  <c r="I19" i="24"/>
  <c r="I25" i="24" s="1"/>
  <c r="G25" i="24"/>
  <c r="BP25" i="24" s="1"/>
  <c r="BR25" i="24" s="1"/>
  <c r="BV25" i="24" s="1"/>
  <c r="H19" i="24"/>
  <c r="H25" i="24" s="1"/>
  <c r="AA17" i="42"/>
  <c r="AA19" i="42" s="1"/>
  <c r="W19" i="42"/>
  <c r="H50" i="46"/>
  <c r="G50" i="46"/>
  <c r="BQ31" i="47"/>
  <c r="BL33" i="47"/>
  <c r="R53" i="46"/>
  <c r="I46" i="24"/>
  <c r="I48" i="24" s="1"/>
  <c r="H46" i="24"/>
  <c r="S31" i="47"/>
  <c r="T31" i="47"/>
  <c r="H31" i="47"/>
  <c r="F17" i="51" s="1"/>
  <c r="V31" i="47"/>
  <c r="U31" i="47"/>
  <c r="G33" i="47"/>
  <c r="W19" i="24"/>
  <c r="W25" i="24" s="1"/>
  <c r="S25" i="24"/>
  <c r="P17" i="42"/>
  <c r="P19" i="42" s="1"/>
  <c r="P53" i="42" s="1"/>
  <c r="K21" i="20" s="1"/>
  <c r="BP17" i="42"/>
  <c r="I19" i="42"/>
  <c r="BW25" i="44"/>
  <c r="T59" i="43"/>
  <c r="T65" i="43" s="1"/>
  <c r="V53" i="46"/>
  <c r="H48" i="24"/>
  <c r="I79" i="24"/>
  <c r="X17" i="42"/>
  <c r="X19" i="42" s="1"/>
  <c r="T19" i="42"/>
  <c r="BR52" i="42"/>
  <c r="BR53" i="42" s="1"/>
  <c r="BT48" i="42"/>
  <c r="Y64" i="44"/>
  <c r="H33" i="24"/>
  <c r="I30" i="25"/>
  <c r="Z17" i="42"/>
  <c r="Z19" i="42" s="1"/>
  <c r="V19" i="42"/>
  <c r="V53" i="42" s="1"/>
  <c r="BP32" i="47"/>
  <c r="I32" i="47"/>
  <c r="J32" i="47"/>
  <c r="Y17" i="42"/>
  <c r="Y19" i="42" s="1"/>
  <c r="U19" i="42"/>
  <c r="U53" i="42" s="1"/>
  <c r="T54" i="25"/>
  <c r="S54" i="25"/>
  <c r="R54" i="25"/>
  <c r="U54" i="25"/>
  <c r="G54" i="25"/>
  <c r="F55" i="25"/>
  <c r="F56" i="25" s="1"/>
  <c r="K50" i="42"/>
  <c r="K52" i="42" s="1"/>
  <c r="R50" i="42"/>
  <c r="J50" i="42"/>
  <c r="J52" i="42" s="1"/>
  <c r="BL14" i="43"/>
  <c r="BL65" i="43" s="1"/>
  <c r="BK15" i="47"/>
  <c r="BK51" i="47" s="1"/>
  <c r="J40" i="44"/>
  <c r="Q40" i="44"/>
  <c r="E12" i="39"/>
  <c r="AO10" i="39"/>
  <c r="BQ44" i="43"/>
  <c r="BQ16" i="46"/>
  <c r="BO17" i="46"/>
  <c r="BO66" i="46" s="1"/>
  <c r="H79" i="24"/>
  <c r="BN37" i="41"/>
  <c r="Z45" i="47"/>
  <c r="G52" i="46"/>
  <c r="X47" i="47"/>
  <c r="X50" i="47" s="1"/>
  <c r="T50" i="47"/>
  <c r="Z21" i="47"/>
  <c r="Z26" i="47" s="1"/>
  <c r="J21" i="47"/>
  <c r="I21" i="47"/>
  <c r="J13" i="43"/>
  <c r="J14" i="43" s="1"/>
  <c r="BP13" i="43"/>
  <c r="BS13" i="43" s="1"/>
  <c r="BW13" i="43" s="1"/>
  <c r="I13" i="43"/>
  <c r="I14" i="43" s="1"/>
  <c r="I14" i="26"/>
  <c r="I35" i="26" s="1"/>
  <c r="E28" i="20" s="1"/>
  <c r="S13" i="47"/>
  <c r="U13" i="47"/>
  <c r="V13" i="47"/>
  <c r="H13" i="47"/>
  <c r="F5" i="51" s="1"/>
  <c r="T13" i="47"/>
  <c r="G15" i="47"/>
  <c r="BS79" i="24"/>
  <c r="Y76" i="45"/>
  <c r="BN45" i="41"/>
  <c r="Y45" i="47"/>
  <c r="H30" i="25"/>
  <c r="BL14" i="47"/>
  <c r="AB15" i="47"/>
  <c r="BW13" i="26"/>
  <c r="BW14" i="26" s="1"/>
  <c r="BS14" i="26"/>
  <c r="V50" i="47"/>
  <c r="Z47" i="47"/>
  <c r="Z50" i="47" s="1"/>
  <c r="BU53" i="25"/>
  <c r="J14" i="26"/>
  <c r="J35" i="26" s="1"/>
  <c r="F28" i="20" s="1"/>
  <c r="BW39" i="43"/>
  <c r="BW44" i="43" s="1"/>
  <c r="BS44" i="43"/>
  <c r="W59" i="43"/>
  <c r="P13" i="41"/>
  <c r="H13" i="41"/>
  <c r="X45" i="47"/>
  <c r="Q53" i="46"/>
  <c r="H21" i="45"/>
  <c r="BS18" i="26"/>
  <c r="BW16" i="26"/>
  <c r="BW18" i="26" s="1"/>
  <c r="T14" i="47"/>
  <c r="X14" i="47" s="1"/>
  <c r="U14" i="47"/>
  <c r="Y14" i="47" s="1"/>
  <c r="S14" i="47"/>
  <c r="W14" i="47" s="1"/>
  <c r="V14" i="47"/>
  <c r="Z14" i="47" s="1"/>
  <c r="H14" i="47"/>
  <c r="F6" i="51" s="1"/>
  <c r="U35" i="26"/>
  <c r="BQ38" i="46"/>
  <c r="BN42" i="46"/>
  <c r="BU19" i="25"/>
  <c r="BT30" i="25"/>
  <c r="BR18" i="41"/>
  <c r="BV18" i="41" s="1"/>
  <c r="BP20" i="41"/>
  <c r="U65" i="43"/>
  <c r="W45" i="47"/>
  <c r="BU59" i="46"/>
  <c r="BU62" i="46" s="1"/>
  <c r="BQ62" i="46"/>
  <c r="F53" i="46"/>
  <c r="F29" i="51" s="1"/>
  <c r="I21" i="45"/>
  <c r="BU12" i="46"/>
  <c r="BU15" i="46" s="1"/>
  <c r="BQ15" i="46"/>
  <c r="BR24" i="25"/>
  <c r="BP30" i="25"/>
  <c r="BP56" i="25" s="1"/>
  <c r="W17" i="43"/>
  <c r="W22" i="43" s="1"/>
  <c r="X17" i="43"/>
  <c r="X22" i="43" s="1"/>
  <c r="Q17" i="43"/>
  <c r="Q22" i="43" s="1"/>
  <c r="Z17" i="43"/>
  <c r="Z22" i="43" s="1"/>
  <c r="H22" i="43"/>
  <c r="Y17" i="43"/>
  <c r="Y22" i="43" s="1"/>
  <c r="Y65" i="43" s="1"/>
  <c r="BQ17" i="43"/>
  <c r="J17" i="43"/>
  <c r="J22" i="43" s="1"/>
  <c r="BS39" i="47"/>
  <c r="W76" i="45"/>
  <c r="V76" i="45"/>
  <c r="H100" i="45"/>
  <c r="BK101" i="45"/>
  <c r="BK102" i="45" s="1"/>
  <c r="M36" i="45"/>
  <c r="M39" i="45" s="1"/>
  <c r="V36" i="45"/>
  <c r="V39" i="45" s="1"/>
  <c r="W36" i="45"/>
  <c r="W39" i="45" s="1"/>
  <c r="G39" i="45"/>
  <c r="G101" i="45" s="1"/>
  <c r="G102" i="45" s="1"/>
  <c r="X36" i="45"/>
  <c r="X39" i="45" s="1"/>
  <c r="BN36" i="45"/>
  <c r="Y36" i="45"/>
  <c r="Y39" i="45" s="1"/>
  <c r="BJ47" i="46"/>
  <c r="AX53" i="46"/>
  <c r="BU88" i="24"/>
  <c r="BV84" i="24"/>
  <c r="BV88" i="24" s="1"/>
  <c r="H16" i="45"/>
  <c r="BR13" i="25"/>
  <c r="BN16" i="25"/>
  <c r="BN56" i="25" s="1"/>
  <c r="BT16" i="25"/>
  <c r="BU13" i="25"/>
  <c r="BU16" i="25" s="1"/>
  <c r="S59" i="43"/>
  <c r="S65" i="43" s="1"/>
  <c r="Z55" i="43"/>
  <c r="Z59" i="43" s="1"/>
  <c r="V59" i="43"/>
  <c r="V65" i="43" s="1"/>
  <c r="I59" i="43"/>
  <c r="U64" i="44"/>
  <c r="U90" i="44" s="1"/>
  <c r="BQ49" i="44"/>
  <c r="BS49" i="44" s="1"/>
  <c r="BW49" i="44" s="1"/>
  <c r="I49" i="44"/>
  <c r="Q49" i="44"/>
  <c r="Q64" i="44" s="1"/>
  <c r="J49" i="44"/>
  <c r="F46" i="41"/>
  <c r="I23" i="41"/>
  <c r="I37" i="41" s="1"/>
  <c r="H23" i="41"/>
  <c r="H37" i="41" s="1"/>
  <c r="P23" i="41"/>
  <c r="P37" i="41" s="1"/>
  <c r="BV39" i="41"/>
  <c r="BV45" i="41" s="1"/>
  <c r="BR45" i="41"/>
  <c r="BR22" i="41"/>
  <c r="BP37" i="41"/>
  <c r="I37" i="43"/>
  <c r="L13" i="41"/>
  <c r="L20" i="41" s="1"/>
  <c r="I13" i="41"/>
  <c r="N13" i="41"/>
  <c r="K13" i="41"/>
  <c r="K20" i="41" s="1"/>
  <c r="K46" i="41" s="1"/>
  <c r="J13" i="41"/>
  <c r="M13" i="41"/>
  <c r="Q13" i="41"/>
  <c r="Q20" i="41" s="1"/>
  <c r="Q46" i="41" s="1"/>
  <c r="O13" i="41"/>
  <c r="O20" i="41" s="1"/>
  <c r="O46" i="41" s="1"/>
  <c r="BN13" i="41"/>
  <c r="W13" i="41"/>
  <c r="W20" i="41" s="1"/>
  <c r="X13" i="41"/>
  <c r="X20" i="41" s="1"/>
  <c r="V13" i="41"/>
  <c r="V20" i="41" s="1"/>
  <c r="V46" i="41" s="1"/>
  <c r="Y13" i="41"/>
  <c r="Y20" i="41" s="1"/>
  <c r="BS11" i="43"/>
  <c r="I89" i="44"/>
  <c r="I82" i="44"/>
  <c r="Q82" i="44"/>
  <c r="BO16" i="45"/>
  <c r="D7" i="52" s="1"/>
  <c r="BR12" i="45"/>
  <c r="BQ28" i="46"/>
  <c r="BN32" i="46"/>
  <c r="BS49" i="47"/>
  <c r="BP50" i="47"/>
  <c r="I40" i="44"/>
  <c r="Z20" i="44"/>
  <c r="J37" i="43"/>
  <c r="Q37" i="43"/>
  <c r="BS24" i="43"/>
  <c r="BQ37" i="43"/>
  <c r="BO90" i="44"/>
  <c r="BO92" i="44" s="1"/>
  <c r="I100" i="45"/>
  <c r="M100" i="45"/>
  <c r="BP100" i="45"/>
  <c r="BV78" i="45"/>
  <c r="BR54" i="45"/>
  <c r="BN76" i="45"/>
  <c r="T101" i="45"/>
  <c r="T102" i="45" s="1"/>
  <c r="M52" i="45"/>
  <c r="BR41" i="45"/>
  <c r="BN52" i="45"/>
  <c r="BV24" i="45"/>
  <c r="AB43" i="47"/>
  <c r="AB45" i="47" s="1"/>
  <c r="BS46" i="43"/>
  <c r="BO59" i="43"/>
  <c r="BO65" i="43" s="1"/>
  <c r="J82" i="44"/>
  <c r="BS71" i="44"/>
  <c r="BQ82" i="44"/>
  <c r="E21" i="52" s="1"/>
  <c r="H21" i="52" s="1"/>
  <c r="BS46" i="44"/>
  <c r="BS39" i="44"/>
  <c r="BQ40" i="44"/>
  <c r="E19" i="52" s="1"/>
  <c r="H19" i="52" s="1"/>
  <c r="BU64" i="46"/>
  <c r="BU65" i="46" s="1"/>
  <c r="BQ65" i="46"/>
  <c r="F65" i="51" l="1"/>
  <c r="E26" i="52"/>
  <c r="H26" i="52" s="1"/>
  <c r="BS35" i="43"/>
  <c r="BW35" i="43" s="1"/>
  <c r="BQ59" i="43"/>
  <c r="E30" i="52"/>
  <c r="H30" i="52" s="1"/>
  <c r="BW61" i="43"/>
  <c r="BW64" i="43" s="1"/>
  <c r="BS64" i="43"/>
  <c r="Z33" i="44"/>
  <c r="Z90" i="44" s="1"/>
  <c r="Z92" i="44" s="1"/>
  <c r="BW19" i="44"/>
  <c r="BS33" i="44"/>
  <c r="F18" i="39"/>
  <c r="H9" i="52"/>
  <c r="C35" i="52"/>
  <c r="BV34" i="45"/>
  <c r="BV20" i="45"/>
  <c r="BU21" i="45"/>
  <c r="F42" i="51"/>
  <c r="BR34" i="45"/>
  <c r="H7" i="52"/>
  <c r="BR100" i="45"/>
  <c r="U102" i="45"/>
  <c r="BV100" i="45"/>
  <c r="BV18" i="45"/>
  <c r="BR21" i="45"/>
  <c r="W53" i="42"/>
  <c r="BO102" i="45"/>
  <c r="BQ34" i="26"/>
  <c r="G46" i="41"/>
  <c r="BN53" i="46"/>
  <c r="F53" i="51"/>
  <c r="I19" i="47"/>
  <c r="F9" i="51"/>
  <c r="G107" i="45"/>
  <c r="BV37" i="45"/>
  <c r="R39" i="45" s="1"/>
  <c r="R101" i="45" s="1"/>
  <c r="R102" i="45" s="1"/>
  <c r="N39" i="45"/>
  <c r="N101" i="45" s="1"/>
  <c r="N102" i="45" s="1"/>
  <c r="K15" i="20" s="1"/>
  <c r="K18" i="20" s="1"/>
  <c r="H53" i="46"/>
  <c r="BQ53" i="46"/>
  <c r="L46" i="41"/>
  <c r="I22" i="20" s="1"/>
  <c r="R52" i="42"/>
  <c r="R53" i="42" s="1"/>
  <c r="M21" i="20" s="1"/>
  <c r="T53" i="42"/>
  <c r="W46" i="41"/>
  <c r="J53" i="42"/>
  <c r="E21" i="20" s="1"/>
  <c r="L42" i="24"/>
  <c r="K48" i="24"/>
  <c r="K89" i="24" s="1"/>
  <c r="H26" i="20" s="1"/>
  <c r="H29" i="20" s="1"/>
  <c r="G104" i="45"/>
  <c r="D20" i="50"/>
  <c r="P28" i="20" s="1"/>
  <c r="H38" i="26"/>
  <c r="J35" i="47"/>
  <c r="S50" i="47"/>
  <c r="AO12" i="39"/>
  <c r="X46" i="41"/>
  <c r="I89" i="24"/>
  <c r="F26" i="20" s="1"/>
  <c r="H89" i="24"/>
  <c r="E26" i="20" s="1"/>
  <c r="D28" i="39"/>
  <c r="AR28" i="39" s="1"/>
  <c r="Q66" i="46"/>
  <c r="Y53" i="42"/>
  <c r="S66" i="46"/>
  <c r="K53" i="42"/>
  <c r="N53" i="42"/>
  <c r="I21" i="20" s="1"/>
  <c r="G53" i="46"/>
  <c r="V66" i="46"/>
  <c r="Y46" i="41"/>
  <c r="O28" i="20"/>
  <c r="U92" i="44"/>
  <c r="R66" i="46"/>
  <c r="H65" i="43"/>
  <c r="D11" i="50" s="1"/>
  <c r="P17" i="20" s="1"/>
  <c r="I64" i="44"/>
  <c r="I90" i="44" s="1"/>
  <c r="I92" i="44" s="1"/>
  <c r="T92" i="44"/>
  <c r="I53" i="42"/>
  <c r="D14" i="50" s="1"/>
  <c r="P21" i="20" s="1"/>
  <c r="BS55" i="43"/>
  <c r="BW55" i="43" s="1"/>
  <c r="Z53" i="42"/>
  <c r="J64" i="44"/>
  <c r="J90" i="44" s="1"/>
  <c r="J92" i="44" s="1"/>
  <c r="F16" i="20" s="1"/>
  <c r="H101" i="45"/>
  <c r="H102" i="45" s="1"/>
  <c r="E15" i="20" s="1"/>
  <c r="AA53" i="42"/>
  <c r="I101" i="45"/>
  <c r="I102" i="45" s="1"/>
  <c r="F15" i="20" s="1"/>
  <c r="G18" i="20"/>
  <c r="S92" i="44"/>
  <c r="BP101" i="45"/>
  <c r="BP102" i="45" s="1"/>
  <c r="G51" i="47"/>
  <c r="BP26" i="47"/>
  <c r="H26" i="47"/>
  <c r="I26" i="47"/>
  <c r="P20" i="41"/>
  <c r="P46" i="41" s="1"/>
  <c r="M22" i="20" s="1"/>
  <c r="I20" i="41"/>
  <c r="I46" i="41" s="1"/>
  <c r="N20" i="41"/>
  <c r="N46" i="41" s="1"/>
  <c r="K22" i="20" s="1"/>
  <c r="K23" i="20" s="1"/>
  <c r="L22" i="20"/>
  <c r="L23" i="20" s="1"/>
  <c r="H22" i="20"/>
  <c r="H23" i="20" s="1"/>
  <c r="M20" i="41"/>
  <c r="M46" i="41" s="1"/>
  <c r="J22" i="20" s="1"/>
  <c r="J23" i="20" s="1"/>
  <c r="N22" i="20"/>
  <c r="N23" i="20" s="1"/>
  <c r="H20" i="41"/>
  <c r="H46" i="41" s="1"/>
  <c r="E22" i="20" s="1"/>
  <c r="J20" i="41"/>
  <c r="J46" i="41" s="1"/>
  <c r="G22" i="20" s="1"/>
  <c r="G23" i="20" s="1"/>
  <c r="Q90" i="44"/>
  <c r="Q92" i="44" s="1"/>
  <c r="M16" i="20" s="1"/>
  <c r="Y90" i="44"/>
  <c r="Y92" i="44" s="1"/>
  <c r="X13" i="44"/>
  <c r="X16" i="44" s="1"/>
  <c r="X92" i="44" s="1"/>
  <c r="W13" i="44"/>
  <c r="W16" i="44" s="1"/>
  <c r="W92" i="44" s="1"/>
  <c r="BS13" i="44"/>
  <c r="BW12" i="44"/>
  <c r="AP22" i="39"/>
  <c r="AP23" i="39" s="1"/>
  <c r="AN31" i="39"/>
  <c r="C20" i="48" s="1"/>
  <c r="D20" i="48" s="1"/>
  <c r="AJ31" i="39"/>
  <c r="C18" i="48" s="1"/>
  <c r="J19" i="47"/>
  <c r="J26" i="47" s="1"/>
  <c r="BQ35" i="26"/>
  <c r="BS34" i="26"/>
  <c r="BW34" i="26" s="1"/>
  <c r="BW35" i="26" s="1"/>
  <c r="BT46" i="42"/>
  <c r="AL31" i="39"/>
  <c r="C19" i="48" s="1"/>
  <c r="X53" i="42"/>
  <c r="BV36" i="25"/>
  <c r="BV48" i="25" s="1"/>
  <c r="BU48" i="25"/>
  <c r="X65" i="43"/>
  <c r="BX21" i="42"/>
  <c r="BX28" i="42" s="1"/>
  <c r="BT28" i="42"/>
  <c r="BW20" i="44"/>
  <c r="X101" i="45"/>
  <c r="X102" i="45" s="1"/>
  <c r="Y101" i="45"/>
  <c r="Y102" i="45" s="1"/>
  <c r="BS14" i="43"/>
  <c r="BP89" i="24"/>
  <c r="E52" i="52" s="1"/>
  <c r="V54" i="25"/>
  <c r="V55" i="25" s="1"/>
  <c r="V56" i="25" s="1"/>
  <c r="R55" i="25"/>
  <c r="R56" i="25" s="1"/>
  <c r="Y54" i="25"/>
  <c r="Y55" i="25" s="1"/>
  <c r="Y56" i="25" s="1"/>
  <c r="U55" i="25"/>
  <c r="U56" i="25" s="1"/>
  <c r="BX48" i="42"/>
  <c r="BX52" i="42" s="1"/>
  <c r="BT52" i="42"/>
  <c r="W31" i="47"/>
  <c r="W33" i="47" s="1"/>
  <c r="S33" i="47"/>
  <c r="G89" i="24"/>
  <c r="W54" i="25"/>
  <c r="W55" i="25" s="1"/>
  <c r="W56" i="25" s="1"/>
  <c r="S55" i="25"/>
  <c r="S56" i="25" s="1"/>
  <c r="BP33" i="47"/>
  <c r="BS32" i="47"/>
  <c r="BW32" i="47" s="1"/>
  <c r="Y31" i="47"/>
  <c r="Y33" i="47" s="1"/>
  <c r="U33" i="47"/>
  <c r="BS31" i="47"/>
  <c r="BQ33" i="47"/>
  <c r="BQ51" i="47" s="1"/>
  <c r="X54" i="25"/>
  <c r="X55" i="25" s="1"/>
  <c r="X56" i="25" s="1"/>
  <c r="T55" i="25"/>
  <c r="T56" i="25" s="1"/>
  <c r="BT17" i="42"/>
  <c r="BP19" i="42"/>
  <c r="BP53" i="42" s="1"/>
  <c r="Z31" i="47"/>
  <c r="Z33" i="47" s="1"/>
  <c r="V33" i="47"/>
  <c r="BP14" i="43"/>
  <c r="BR89" i="24"/>
  <c r="J31" i="47"/>
  <c r="J33" i="47" s="1"/>
  <c r="I31" i="47"/>
  <c r="I33" i="47" s="1"/>
  <c r="H33" i="47"/>
  <c r="W101" i="45"/>
  <c r="W102" i="45" s="1"/>
  <c r="V101" i="45"/>
  <c r="V102" i="45" s="1"/>
  <c r="BT54" i="25"/>
  <c r="I54" i="25"/>
  <c r="I55" i="25" s="1"/>
  <c r="I56" i="25" s="1"/>
  <c r="F27" i="20" s="1"/>
  <c r="H54" i="25"/>
  <c r="H55" i="25" s="1"/>
  <c r="H56" i="25" s="1"/>
  <c r="E27" i="20" s="1"/>
  <c r="G55" i="25"/>
  <c r="G56" i="25" s="1"/>
  <c r="D27" i="39" s="1"/>
  <c r="AR27" i="39" s="1"/>
  <c r="X31" i="47"/>
  <c r="X33" i="47" s="1"/>
  <c r="T33" i="47"/>
  <c r="W65" i="43"/>
  <c r="BP46" i="41"/>
  <c r="I14" i="47"/>
  <c r="J14" i="47"/>
  <c r="J13" i="47"/>
  <c r="I13" i="47"/>
  <c r="H15" i="47"/>
  <c r="BW21" i="47"/>
  <c r="BW26" i="47" s="1"/>
  <c r="BS26" i="47"/>
  <c r="BV19" i="25"/>
  <c r="BU30" i="25"/>
  <c r="BP14" i="47"/>
  <c r="BL15" i="47"/>
  <c r="V15" i="47"/>
  <c r="Z13" i="47"/>
  <c r="Z15" i="47" s="1"/>
  <c r="Y13" i="47"/>
  <c r="Y15" i="47" s="1"/>
  <c r="U15" i="47"/>
  <c r="BU79" i="24"/>
  <c r="BV79" i="24" s="1"/>
  <c r="BV89" i="24" s="1"/>
  <c r="BS89" i="24"/>
  <c r="W13" i="47"/>
  <c r="W15" i="47" s="1"/>
  <c r="S15" i="47"/>
  <c r="BQ17" i="46"/>
  <c r="BU16" i="46"/>
  <c r="BU17" i="46" s="1"/>
  <c r="BU38" i="46"/>
  <c r="BU42" i="46" s="1"/>
  <c r="BQ42" i="46"/>
  <c r="BV53" i="25"/>
  <c r="X13" i="47"/>
  <c r="X15" i="47" s="1"/>
  <c r="T15" i="47"/>
  <c r="Z65" i="43"/>
  <c r="BV24" i="25"/>
  <c r="BR30" i="25"/>
  <c r="J65" i="43"/>
  <c r="F17" i="20" s="1"/>
  <c r="Q65" i="43"/>
  <c r="M17" i="20" s="1"/>
  <c r="BS17" i="43"/>
  <c r="BQ22" i="43"/>
  <c r="BW39" i="47"/>
  <c r="M101" i="45"/>
  <c r="M102" i="45" s="1"/>
  <c r="J15" i="20" s="1"/>
  <c r="J18" i="20" s="1"/>
  <c r="BR36" i="45"/>
  <c r="BN39" i="45"/>
  <c r="BN101" i="45" s="1"/>
  <c r="BN102" i="45" s="1"/>
  <c r="D15" i="39"/>
  <c r="AR15" i="39" s="1"/>
  <c r="AX66" i="46"/>
  <c r="AD11" i="39" s="1"/>
  <c r="BJ53" i="46"/>
  <c r="BV13" i="25"/>
  <c r="BV16" i="25" s="1"/>
  <c r="BR16" i="25"/>
  <c r="I65" i="43"/>
  <c r="BQ64" i="44"/>
  <c r="BV22" i="41"/>
  <c r="BV37" i="41" s="1"/>
  <c r="BR37" i="41"/>
  <c r="BN20" i="41"/>
  <c r="BN46" i="41" s="1"/>
  <c r="BR13" i="41"/>
  <c r="BW11" i="43"/>
  <c r="BW14" i="43" s="1"/>
  <c r="BR16" i="45"/>
  <c r="BV12" i="45"/>
  <c r="BV16" i="45" s="1"/>
  <c r="BU28" i="46"/>
  <c r="BU32" i="46" s="1"/>
  <c r="BQ32" i="46"/>
  <c r="BW49" i="47"/>
  <c r="BW50" i="47" s="1"/>
  <c r="BS50" i="47"/>
  <c r="BW24" i="43"/>
  <c r="BW37" i="43" s="1"/>
  <c r="BS37" i="43"/>
  <c r="D9" i="50"/>
  <c r="P15" i="20" s="1"/>
  <c r="BV54" i="45"/>
  <c r="BV76" i="45" s="1"/>
  <c r="BR76" i="45"/>
  <c r="BR52" i="45"/>
  <c r="BV41" i="45"/>
  <c r="BV52" i="45" s="1"/>
  <c r="AD43" i="47"/>
  <c r="AD45" i="47" s="1"/>
  <c r="AB51" i="47"/>
  <c r="BW46" i="43"/>
  <c r="BS82" i="44"/>
  <c r="BW71" i="44"/>
  <c r="BW82" i="44" s="1"/>
  <c r="BW46" i="44"/>
  <c r="BW64" i="44" s="1"/>
  <c r="BS64" i="44"/>
  <c r="BW39" i="44"/>
  <c r="BW40" i="44" s="1"/>
  <c r="BS40" i="44"/>
  <c r="BP65" i="43" l="1"/>
  <c r="D24" i="52"/>
  <c r="BQ65" i="43"/>
  <c r="E25" i="52"/>
  <c r="H25" i="52" s="1"/>
  <c r="BQ90" i="44"/>
  <c r="BQ92" i="44" s="1"/>
  <c r="E20" i="52"/>
  <c r="C57" i="52"/>
  <c r="BV21" i="45"/>
  <c r="G8" i="52"/>
  <c r="BU102" i="45"/>
  <c r="E55" i="52"/>
  <c r="H52" i="52"/>
  <c r="H55" i="52" s="1"/>
  <c r="AS15" i="39"/>
  <c r="D26" i="39"/>
  <c r="D29" i="39" s="1"/>
  <c r="G91" i="24"/>
  <c r="H30" i="20"/>
  <c r="D32" i="50" s="1"/>
  <c r="M23" i="20"/>
  <c r="M42" i="24"/>
  <c r="L48" i="24"/>
  <c r="L89" i="24" s="1"/>
  <c r="I26" i="20" s="1"/>
  <c r="I29" i="20" s="1"/>
  <c r="D18" i="48"/>
  <c r="D19" i="48"/>
  <c r="F22" i="20"/>
  <c r="O22" i="20" s="1"/>
  <c r="F21" i="20"/>
  <c r="O21" i="20" s="1"/>
  <c r="J55" i="42"/>
  <c r="I55" i="42" s="1"/>
  <c r="D28" i="20"/>
  <c r="Q28" i="20"/>
  <c r="BL68" i="43"/>
  <c r="F10" i="39"/>
  <c r="F12" i="39" s="1"/>
  <c r="F29" i="20"/>
  <c r="BS59" i="43"/>
  <c r="I23" i="20"/>
  <c r="S51" i="47"/>
  <c r="BS35" i="26"/>
  <c r="D17" i="39"/>
  <c r="AR17" i="39" s="1"/>
  <c r="BW59" i="43"/>
  <c r="D21" i="39"/>
  <c r="AR21" i="39" s="1"/>
  <c r="G30" i="20"/>
  <c r="D31" i="50" s="1"/>
  <c r="V51" i="47"/>
  <c r="Z51" i="47"/>
  <c r="W51" i="47"/>
  <c r="X51" i="47"/>
  <c r="BW13" i="44"/>
  <c r="BW16" i="44" s="1"/>
  <c r="BS16" i="44"/>
  <c r="E16" i="20"/>
  <c r="U51" i="47"/>
  <c r="D18" i="50"/>
  <c r="P26" i="20" s="1"/>
  <c r="T51" i="47"/>
  <c r="Y51" i="47"/>
  <c r="E29" i="20"/>
  <c r="O27" i="20"/>
  <c r="BK60" i="25"/>
  <c r="D19" i="50"/>
  <c r="P27" i="20" s="1"/>
  <c r="BU54" i="25"/>
  <c r="BT55" i="25"/>
  <c r="BT56" i="25" s="1"/>
  <c r="BU89" i="24"/>
  <c r="BW31" i="47"/>
  <c r="BW33" i="47" s="1"/>
  <c r="BS33" i="47"/>
  <c r="BX17" i="42"/>
  <c r="BX19" i="42" s="1"/>
  <c r="BX53" i="42" s="1"/>
  <c r="BT19" i="42"/>
  <c r="BT53" i="42" s="1"/>
  <c r="I15" i="47"/>
  <c r="BS14" i="47"/>
  <c r="BP15" i="47"/>
  <c r="BV30" i="25"/>
  <c r="J15" i="47"/>
  <c r="BR56" i="25"/>
  <c r="M18" i="20"/>
  <c r="BS22" i="43"/>
  <c r="BW17" i="43"/>
  <c r="BW22" i="43" s="1"/>
  <c r="F18" i="20"/>
  <c r="BV36" i="45"/>
  <c r="BV39" i="45" s="1"/>
  <c r="BV101" i="45" s="1"/>
  <c r="BR39" i="45"/>
  <c r="BR101" i="45" s="1"/>
  <c r="BR102" i="45" s="1"/>
  <c r="E23" i="20"/>
  <c r="D15" i="50"/>
  <c r="P22" i="20" s="1"/>
  <c r="P23" i="20" s="1"/>
  <c r="D22" i="39"/>
  <c r="E17" i="20"/>
  <c r="O17" i="20" s="1"/>
  <c r="D17" i="20" s="1"/>
  <c r="O15" i="20"/>
  <c r="Q15" i="20" s="1"/>
  <c r="AD12" i="39"/>
  <c r="AP11" i="39"/>
  <c r="BR20" i="41"/>
  <c r="BR46" i="41" s="1"/>
  <c r="BV13" i="41"/>
  <c r="BV20" i="41" s="1"/>
  <c r="BV46" i="41" s="1"/>
  <c r="BS90" i="44"/>
  <c r="AF43" i="47"/>
  <c r="AF45" i="47" s="1"/>
  <c r="AD51" i="47"/>
  <c r="H24" i="52" l="1"/>
  <c r="D35" i="52"/>
  <c r="H20" i="52"/>
  <c r="E35" i="52"/>
  <c r="E57" i="52" s="1"/>
  <c r="BV102" i="45"/>
  <c r="G35" i="52"/>
  <c r="H8" i="52"/>
  <c r="P29" i="20"/>
  <c r="N42" i="24"/>
  <c r="M48" i="24"/>
  <c r="M89" i="24" s="1"/>
  <c r="J26" i="20" s="1"/>
  <c r="J29" i="20" s="1"/>
  <c r="J30" i="20" s="1"/>
  <c r="D34" i="50" s="1"/>
  <c r="D27" i="20"/>
  <c r="Q27" i="20"/>
  <c r="H10" i="39"/>
  <c r="H12" i="39" s="1"/>
  <c r="F23" i="20"/>
  <c r="Q17" i="20"/>
  <c r="Q22" i="20"/>
  <c r="D21" i="20"/>
  <c r="Q21" i="20"/>
  <c r="BS65" i="43"/>
  <c r="BS92" i="44"/>
  <c r="D21" i="50"/>
  <c r="BW65" i="43"/>
  <c r="BV54" i="25"/>
  <c r="BV55" i="25" s="1"/>
  <c r="BV56" i="25" s="1"/>
  <c r="BU55" i="25"/>
  <c r="BU56" i="25" s="1"/>
  <c r="BW14" i="47"/>
  <c r="BW15" i="47" s="1"/>
  <c r="BS15" i="47"/>
  <c r="D16" i="50"/>
  <c r="E18" i="20"/>
  <c r="AR22" i="39"/>
  <c r="D23" i="39"/>
  <c r="AR23" i="39" s="1"/>
  <c r="D22" i="20"/>
  <c r="O23" i="20"/>
  <c r="D15" i="20"/>
  <c r="AH43" i="47"/>
  <c r="AH45" i="47" s="1"/>
  <c r="AF51" i="47"/>
  <c r="G57" i="52" l="1"/>
  <c r="H35" i="52"/>
  <c r="N48" i="24"/>
  <c r="N89" i="24" s="1"/>
  <c r="K26" i="20" s="1"/>
  <c r="K29" i="20" s="1"/>
  <c r="K30" i="20" s="1"/>
  <c r="D36" i="50" s="1"/>
  <c r="O42" i="24"/>
  <c r="J10" i="39"/>
  <c r="J12" i="39" s="1"/>
  <c r="D23" i="20"/>
  <c r="Q23" i="20"/>
  <c r="G7" i="50"/>
  <c r="G6" i="50"/>
  <c r="AH51" i="47"/>
  <c r="AJ43" i="47"/>
  <c r="O48" i="24" l="1"/>
  <c r="O89" i="24" s="1"/>
  <c r="L26" i="20" s="1"/>
  <c r="L29" i="20" s="1"/>
  <c r="L30" i="20" s="1"/>
  <c r="P42" i="24"/>
  <c r="L10" i="39"/>
  <c r="L12" i="39" s="1"/>
  <c r="AJ45" i="47"/>
  <c r="AJ51" i="47" s="1"/>
  <c r="BL43" i="47"/>
  <c r="BL45" i="47" s="1"/>
  <c r="BL51" i="47" s="1"/>
  <c r="Q42" i="24" l="1"/>
  <c r="P48" i="24"/>
  <c r="P89" i="24" s="1"/>
  <c r="M26" i="20" s="1"/>
  <c r="N10" i="39"/>
  <c r="N12" i="39" s="1"/>
  <c r="H43" i="47"/>
  <c r="H45" i="47" s="1"/>
  <c r="BP43" i="47"/>
  <c r="BP45" i="47" s="1"/>
  <c r="BP51" i="47" s="1"/>
  <c r="D4" i="52" s="1"/>
  <c r="H4" i="52" s="1"/>
  <c r="H51" i="47" l="1"/>
  <c r="F18" i="51"/>
  <c r="F21" i="51" s="1"/>
  <c r="M29" i="20"/>
  <c r="Q48" i="24"/>
  <c r="Q89" i="24" s="1"/>
  <c r="N26" i="20" s="1"/>
  <c r="N29" i="20" s="1"/>
  <c r="N30" i="20" s="1"/>
  <c r="D35" i="50" s="1"/>
  <c r="R42" i="24"/>
  <c r="J43" i="47"/>
  <c r="J45" i="47" s="1"/>
  <c r="J51" i="47" s="1"/>
  <c r="F10" i="20" s="1"/>
  <c r="I43" i="47"/>
  <c r="I45" i="47" s="1"/>
  <c r="I51" i="47" s="1"/>
  <c r="E10" i="20" s="1"/>
  <c r="AP10" i="39"/>
  <c r="AP12" i="39" s="1"/>
  <c r="BS43" i="47"/>
  <c r="BS45" i="47" s="1"/>
  <c r="BS51" i="47" s="1"/>
  <c r="D5" i="50"/>
  <c r="P10" i="20" s="1"/>
  <c r="D10" i="39"/>
  <c r="R48" i="24" l="1"/>
  <c r="R89" i="24" s="1"/>
  <c r="S42" i="24"/>
  <c r="O26" i="20"/>
  <c r="M30" i="20"/>
  <c r="O29" i="20"/>
  <c r="BW43" i="47"/>
  <c r="BW45" i="47" s="1"/>
  <c r="BW51" i="47" s="1"/>
  <c r="O10" i="20"/>
  <c r="AR10" i="39"/>
  <c r="Q29" i="20" l="1"/>
  <c r="D29" i="20"/>
  <c r="F38" i="20"/>
  <c r="D37" i="50"/>
  <c r="D26" i="20"/>
  <c r="Q26" i="20"/>
  <c r="T42" i="24"/>
  <c r="S48" i="24"/>
  <c r="S89" i="24" s="1"/>
  <c r="D10" i="20"/>
  <c r="Q10" i="20"/>
  <c r="D49" i="20" l="1"/>
  <c r="E49" i="20"/>
  <c r="G49" i="20"/>
  <c r="F49" i="20"/>
  <c r="U42" i="24"/>
  <c r="T48" i="24"/>
  <c r="T89" i="24" s="1"/>
  <c r="V42" i="24" l="1"/>
  <c r="U48" i="24"/>
  <c r="U89" i="24" s="1"/>
  <c r="H49" i="20"/>
  <c r="F50" i="20" s="1"/>
  <c r="D50" i="20" l="1"/>
  <c r="E50" i="20"/>
  <c r="W42" i="24"/>
  <c r="V48" i="24"/>
  <c r="V89" i="24" s="1"/>
  <c r="G50" i="20"/>
  <c r="X42" i="24" l="1"/>
  <c r="W48" i="24"/>
  <c r="W89" i="24" s="1"/>
  <c r="Y42" i="24" l="1"/>
  <c r="X48" i="24"/>
  <c r="X89" i="24" s="1"/>
  <c r="Y48" i="24" l="1"/>
  <c r="Y89" i="24" s="1"/>
  <c r="Z42" i="24"/>
  <c r="AA42" i="24" l="1"/>
  <c r="Z48" i="24"/>
  <c r="Z89" i="24" s="1"/>
  <c r="E26" i="39" s="1"/>
  <c r="E29" i="39" s="1"/>
  <c r="E31" i="39" s="1"/>
  <c r="AB42" i="24" l="1"/>
  <c r="AA48" i="24"/>
  <c r="AA89" i="24" s="1"/>
  <c r="F26" i="39" s="1"/>
  <c r="F29" i="39" s="1"/>
  <c r="F31" i="39" s="1"/>
  <c r="C3" i="48" s="1"/>
  <c r="D3" i="48" s="1"/>
  <c r="AC42" i="24" l="1"/>
  <c r="AB48" i="24"/>
  <c r="AB89" i="24" s="1"/>
  <c r="G26" i="39" s="1"/>
  <c r="G29" i="39" s="1"/>
  <c r="G31" i="39" s="1"/>
  <c r="AC48" i="24" l="1"/>
  <c r="AC89" i="24" s="1"/>
  <c r="H26" i="39" s="1"/>
  <c r="H29" i="39" s="1"/>
  <c r="H31" i="39" s="1"/>
  <c r="C4" i="48" s="1"/>
  <c r="D4" i="48" s="1"/>
  <c r="AD42" i="24"/>
  <c r="AD48" i="24" l="1"/>
  <c r="AD89" i="24" s="1"/>
  <c r="I26" i="39" s="1"/>
  <c r="I29" i="39" s="1"/>
  <c r="I31" i="39" s="1"/>
  <c r="AE42" i="24"/>
  <c r="AF42" i="24" l="1"/>
  <c r="AE48" i="24"/>
  <c r="AE89" i="24" s="1"/>
  <c r="J26" i="39" s="1"/>
  <c r="J29" i="39" s="1"/>
  <c r="AF48" i="24" l="1"/>
  <c r="AF89" i="24" s="1"/>
  <c r="K26" i="39" s="1"/>
  <c r="K29" i="39" s="1"/>
  <c r="K31" i="39" s="1"/>
  <c r="AG42" i="24"/>
  <c r="AH42" i="24" l="1"/>
  <c r="AG48" i="24"/>
  <c r="AG89" i="24" s="1"/>
  <c r="L26" i="39" s="1"/>
  <c r="L29" i="39" s="1"/>
  <c r="L31" i="39" s="1"/>
  <c r="C6" i="48" s="1"/>
  <c r="D6" i="48" s="1"/>
  <c r="AI42" i="24" l="1"/>
  <c r="AH48" i="24"/>
  <c r="AH89" i="24" s="1"/>
  <c r="M26" i="39" s="1"/>
  <c r="M29" i="39" s="1"/>
  <c r="M31" i="39" s="1"/>
  <c r="AI48" i="24" l="1"/>
  <c r="AI89" i="24" s="1"/>
  <c r="N26" i="39" s="1"/>
  <c r="N29" i="39" s="1"/>
  <c r="N31" i="39" s="1"/>
  <c r="C7" i="48" s="1"/>
  <c r="D7" i="48" s="1"/>
  <c r="AJ42" i="24"/>
  <c r="AK42" i="24" l="1"/>
  <c r="AJ48" i="24"/>
  <c r="AJ89" i="24" s="1"/>
  <c r="O26" i="39" s="1"/>
  <c r="O29" i="39" s="1"/>
  <c r="O31" i="39" s="1"/>
  <c r="AK48" i="24" l="1"/>
  <c r="AK89" i="24" s="1"/>
  <c r="P26" i="39" s="1"/>
  <c r="P29" i="39" s="1"/>
  <c r="P31" i="39" s="1"/>
  <c r="C8" i="48" s="1"/>
  <c r="D8" i="48" s="1"/>
  <c r="AL42" i="24"/>
  <c r="AM42" i="24" l="1"/>
  <c r="AL48" i="24"/>
  <c r="AL89" i="24" s="1"/>
  <c r="Q26" i="39" s="1"/>
  <c r="Q29" i="39" s="1"/>
  <c r="Q31" i="39" s="1"/>
  <c r="AN42" i="24" l="1"/>
  <c r="AM48" i="24"/>
  <c r="AM89" i="24" s="1"/>
  <c r="R26" i="39" s="1"/>
  <c r="R29" i="39" s="1"/>
  <c r="R31" i="39" s="1"/>
  <c r="C9" i="48" s="1"/>
  <c r="D9" i="48" s="1"/>
  <c r="AO42" i="24" l="1"/>
  <c r="AN48" i="24"/>
  <c r="AN89" i="24" s="1"/>
  <c r="S26" i="39" s="1"/>
  <c r="S29" i="39" s="1"/>
  <c r="S31" i="39" s="1"/>
  <c r="AP42" i="24" l="1"/>
  <c r="AO48" i="24"/>
  <c r="AO89" i="24" s="1"/>
  <c r="T26" i="39" s="1"/>
  <c r="T29" i="39" s="1"/>
  <c r="T31" i="39" s="1"/>
  <c r="C10" i="48" s="1"/>
  <c r="D10" i="48" s="1"/>
  <c r="AQ42" i="24" l="1"/>
  <c r="AP48" i="24"/>
  <c r="AP89" i="24" s="1"/>
  <c r="U26" i="39" s="1"/>
  <c r="U29" i="39" s="1"/>
  <c r="U31" i="39" s="1"/>
  <c r="AR42" i="24" l="1"/>
  <c r="AQ48" i="24"/>
  <c r="AQ89" i="24" s="1"/>
  <c r="V26" i="39" s="1"/>
  <c r="V29" i="39" s="1"/>
  <c r="V31" i="39" s="1"/>
  <c r="C11" i="48" s="1"/>
  <c r="D11" i="48" s="1"/>
  <c r="AR48" i="24" l="1"/>
  <c r="AR89" i="24" s="1"/>
  <c r="W26" i="39" s="1"/>
  <c r="W29" i="39" s="1"/>
  <c r="W31" i="39" s="1"/>
  <c r="AS42" i="24"/>
  <c r="AT42" i="24" l="1"/>
  <c r="AS48" i="24"/>
  <c r="AS89" i="24" s="1"/>
  <c r="X26" i="39" s="1"/>
  <c r="X29" i="39" s="1"/>
  <c r="X31" i="39" s="1"/>
  <c r="C12" i="48" s="1"/>
  <c r="D12" i="48" s="1"/>
  <c r="AU42" i="24" l="1"/>
  <c r="AT48" i="24"/>
  <c r="AT89" i="24" s="1"/>
  <c r="Y26" i="39" s="1"/>
  <c r="Y29" i="39" s="1"/>
  <c r="Y31" i="39" s="1"/>
  <c r="AU48" i="24" l="1"/>
  <c r="AU89" i="24" s="1"/>
  <c r="Z26" i="39" s="1"/>
  <c r="Z29" i="39" s="1"/>
  <c r="Z31" i="39" s="1"/>
  <c r="C13" i="48" s="1"/>
  <c r="D13" i="48" s="1"/>
  <c r="AV42" i="24"/>
  <c r="AV48" i="24" l="1"/>
  <c r="AV89" i="24" s="1"/>
  <c r="AA26" i="39" s="1"/>
  <c r="AA29" i="39" s="1"/>
  <c r="AA31" i="39" s="1"/>
  <c r="AW42" i="24"/>
  <c r="AW48" i="24" l="1"/>
  <c r="AW89" i="24" s="1"/>
  <c r="AB26" i="39" s="1"/>
  <c r="AB29" i="39" s="1"/>
  <c r="AB31" i="39" s="1"/>
  <c r="C14" i="48" s="1"/>
  <c r="D14" i="48" s="1"/>
  <c r="AX42" i="24"/>
  <c r="AX48" i="24" l="1"/>
  <c r="AX89" i="24" s="1"/>
  <c r="AC26" i="39" s="1"/>
  <c r="AC29" i="39" s="1"/>
  <c r="AC31" i="39" s="1"/>
  <c r="AY42" i="24"/>
  <c r="AY48" i="24" l="1"/>
  <c r="AY89" i="24" s="1"/>
  <c r="AD26" i="39" s="1"/>
  <c r="AD29" i="39" s="1"/>
  <c r="AD31" i="39" s="1"/>
  <c r="C15" i="48" s="1"/>
  <c r="D15" i="48" s="1"/>
  <c r="AZ42" i="24"/>
  <c r="BA42" i="24" l="1"/>
  <c r="AZ48" i="24"/>
  <c r="AZ89" i="24" s="1"/>
  <c r="AE26" i="39" s="1"/>
  <c r="AE29" i="39" s="1"/>
  <c r="AE31" i="39" s="1"/>
  <c r="BA48" i="24" l="1"/>
  <c r="BA89" i="24" s="1"/>
  <c r="AF26" i="39" s="1"/>
  <c r="AF29" i="39" s="1"/>
  <c r="AF31" i="39" s="1"/>
  <c r="C16" i="48" s="1"/>
  <c r="D16" i="48" s="1"/>
  <c r="BB42" i="24"/>
  <c r="BC42" i="24" l="1"/>
  <c r="BC48" i="24" s="1"/>
  <c r="BC89" i="24" s="1"/>
  <c r="AH26" i="39" s="1"/>
  <c r="BB48" i="24"/>
  <c r="BB89" i="24" s="1"/>
  <c r="AG26" i="39" s="1"/>
  <c r="BJ56" i="46"/>
  <c r="BJ66" i="46" s="1"/>
  <c r="BQ55" i="46"/>
  <c r="F55" i="46"/>
  <c r="W55" i="46" l="1"/>
  <c r="W56" i="46" s="1"/>
  <c r="W66" i="46" s="1"/>
  <c r="F30" i="51"/>
  <c r="F32" i="51" s="1"/>
  <c r="AG29" i="39"/>
  <c r="AG31" i="39" s="1"/>
  <c r="AO26" i="39"/>
  <c r="AO29" i="39" s="1"/>
  <c r="AO31" i="39" s="1"/>
  <c r="AP26" i="39"/>
  <c r="AH29" i="39"/>
  <c r="AH31" i="39" s="1"/>
  <c r="C17" i="48" s="1"/>
  <c r="D17" i="48" s="1"/>
  <c r="BQ56" i="46"/>
  <c r="BQ66" i="46" s="1"/>
  <c r="BU55" i="46"/>
  <c r="BU56" i="46" s="1"/>
  <c r="BU66" i="46" s="1"/>
  <c r="X55" i="46"/>
  <c r="X56" i="46" s="1"/>
  <c r="X66" i="46" s="1"/>
  <c r="F56" i="46"/>
  <c r="F66" i="46" s="1"/>
  <c r="BN56" i="46"/>
  <c r="BN66" i="46" s="1"/>
  <c r="D5" i="52" s="1"/>
  <c r="H55" i="46"/>
  <c r="H56" i="46" s="1"/>
  <c r="H66" i="46" s="1"/>
  <c r="F11" i="20" s="1"/>
  <c r="F12" i="20" s="1"/>
  <c r="F30" i="20" s="1"/>
  <c r="U55" i="46"/>
  <c r="U56" i="46" s="1"/>
  <c r="U66" i="46" s="1"/>
  <c r="G55" i="46"/>
  <c r="G56" i="46" s="1"/>
  <c r="G66" i="46" s="1"/>
  <c r="E11" i="20" s="1"/>
  <c r="H5" i="52" l="1"/>
  <c r="H6" i="52" s="1"/>
  <c r="H57" i="52" s="1"/>
  <c r="D6" i="52"/>
  <c r="D57" i="52" s="1"/>
  <c r="AR26" i="39"/>
  <c r="AP29" i="39"/>
  <c r="AR29" i="39" s="1"/>
  <c r="E12" i="20"/>
  <c r="E30" i="20" s="1"/>
  <c r="O11" i="20"/>
  <c r="H68" i="46"/>
  <c r="D11" i="39"/>
  <c r="D6" i="50"/>
  <c r="P11" i="20" s="1"/>
  <c r="P12" i="20" s="1"/>
  <c r="BI68" i="46"/>
  <c r="D43" i="20"/>
  <c r="D30" i="50"/>
  <c r="F43" i="20"/>
  <c r="G43" i="20"/>
  <c r="E43" i="20"/>
  <c r="Q11" i="20" l="1"/>
  <c r="D29" i="50"/>
  <c r="F45" i="20"/>
  <c r="D45" i="20"/>
  <c r="E45" i="20"/>
  <c r="F34" i="20"/>
  <c r="C25" i="48" s="1"/>
  <c r="C26" i="48" s="1"/>
  <c r="G45" i="20"/>
  <c r="H43" i="20"/>
  <c r="E44" i="20" s="1"/>
  <c r="O12" i="20"/>
  <c r="Q12" i="20" s="1"/>
  <c r="D11" i="20"/>
  <c r="AR11" i="39"/>
  <c r="D12" i="39"/>
  <c r="D7" i="50"/>
  <c r="D44" i="20" l="1"/>
  <c r="G4" i="50"/>
  <c r="H45" i="20"/>
  <c r="D12" i="20"/>
  <c r="AR12" i="39"/>
  <c r="F44" i="20"/>
  <c r="G44" i="20"/>
  <c r="AF90" i="44" l="1"/>
  <c r="AF92" i="44" s="1"/>
  <c r="BL22" i="44"/>
  <c r="BL33" i="44" l="1"/>
  <c r="BL90" i="44" s="1"/>
  <c r="BL92" i="44" s="1"/>
  <c r="H22" i="44"/>
  <c r="J16" i="39"/>
  <c r="BU22" i="44"/>
  <c r="BU33" i="44" s="1"/>
  <c r="M22" i="44" l="1"/>
  <c r="H33" i="44"/>
  <c r="H90" i="44" s="1"/>
  <c r="J18" i="39"/>
  <c r="J31" i="39" s="1"/>
  <c r="C5" i="48" s="1"/>
  <c r="AP16" i="39"/>
  <c r="AP18" i="39" s="1"/>
  <c r="AP31" i="39" s="1"/>
  <c r="BV22" i="44"/>
  <c r="BV33" i="44" s="1"/>
  <c r="BU90" i="44"/>
  <c r="BU92" i="44" s="1"/>
  <c r="M33" i="44" l="1"/>
  <c r="M90" i="44" s="1"/>
  <c r="M92" i="44" s="1"/>
  <c r="I16" i="20" s="1"/>
  <c r="H92" i="44"/>
  <c r="H95" i="44" s="1"/>
  <c r="BV90" i="44"/>
  <c r="BV92" i="44" s="1"/>
  <c r="BW22" i="44"/>
  <c r="D5" i="48"/>
  <c r="C21" i="48"/>
  <c r="I18" i="20" l="1"/>
  <c r="I30" i="20" s="1"/>
  <c r="O16" i="20"/>
  <c r="BW33" i="44"/>
  <c r="BW90" i="44" s="1"/>
  <c r="BW92" i="44" s="1"/>
  <c r="D21" i="48"/>
  <c r="C23" i="48"/>
  <c r="D26" i="48" s="1"/>
  <c r="D16" i="39"/>
  <c r="D18" i="39" s="1"/>
  <c r="D10" i="50"/>
  <c r="P16" i="20" s="1"/>
  <c r="D16" i="20" l="1"/>
  <c r="O18" i="20"/>
  <c r="F37" i="20"/>
  <c r="D33" i="50"/>
  <c r="D38" i="50" s="1"/>
  <c r="E14" i="48"/>
  <c r="E19" i="48"/>
  <c r="E18" i="48"/>
  <c r="E12" i="48"/>
  <c r="E6" i="48"/>
  <c r="E17" i="48"/>
  <c r="E11" i="48"/>
  <c r="E5" i="48"/>
  <c r="E16" i="48"/>
  <c r="E10" i="48"/>
  <c r="E4" i="48"/>
  <c r="E7" i="48"/>
  <c r="E15" i="48"/>
  <c r="E9" i="48"/>
  <c r="E3" i="48"/>
  <c r="E13" i="48"/>
  <c r="E8" i="48"/>
  <c r="G19" i="48"/>
  <c r="G18" i="48"/>
  <c r="G3" i="48"/>
  <c r="G4" i="48"/>
  <c r="G6" i="48"/>
  <c r="G7" i="48"/>
  <c r="G8" i="48"/>
  <c r="G9" i="48"/>
  <c r="G10" i="48"/>
  <c r="G11" i="48"/>
  <c r="G12" i="48"/>
  <c r="G13" i="48"/>
  <c r="G14" i="48"/>
  <c r="G15" i="48"/>
  <c r="G16" i="48"/>
  <c r="G17" i="48"/>
  <c r="G5" i="48"/>
  <c r="P18" i="20"/>
  <c r="Q16" i="20"/>
  <c r="AR16" i="39"/>
  <c r="D12" i="50"/>
  <c r="G5" i="50" s="1"/>
  <c r="D31" i="39"/>
  <c r="AR31" i="39" s="1"/>
  <c r="AR18" i="39"/>
  <c r="F39" i="20" l="1"/>
  <c r="G46" i="20"/>
  <c r="G47" i="20" s="1"/>
  <c r="G51" i="20" s="1"/>
  <c r="D46" i="20"/>
  <c r="F46" i="20"/>
  <c r="F47" i="20" s="1"/>
  <c r="F51" i="20" s="1"/>
  <c r="E46" i="20"/>
  <c r="E47" i="20" s="1"/>
  <c r="E51" i="20" s="1"/>
  <c r="D18" i="20"/>
  <c r="O30" i="20"/>
  <c r="D30" i="20" s="1"/>
  <c r="E23" i="48"/>
  <c r="F4" i="48" s="1"/>
  <c r="G21" i="48"/>
  <c r="P30" i="20"/>
  <c r="Q30" i="20" s="1"/>
  <c r="Q18" i="20"/>
  <c r="D23" i="50"/>
  <c r="G8" i="50"/>
  <c r="H46" i="20" l="1"/>
  <c r="H47" i="20" s="1"/>
  <c r="H51" i="20" s="1"/>
  <c r="D47" i="20"/>
  <c r="E48" i="20"/>
  <c r="F48" i="20"/>
  <c r="G48" i="20"/>
  <c r="F3" i="48"/>
  <c r="F5" i="48"/>
  <c r="F7" i="48"/>
  <c r="F12" i="48"/>
  <c r="F13" i="48"/>
  <c r="F15" i="48"/>
  <c r="F10" i="48"/>
  <c r="F14" i="48"/>
  <c r="F8" i="48"/>
  <c r="F18" i="48"/>
  <c r="F6" i="48"/>
  <c r="F9" i="48"/>
  <c r="F11" i="48"/>
  <c r="F17" i="48"/>
  <c r="F19" i="48"/>
  <c r="F16" i="48"/>
  <c r="D51" i="20" l="1"/>
  <c r="D48" i="20"/>
  <c r="F21" i="48"/>
</calcChain>
</file>

<file path=xl/sharedStrings.xml><?xml version="1.0" encoding="utf-8"?>
<sst xmlns="http://schemas.openxmlformats.org/spreadsheetml/2006/main" count="3319" uniqueCount="1192">
  <si>
    <t>COMMUNITY EMPOWERMENT</t>
  </si>
  <si>
    <t>Acct</t>
  </si>
  <si>
    <t>Code</t>
  </si>
  <si>
    <t>Sub Total</t>
  </si>
  <si>
    <t>GRAND TOTAL</t>
  </si>
  <si>
    <t>SUMMARY</t>
  </si>
  <si>
    <t>Quarterly planned expenditure (in Rs.)</t>
  </si>
  <si>
    <t>Q1</t>
  </si>
  <si>
    <t>Q2</t>
  </si>
  <si>
    <t>Q3</t>
  </si>
  <si>
    <t>Q4</t>
  </si>
  <si>
    <t>AWP&amp;B (in Rs.)</t>
  </si>
  <si>
    <t>Activity</t>
  </si>
  <si>
    <t>Component</t>
  </si>
  <si>
    <t>Unit</t>
  </si>
  <si>
    <t>Amount</t>
  </si>
  <si>
    <t>LS</t>
  </si>
  <si>
    <t>Total</t>
  </si>
  <si>
    <t>Unit cost (in Rs.)</t>
  </si>
  <si>
    <t xml:space="preserve">No. of Unit </t>
  </si>
  <si>
    <t>Acct. Code</t>
  </si>
  <si>
    <t xml:space="preserve">   AWP&amp;B </t>
  </si>
  <si>
    <t>Unit Cost (In Rs.)</t>
  </si>
  <si>
    <t>No. of Unit</t>
  </si>
  <si>
    <t xml:space="preserve">Acct code </t>
  </si>
  <si>
    <t>Amount               (In Rs.)</t>
  </si>
  <si>
    <t>No of Unit</t>
  </si>
  <si>
    <t xml:space="preserve">Amount (In Rs) </t>
  </si>
  <si>
    <t>unit Cost (In Rs.)</t>
  </si>
  <si>
    <t>Monitoring &amp; Knoweldge Management</t>
  </si>
  <si>
    <t xml:space="preserve">No. of unit </t>
  </si>
  <si>
    <t xml:space="preserve">Amount (In Rs.) </t>
  </si>
  <si>
    <t>village</t>
  </si>
  <si>
    <t>unit cost</t>
  </si>
  <si>
    <t>Internal audit</t>
  </si>
  <si>
    <t>Unit Cost</t>
  </si>
  <si>
    <t xml:space="preserve"> </t>
  </si>
  <si>
    <t>TOTAL</t>
  </si>
  <si>
    <t>Quarterly planned expenditure (in Rs)</t>
  </si>
  <si>
    <t>year</t>
  </si>
  <si>
    <t>SPMU</t>
  </si>
  <si>
    <t>Com-
ponent</t>
  </si>
  <si>
    <t>No. of unit</t>
  </si>
  <si>
    <t>Khunti</t>
  </si>
  <si>
    <t>Gumla</t>
  </si>
  <si>
    <t>Lohardaga</t>
  </si>
  <si>
    <t>Latehar</t>
  </si>
  <si>
    <t>Simdega</t>
  </si>
  <si>
    <t>East Singhbhum</t>
  </si>
  <si>
    <t>West Singhbhum</t>
  </si>
  <si>
    <t>Saraikhela Kharsawan</t>
  </si>
  <si>
    <t>Godda</t>
  </si>
  <si>
    <t>Dumka</t>
  </si>
  <si>
    <t>Jamtara</t>
  </si>
  <si>
    <t>Pakur</t>
  </si>
  <si>
    <t>Sahibgang</t>
  </si>
  <si>
    <t>Acct Code</t>
  </si>
  <si>
    <t>Amount (In Rs.)</t>
  </si>
  <si>
    <t>Sl. No.</t>
  </si>
  <si>
    <t>Community Empowerment</t>
  </si>
  <si>
    <t>Quarterly planned unit</t>
  </si>
  <si>
    <t>Quarterly planned Unit</t>
  </si>
  <si>
    <t>Quarterly planned  Unit</t>
  </si>
  <si>
    <t>Community Institutions Development</t>
  </si>
  <si>
    <t>MPA</t>
  </si>
  <si>
    <t>pers_month</t>
  </si>
  <si>
    <t>pers_days</t>
  </si>
  <si>
    <t>persons</t>
  </si>
  <si>
    <t>Stregthening SHGs and Rural Finance</t>
  </si>
  <si>
    <t>SHG</t>
  </si>
  <si>
    <t>person</t>
  </si>
  <si>
    <t>study</t>
  </si>
  <si>
    <t>Late marriage incentives to girls</t>
  </si>
  <si>
    <t>lumpsum</t>
  </si>
  <si>
    <t xml:space="preserve">Land treatment /g </t>
  </si>
  <si>
    <t>ha</t>
  </si>
  <si>
    <t xml:space="preserve">Irrigation structures /h </t>
  </si>
  <si>
    <t>farmers</t>
  </si>
  <si>
    <t>Nutrition needs assessment</t>
  </si>
  <si>
    <t>GP</t>
  </si>
  <si>
    <t>CSP</t>
  </si>
  <si>
    <t>pers_day</t>
  </si>
  <si>
    <t>Goat rearing unit (5+1) including shed</t>
  </si>
  <si>
    <t>Preparation of Feasibility Reports</t>
  </si>
  <si>
    <t>per MPA</t>
  </si>
  <si>
    <t>Collective</t>
  </si>
  <si>
    <t>Promotion of Livelihoods collectives</t>
  </si>
  <si>
    <t>collective</t>
  </si>
  <si>
    <t>Infrastructure and equipment</t>
  </si>
  <si>
    <t>Natural Resources Management and Livelihoods Improvement</t>
  </si>
  <si>
    <t xml:space="preserve"> Natural Resources Management and Livelihoods Improvement</t>
  </si>
  <si>
    <t>Community Infrastructure and Drudgery reduction.</t>
  </si>
  <si>
    <t>Toilets</t>
  </si>
  <si>
    <t>each</t>
  </si>
  <si>
    <t>Housing units</t>
  </si>
  <si>
    <t>CC road in villages /a</t>
  </si>
  <si>
    <t>km</t>
  </si>
  <si>
    <t>Multi-purpose community hall</t>
  </si>
  <si>
    <t>set</t>
  </si>
  <si>
    <t>Drudgery Reduction</t>
  </si>
  <si>
    <t>Each</t>
  </si>
  <si>
    <t>Maintenance of Vehicles/Motor Cycles etc</t>
  </si>
  <si>
    <t>Air conditioners</t>
  </si>
  <si>
    <t>Genset, silent mode</t>
  </si>
  <si>
    <t>Invertors</t>
  </si>
  <si>
    <t>Furniture set</t>
  </si>
  <si>
    <t>1. Surveys and studies</t>
  </si>
  <si>
    <t>RIMS baseline, MTR and endline</t>
  </si>
  <si>
    <t>survey</t>
  </si>
  <si>
    <t>Annual outcome survey</t>
  </si>
  <si>
    <t>Subtotal Surveys and studies</t>
  </si>
  <si>
    <t/>
  </si>
  <si>
    <t>Statutory audits</t>
  </si>
  <si>
    <t>Subtotal Audits</t>
  </si>
  <si>
    <t>Staff recruitment expenses</t>
  </si>
  <si>
    <t>Subtotal Technical assistance</t>
  </si>
  <si>
    <t>State Programme Director</t>
  </si>
  <si>
    <t>Deputy Programme Director</t>
  </si>
  <si>
    <t>Senior Engineer</t>
  </si>
  <si>
    <t>Manager Finance</t>
  </si>
  <si>
    <t>Project Assistant MIS</t>
  </si>
  <si>
    <t>Executive Assistants</t>
  </si>
  <si>
    <t>Deputation Allowance</t>
  </si>
  <si>
    <t>House Rent Allowances(HRA)</t>
  </si>
  <si>
    <t>Medical/Health/Accident Insurance Allowances)</t>
  </si>
  <si>
    <t>Communication Allowances</t>
  </si>
  <si>
    <t>Statutory  provision(EPF)/f</t>
  </si>
  <si>
    <t>Insurance of Assets</t>
  </si>
  <si>
    <t>Arbitation Charges</t>
  </si>
  <si>
    <t>Hiring of Security Services</t>
  </si>
  <si>
    <t>Office operating expenses</t>
  </si>
  <si>
    <t>Ceiling fans</t>
  </si>
  <si>
    <t>Junior Agricultural Officer</t>
  </si>
  <si>
    <t>Travel allowance</t>
  </si>
  <si>
    <t>New Office buildings /a</t>
  </si>
  <si>
    <t>Renovation of existing buildings</t>
  </si>
  <si>
    <t>Camp offices /b</t>
  </si>
  <si>
    <t>No of units</t>
  </si>
  <si>
    <t>at state level</t>
  </si>
  <si>
    <t>meeting</t>
  </si>
  <si>
    <t>at MPA level /a</t>
  </si>
  <si>
    <t>Subtotal Monthly review meetings</t>
  </si>
  <si>
    <t>Subtotal Learning and sharing workshop</t>
  </si>
  <si>
    <t>PCR review workshop</t>
  </si>
  <si>
    <t>Subtotal Review workshop</t>
  </si>
  <si>
    <t>RIMS and M&amp;E state level training</t>
  </si>
  <si>
    <t>RIMS and M&amp;E training at MPA level</t>
  </si>
  <si>
    <t>Annual Outcome survey training</t>
  </si>
  <si>
    <t>Subtotal Training</t>
  </si>
  <si>
    <t>M&amp;E support</t>
  </si>
  <si>
    <t>PME consultants</t>
  </si>
  <si>
    <t>Participatory M&amp;E consultant</t>
  </si>
  <si>
    <t>Funding Source</t>
  </si>
  <si>
    <t>ST &amp; SC DEVELOPMENT DEPARTMENT, GOVERNMENT OF ODISHA</t>
  </si>
  <si>
    <t>ODISHA PVTG EMPOWERMENT AND LIVELIHOODS IMPROVEMENT PROGRAMME</t>
  </si>
  <si>
    <t xml:space="preserve">INDIA:      </t>
  </si>
  <si>
    <t xml:space="preserve">AWPB:  </t>
  </si>
  <si>
    <t>Component: 1</t>
  </si>
  <si>
    <t xml:space="preserve">Subcomponent:1.1 </t>
  </si>
  <si>
    <t>Department</t>
  </si>
  <si>
    <t>Programme Management</t>
  </si>
  <si>
    <t>INDIA:</t>
  </si>
  <si>
    <t>Component: 4</t>
  </si>
  <si>
    <t xml:space="preserve"> Project management Unit</t>
  </si>
  <si>
    <t xml:space="preserve">Subcomponent:4.1 </t>
  </si>
  <si>
    <t xml:space="preserve"> Drudgery Reduction</t>
  </si>
  <si>
    <t>Component: 3</t>
  </si>
  <si>
    <t xml:space="preserve">Subcomponent:3.1 </t>
  </si>
  <si>
    <t>Community Infrastructure</t>
  </si>
  <si>
    <t>Component: 2</t>
  </si>
  <si>
    <t xml:space="preserve"> Livelihoods Improvement</t>
  </si>
  <si>
    <t xml:space="preserve">Subcomponent:2.3 </t>
  </si>
  <si>
    <t>Component:2</t>
  </si>
  <si>
    <t xml:space="preserve">Subcomponent:2.2 </t>
  </si>
  <si>
    <t>Land &amp; Water Resources Development</t>
  </si>
  <si>
    <t xml:space="preserve">Subcomponent:2.1 </t>
  </si>
  <si>
    <t xml:space="preserve"> Natural Resource Management</t>
  </si>
  <si>
    <t xml:space="preserve">   Stregthening SHGs and Rural Finance</t>
  </si>
  <si>
    <t>Unit Cost 
 (In Rs.)</t>
  </si>
  <si>
    <t>Amount in INR</t>
  </si>
  <si>
    <t>BDA,Mudulipada</t>
  </si>
  <si>
    <t>CBDA,Sunabeda</t>
  </si>
  <si>
    <t>DDA,Kudumuluguma</t>
  </si>
  <si>
    <t>DKDA,Chatikona</t>
  </si>
  <si>
    <t>DKDA,parsali</t>
  </si>
  <si>
    <t>KKDA,Belghar</t>
  </si>
  <si>
    <t>KKDA,Lanjigarh</t>
  </si>
  <si>
    <t>LDA,Morada</t>
  </si>
  <si>
    <t>LSDA,Puttasing</t>
  </si>
  <si>
    <t>LSDA,Serango</t>
  </si>
  <si>
    <t>PBDA,Jamardihi</t>
  </si>
  <si>
    <t>PBDA,Khutungaon</t>
  </si>
  <si>
    <t>PBDA,Rugudakudar</t>
  </si>
  <si>
    <t>SDA,Chandragiri</t>
  </si>
  <si>
    <t>TDA,Tumba</t>
  </si>
  <si>
    <t>HKMDA,Jasipur</t>
  </si>
  <si>
    <t>JDA,Gonasika</t>
  </si>
  <si>
    <t>PMU</t>
  </si>
  <si>
    <t>AWPB</t>
  </si>
  <si>
    <t>Total : Eighty-eight  crore four lakh fifteen thousand and eight four rupees only..</t>
  </si>
  <si>
    <t>GoO %</t>
  </si>
  <si>
    <t>IFAD %</t>
  </si>
  <si>
    <t>SCA-TSP %</t>
  </si>
  <si>
    <t>Article 275 %</t>
  </si>
  <si>
    <t>CCD %</t>
  </si>
  <si>
    <t>MGNERGA%</t>
  </si>
  <si>
    <t>NHM%</t>
  </si>
  <si>
    <t>Benificiary%</t>
  </si>
  <si>
    <t>Amount(INR)</t>
  </si>
  <si>
    <t>Source of Fund</t>
  </si>
  <si>
    <t>IFAD ( 80% )</t>
  </si>
  <si>
    <t>IFAD ( 100% )</t>
  </si>
  <si>
    <t>IFAD ( 50% )</t>
  </si>
  <si>
    <t>IFAD ( 80% ), BEN ( 10% )</t>
  </si>
  <si>
    <t>IFAD ( 80% ), BEN ( 20% )</t>
  </si>
  <si>
    <t>IFAD ( 80% ), BEN (10%)</t>
  </si>
  <si>
    <t>BEN ( 10% ), IFAD(80%)</t>
  </si>
  <si>
    <t>As per Cost Tab</t>
  </si>
  <si>
    <t>Operating cost to VDC</t>
  </si>
  <si>
    <t>Works</t>
  </si>
  <si>
    <t>Training &amp; Capacity Building</t>
  </si>
  <si>
    <t>Goods,Service ,Input</t>
  </si>
  <si>
    <t>Grants</t>
  </si>
  <si>
    <t>Total Investment Cost</t>
  </si>
  <si>
    <t>Salary &amp; Allowances</t>
  </si>
  <si>
    <t>Operating Cost</t>
  </si>
  <si>
    <t>Total Recurring Cost</t>
  </si>
  <si>
    <t>IFAD</t>
  </si>
  <si>
    <t xml:space="preserve"> Investment Cost</t>
  </si>
  <si>
    <t>Recurring Cost</t>
  </si>
  <si>
    <t>As Per Cost Tab</t>
  </si>
  <si>
    <t>NB:</t>
  </si>
  <si>
    <t>Field bunding</t>
  </si>
  <si>
    <t>Stone bunding</t>
  </si>
  <si>
    <t>SCT</t>
  </si>
  <si>
    <t>LBCD/LBS</t>
  </si>
  <si>
    <t>RMS/Earthen Bund</t>
  </si>
  <si>
    <t>Gully Control Structure</t>
  </si>
  <si>
    <t>ha.</t>
  </si>
  <si>
    <t>No</t>
  </si>
  <si>
    <t>rmt</t>
  </si>
  <si>
    <t>Mango Plantation</t>
  </si>
  <si>
    <t>Lemon Grass</t>
  </si>
  <si>
    <t>Hill Broom</t>
  </si>
  <si>
    <t>Litchi</t>
  </si>
  <si>
    <t>Orange</t>
  </si>
  <si>
    <t>Guava</t>
  </si>
  <si>
    <t>Onion</t>
  </si>
  <si>
    <t>Garlic</t>
  </si>
  <si>
    <t>Turmaric</t>
  </si>
  <si>
    <t>Ginger</t>
  </si>
  <si>
    <t>Horsegram</t>
  </si>
  <si>
    <t>DKDA,Parsali</t>
  </si>
  <si>
    <t>Brinjal</t>
  </si>
  <si>
    <t>Tomato</t>
  </si>
  <si>
    <t>Ivy guard</t>
  </si>
  <si>
    <t>Pointed Guard</t>
  </si>
  <si>
    <t>Spine Guard</t>
  </si>
  <si>
    <t>Check Dam</t>
  </si>
  <si>
    <t>Sweet Corn</t>
  </si>
  <si>
    <t>Brocoli</t>
  </si>
  <si>
    <t>Marigold</t>
  </si>
  <si>
    <t>Earthen GC</t>
  </si>
  <si>
    <t>Micro-Project Agency  Unit</t>
  </si>
  <si>
    <t>Cow Shed</t>
  </si>
  <si>
    <t>Hill Broom Binding</t>
  </si>
  <si>
    <t>mds</t>
  </si>
  <si>
    <t>Sweet Potato</t>
  </si>
  <si>
    <t>Goatery Shed</t>
  </si>
  <si>
    <t>Cabbage</t>
  </si>
  <si>
    <t>cauli flower</t>
  </si>
  <si>
    <t>Pumpkin</t>
  </si>
  <si>
    <t>RMT</t>
  </si>
  <si>
    <t>Percolation Tank</t>
  </si>
  <si>
    <t>Other Misc.works</t>
  </si>
  <si>
    <t>Floricultutre,Mushroom &amp; Commercial Crop</t>
  </si>
  <si>
    <t>NADEP Compost Pit</t>
  </si>
  <si>
    <t>NREGS(100 %)</t>
  </si>
  <si>
    <t>Others</t>
  </si>
  <si>
    <t>Beans</t>
  </si>
  <si>
    <t>Cashew New plus Maintenance</t>
  </si>
  <si>
    <t>Sesamam</t>
  </si>
  <si>
    <t>Vermin Compost</t>
  </si>
  <si>
    <t>Sunhemp</t>
  </si>
  <si>
    <t>Rennovation of Irrigation canal</t>
  </si>
  <si>
    <t>Hiring of Vehicles including POL</t>
  </si>
  <si>
    <t>Village</t>
  </si>
  <si>
    <t>%</t>
  </si>
  <si>
    <t>PVTG</t>
  </si>
  <si>
    <t>Okra</t>
  </si>
  <si>
    <t>cow pea/gourd</t>
  </si>
  <si>
    <t>CCD ( 100% )</t>
  </si>
  <si>
    <t>IFAD ( 75% ), BEN ( 10% )</t>
  </si>
  <si>
    <t xml:space="preserve">Plantation </t>
  </si>
  <si>
    <t>Sl. No</t>
  </si>
  <si>
    <t xml:space="preserve">Name of MPA </t>
  </si>
  <si>
    <t>NREGA ( 100% )</t>
  </si>
  <si>
    <t>Mixed Plantation</t>
  </si>
  <si>
    <t>BDA, Mudulipada</t>
  </si>
  <si>
    <t>CBDA, Sunabeda</t>
  </si>
  <si>
    <t>DDA, Kudumuluguma</t>
  </si>
  <si>
    <t>DKDA, Chatikona</t>
  </si>
  <si>
    <t xml:space="preserve">Chilly </t>
  </si>
  <si>
    <t>GoO</t>
  </si>
  <si>
    <t>Awareness Programme at Village level /f</t>
  </si>
  <si>
    <t>300,000</t>
  </si>
  <si>
    <t>45,000</t>
  </si>
  <si>
    <t>10,000</t>
  </si>
  <si>
    <t>household</t>
  </si>
  <si>
    <t>5,000</t>
  </si>
  <si>
    <t>Hiring of Vehicles</t>
  </si>
  <si>
    <t>Laptop computers</t>
  </si>
  <si>
    <t>Desktop computers</t>
  </si>
  <si>
    <t>Printer, scanner, photocopier</t>
  </si>
  <si>
    <t>360 degree Camera with aceesories</t>
  </si>
  <si>
    <t>Mobile Phone / tablet /a</t>
  </si>
  <si>
    <t xml:space="preserve"> I. Investment Costs</t>
  </si>
  <si>
    <t>A. Buildings</t>
  </si>
  <si>
    <t>Subtotal Buildings</t>
  </si>
  <si>
    <t>Total Investment Costs</t>
  </si>
  <si>
    <t>II. Recurrent Costs</t>
  </si>
  <si>
    <t>A. Staff salary</t>
  </si>
  <si>
    <t>1. Contractual staff</t>
  </si>
  <si>
    <t>Project Managers</t>
  </si>
  <si>
    <t>Asst Engineer (Civil/Agricultural)</t>
  </si>
  <si>
    <t>Accountants Officer</t>
  </si>
  <si>
    <t>Social Mobiliser</t>
  </si>
  <si>
    <t>Data entry operators -MIS</t>
  </si>
  <si>
    <t>Peons-cum-Watchman (daily wage basis)</t>
  </si>
  <si>
    <t>Hardship Allowances</t>
  </si>
  <si>
    <t>Subtotal Contractual staff</t>
  </si>
  <si>
    <t>B. Office operating costs</t>
  </si>
  <si>
    <t>Advertisement / Publicity/documentation/photography</t>
  </si>
  <si>
    <t>Meetings</t>
  </si>
  <si>
    <t xml:space="preserve"> B. Vehicles and Equipment</t>
  </si>
  <si>
    <t xml:space="preserve">Total </t>
  </si>
  <si>
    <t>Per month</t>
  </si>
  <si>
    <t>4,000,000</t>
  </si>
  <si>
    <t>1,000,000</t>
  </si>
  <si>
    <t>500,000</t>
  </si>
  <si>
    <t>50,000</t>
  </si>
  <si>
    <t>1,500</t>
  </si>
  <si>
    <t>40,000</t>
  </si>
  <si>
    <t>20,000</t>
  </si>
  <si>
    <t>150,000</t>
  </si>
  <si>
    <t>200,000</t>
  </si>
  <si>
    <t>60,000</t>
  </si>
  <si>
    <t>30,000</t>
  </si>
  <si>
    <t>25,000</t>
  </si>
  <si>
    <t>14,000</t>
  </si>
  <si>
    <t>100,000</t>
  </si>
  <si>
    <t>Sub Total Vehicles and Equipment</t>
  </si>
  <si>
    <t>sub total Office operating costs</t>
  </si>
  <si>
    <t>A. Monthly review meetings</t>
  </si>
  <si>
    <t>B. Learning and sharing workshop</t>
  </si>
  <si>
    <t>Quality workshop at MPA level /b</t>
  </si>
  <si>
    <t>Quality workshop at PMU level /c</t>
  </si>
  <si>
    <t>C. Review workshop</t>
  </si>
  <si>
    <t>D. Training</t>
  </si>
  <si>
    <t>E. Technical assistance</t>
  </si>
  <si>
    <t>Designing  &amp; functioning of web site &amp; WEB GIS /d</t>
  </si>
  <si>
    <t>F. Concurrent monitoring /f</t>
  </si>
  <si>
    <t>UNIT</t>
  </si>
  <si>
    <t>75,000</t>
  </si>
  <si>
    <t>120,000</t>
  </si>
  <si>
    <t>5,000,000</t>
  </si>
  <si>
    <t>A. Drugery reduction interventions</t>
  </si>
  <si>
    <t>Support to SHG for refilling  mechanism RF</t>
  </si>
  <si>
    <t>Subtotal Drugery reduction interventions</t>
  </si>
  <si>
    <t>B. Tribal culture and values</t>
  </si>
  <si>
    <t>Subtotal Tribal culture and values</t>
  </si>
  <si>
    <t>A. Vehicles and Equipment</t>
  </si>
  <si>
    <t>Subtotal Vehicles and Equipment</t>
  </si>
  <si>
    <t>B. Surveys, audits and TA</t>
  </si>
  <si>
    <t>Mid-line survey /c</t>
  </si>
  <si>
    <t>Other studies</t>
  </si>
  <si>
    <t>2. Audits</t>
  </si>
  <si>
    <t>Audits of VDC</t>
  </si>
  <si>
    <t>Preparation of Finance Manual /d</t>
  </si>
  <si>
    <t>Tally software (Renewal)</t>
  </si>
  <si>
    <t>3. Technical assistance</t>
  </si>
  <si>
    <t>National consultants</t>
  </si>
  <si>
    <t>NGO recruitment expenses</t>
  </si>
  <si>
    <t xml:space="preserve">Seminar/Conference </t>
  </si>
  <si>
    <t>Subtotal Surveys, audits and TA</t>
  </si>
  <si>
    <t>Programme Officer ( NRM)</t>
  </si>
  <si>
    <t>Manager (MIS and M&amp;E)</t>
  </si>
  <si>
    <t>Programme Officer(M&amp;E)</t>
  </si>
  <si>
    <t>Programme Officer ( CI &amp; RF)</t>
  </si>
  <si>
    <t>Manager GIS</t>
  </si>
  <si>
    <t>Accounts Assistants (2)</t>
  </si>
  <si>
    <t>GIS Operator</t>
  </si>
  <si>
    <t>MPW 2</t>
  </si>
  <si>
    <t>Subtotal Staff salary</t>
  </si>
  <si>
    <t>Office rent</t>
  </si>
  <si>
    <t>2,500,000</t>
  </si>
  <si>
    <t>3,000</t>
  </si>
  <si>
    <t>180,000</t>
  </si>
  <si>
    <t>15,000</t>
  </si>
  <si>
    <t>1,580,000</t>
  </si>
  <si>
    <t>A. Drinking water &amp; sanitation</t>
  </si>
  <si>
    <t>Subtotal Drinking water &amp; sanitation</t>
  </si>
  <si>
    <t>B. Housing &amp; habitat development</t>
  </si>
  <si>
    <t>Subtotal Housing &amp; habitat development</t>
  </si>
  <si>
    <t>C. Roads, electricity &amp; solar lighting</t>
  </si>
  <si>
    <t>Subtotal Roads, electricity &amp; solar lighting</t>
  </si>
  <si>
    <t>D. Social  infrastructure</t>
  </si>
  <si>
    <t>Subtotal Social  infrastructure</t>
  </si>
  <si>
    <t>E. Economic Infrastructure</t>
  </si>
  <si>
    <t>F. Agricultural machinery &amp; tools /b</t>
  </si>
  <si>
    <t>Seed storage bins</t>
  </si>
  <si>
    <t>Subtotal Agricultural machinery &amp; tools</t>
  </si>
  <si>
    <t>IFAD(80%), BEN ( 20% )</t>
  </si>
  <si>
    <t>PMAY/BPGY ( 100% )</t>
  </si>
  <si>
    <t>CCD (100% )</t>
  </si>
  <si>
    <t>ART275 ( 100% )</t>
  </si>
  <si>
    <t>Subtotal Training CSP</t>
  </si>
  <si>
    <t>B. Support to CSPs in upscaling</t>
  </si>
  <si>
    <t>C. Livestock demonstrations</t>
  </si>
  <si>
    <t>Subtotal Livestock demonstrations</t>
  </si>
  <si>
    <t>D. Household production support</t>
  </si>
  <si>
    <t>Subtotal Household production support</t>
  </si>
  <si>
    <t>E. Setting up of Producers Collectives</t>
  </si>
  <si>
    <t>Hand-holding support</t>
  </si>
  <si>
    <t>Subtotal Setting up of Producers Collectives</t>
  </si>
  <si>
    <t>G. Support for Other Livelihood</t>
  </si>
  <si>
    <t>400,000</t>
  </si>
  <si>
    <t>A. Food security</t>
  </si>
  <si>
    <t>Subtotal PTG Food production system</t>
  </si>
  <si>
    <t>2. Farmers Field Schools, FFS</t>
  </si>
  <si>
    <t>Subtotal Food security</t>
  </si>
  <si>
    <t>B. Nutrition security</t>
  </si>
  <si>
    <t>1. Nutrition-dense crop diversification</t>
  </si>
  <si>
    <t>Subtotal Agriculture Training</t>
  </si>
  <si>
    <t>Training,workshop, review meetings /f</t>
  </si>
  <si>
    <t>C. Natural Resource Management</t>
  </si>
  <si>
    <t>Farmers share for PVTG/STs for various items /k</t>
  </si>
  <si>
    <t>1. SHG mapping &amp; promotion</t>
  </si>
  <si>
    <t>Subtotal SHG mapping &amp; promotion</t>
  </si>
  <si>
    <t>Subtotal SHG formation &amp; strengthening</t>
  </si>
  <si>
    <t>B. Training programme on SHG Led institutions</t>
  </si>
  <si>
    <t>1. SHG functioning</t>
  </si>
  <si>
    <t>Subtotal SHG functioning</t>
  </si>
  <si>
    <t>State level Training to staff of MPA &amp; NGO /e</t>
  </si>
  <si>
    <t>GPLF level Training to SHG members on Financial management etc /g</t>
  </si>
  <si>
    <t>GPLF level Training to Leaders on Financial management /h</t>
  </si>
  <si>
    <t>Training materials</t>
  </si>
  <si>
    <t>Subtotal Financial management with financial literacy</t>
  </si>
  <si>
    <t>3. Gender and Nutrition training</t>
  </si>
  <si>
    <t>Subtotal Training programme on SHG Led institutions</t>
  </si>
  <si>
    <t>1. Functioning of CLF/GPLF /i</t>
  </si>
  <si>
    <t>State level Training to staff of MPA &amp; NGO</t>
  </si>
  <si>
    <t>MPA/NGO level Accounting training to book keeper &amp; 3 office bearer of each GPLF /j</t>
  </si>
  <si>
    <t>MIS support to MPA</t>
  </si>
  <si>
    <t>Subtotal Functioning of CLF/GPLF</t>
  </si>
  <si>
    <t>2. GPLF building &amp; strenthening</t>
  </si>
  <si>
    <t xml:space="preserve">  training for the leaders /l</t>
  </si>
  <si>
    <t>Training to GPLF memebrs on vision building etc /m</t>
  </si>
  <si>
    <t>Subtotal GPLF building &amp; strenthening</t>
  </si>
  <si>
    <t>Revolving Funds at GPLF Level</t>
  </si>
  <si>
    <t>D. Nutrition and social issues</t>
  </si>
  <si>
    <t>1. Dal Poshak banks</t>
  </si>
  <si>
    <t>Dal Bank equipment /q</t>
  </si>
  <si>
    <t>Supply of Dal /r</t>
  </si>
  <si>
    <t>Supply of pulses seed for multiplication /s</t>
  </si>
  <si>
    <t>Subtotal Dal Poshak banks</t>
  </si>
  <si>
    <t>2. Marriage incentives /t</t>
  </si>
  <si>
    <t>Person _days</t>
  </si>
  <si>
    <t>PL S</t>
  </si>
  <si>
    <t>Lumpsum</t>
  </si>
  <si>
    <t>500</t>
  </si>
  <si>
    <t>650</t>
  </si>
  <si>
    <t>2,000</t>
  </si>
  <si>
    <t>5,250</t>
  </si>
  <si>
    <t>A. Service provider contracts (NGO) /a</t>
  </si>
  <si>
    <t>B. PMU Level Training &amp; Exposure visit</t>
  </si>
  <si>
    <t xml:space="preserve">Exposure visit to Outside state on different themes for 5 days	</t>
  </si>
  <si>
    <t>Exposure visit to inside state on different themes for 3 days	 /b</t>
  </si>
  <si>
    <t>Subtotal PMU Level Training &amp; Exposure visit</t>
  </si>
  <si>
    <t>D. CRP training</t>
  </si>
  <si>
    <t>Subtotal CRP training</t>
  </si>
  <si>
    <t>E. TOT Training module</t>
  </si>
  <si>
    <t>1. Hiring of Resource Agency</t>
  </si>
  <si>
    <t>Imparting ToT &amp; developing training Modules</t>
  </si>
  <si>
    <t>Knowledge Management &amp; IGA</t>
  </si>
  <si>
    <t>Arrangement of training &amp; other related Expd.</t>
  </si>
  <si>
    <t>Subtotal Hiring of Resource Agency</t>
  </si>
  <si>
    <t>F. Training VDA / VDC members</t>
  </si>
  <si>
    <t>VDA General body Meetings /Social Audit</t>
  </si>
  <si>
    <t>Thematic Training including AWPB, Leadership, VDP,Book Keeping, Audit etc</t>
  </si>
  <si>
    <t>Subtotal Training VDA / VDC members</t>
  </si>
  <si>
    <t>G. Village development</t>
  </si>
  <si>
    <t>Subtotal Village development</t>
  </si>
  <si>
    <t>IFAD ( 80%)</t>
  </si>
  <si>
    <t xml:space="preserve">Person days </t>
  </si>
  <si>
    <t>water melon</t>
  </si>
  <si>
    <t>Mixed Plantation mentainnance</t>
  </si>
  <si>
    <t>Mango Plantation Mentainance 1ST YR</t>
  </si>
  <si>
    <t>Mango Plantation Mentainance 2ND YR</t>
  </si>
  <si>
    <t>Cashew Plantation Mentainance 1ST YR</t>
  </si>
  <si>
    <t>Cashew Plantation Mentainance 2nd YR</t>
  </si>
  <si>
    <t>Sub Total Floricultutre</t>
  </si>
  <si>
    <t xml:space="preserve">Sub Total NRM </t>
  </si>
  <si>
    <t>Entry Point activity</t>
  </si>
  <si>
    <t>Sub Total Late marriage incentives</t>
  </si>
  <si>
    <t>CCD-(100 % )</t>
  </si>
  <si>
    <t>IFAD ( 80 % )</t>
  </si>
  <si>
    <t xml:space="preserve">Study </t>
  </si>
  <si>
    <t xml:space="preserve">Subtotal Nutrition Security </t>
  </si>
  <si>
    <t>Sub Total Office operating costs</t>
  </si>
  <si>
    <t>GPLF level Training to Leaders on various themes /k</t>
  </si>
  <si>
    <t>person_days</t>
  </si>
  <si>
    <t>CLF level Training to Leaders on varous themes etc /o</t>
  </si>
  <si>
    <t>Programme Officer ( CB, Gender &amp; Nutrition)</t>
  </si>
  <si>
    <t>System analyst</t>
  </si>
  <si>
    <t>VDC</t>
  </si>
  <si>
    <t>Accountants- 1 Nos</t>
  </si>
  <si>
    <t>Hiring of HR agency for PMU &amp; MPA /consultant</t>
  </si>
  <si>
    <t>Obligatory provisions (Annual Cash incentive , leave encashment etc.)</t>
  </si>
  <si>
    <t>Workshop/Speciallised Meeting/Training etc. /e</t>
  </si>
  <si>
    <t>Ceiling/wall mounting  fans</t>
  </si>
  <si>
    <t>Livelihoods Improvement</t>
  </si>
  <si>
    <t>Food &amp; Nutrition Security</t>
  </si>
  <si>
    <t>Programme Management Unit</t>
  </si>
  <si>
    <t>Micro Project Agency Unit</t>
  </si>
  <si>
    <t>Monitoring, Evaluation and KM</t>
  </si>
  <si>
    <t>IFAD ( 80% ), BEN (20%)</t>
  </si>
  <si>
    <t>C. Policy initiatives &amp; Social Security</t>
  </si>
  <si>
    <t>Pradhan Mantri Jeeban Jyoti Bima Yojana (PMJJBY)</t>
  </si>
  <si>
    <t>Pradhan Mantri Jeeban Surakshya Bima Yojana (PMJSBY)</t>
  </si>
  <si>
    <t>Pradhan Mantri Sishu Vikash Yojana (PMSVY)</t>
  </si>
  <si>
    <t>CCD (100%)</t>
  </si>
  <si>
    <t>SCA (100%)</t>
  </si>
  <si>
    <t>Subtotal Policy initiatives &amp; Social Security</t>
  </si>
  <si>
    <t xml:space="preserve">SCA (100 %) </t>
  </si>
  <si>
    <t xml:space="preserve">No </t>
  </si>
  <si>
    <t xml:space="preserve">sprinkler beneficiary contribution CCD </t>
  </si>
  <si>
    <t xml:space="preserve">Drip Beneficiary contribution CCD </t>
  </si>
  <si>
    <t xml:space="preserve">MGNREGA (100 %) </t>
  </si>
  <si>
    <t xml:space="preserve">Ghat Cutting roads CCD </t>
  </si>
  <si>
    <t xml:space="preserve">Provisioning of Boat CCD </t>
  </si>
  <si>
    <t xml:space="preserve">Mobile Tower CCD </t>
  </si>
  <si>
    <t>SCA (100 %)</t>
  </si>
  <si>
    <t>Sub Total Economic Infrastructure</t>
  </si>
  <si>
    <t xml:space="preserve">Creche-cum-NRC Fixed Cost </t>
  </si>
  <si>
    <t>Creche Operational Cost</t>
  </si>
  <si>
    <t>Incentives to Mothers Group /SHGs for cooking , serving , cleaning</t>
  </si>
  <si>
    <t>Utensil set for Spot Feeding Centre</t>
  </si>
  <si>
    <t>Fuelwoods/Gas othewrs'</t>
  </si>
  <si>
    <t>Engagement of temporary contractual Nutrition Cordinator in MPAs</t>
  </si>
  <si>
    <t>Other provisions /Salary Enhancement/arrear salary  etc. /h</t>
  </si>
  <si>
    <t>IFAD (80 %)</t>
  </si>
  <si>
    <t>Adult Literacy Unit</t>
  </si>
  <si>
    <t>VDP preparation /m</t>
  </si>
  <si>
    <t>vdc</t>
  </si>
  <si>
    <t>Working shed for Producer Groups and business activity centre for NTFP/MFP/SAP etc.  /k</t>
  </si>
  <si>
    <t>Information-cum-Culture  Centre IFAD</t>
  </si>
  <si>
    <t>Information-cum-Culture  Centre CCD</t>
  </si>
  <si>
    <t>Budget</t>
  </si>
  <si>
    <t>Solar Grid CCD</t>
  </si>
  <si>
    <t>CCD (100 %)</t>
  </si>
  <si>
    <t>IFAD (80%)</t>
  </si>
  <si>
    <t xml:space="preserve">F. Support for NTFP marketing/Cluster Development </t>
  </si>
  <si>
    <t xml:space="preserve">Sub Total Support for NTFP marketing/Cluster Development </t>
  </si>
  <si>
    <t>Culvert/Cause Weir/Cdworks ART</t>
  </si>
  <si>
    <t xml:space="preserve">Lac Cultivation </t>
  </si>
  <si>
    <t>MGNRGA(100 %)</t>
  </si>
  <si>
    <t>Other Vegetables/Crops</t>
  </si>
  <si>
    <t>OLM Meetings</t>
  </si>
  <si>
    <t xml:space="preserve">Office operating expenses/printing Stationery etc </t>
  </si>
  <si>
    <t>Interpretation Centre &amp; culture Complex CCD</t>
  </si>
  <si>
    <t>Additonal funding over rural housing for preservation of traditional architecture CCD</t>
  </si>
  <si>
    <t>Gravity/Borewell water supply CCD</t>
  </si>
  <si>
    <t>OTH (100 %)</t>
  </si>
  <si>
    <t xml:space="preserve">Education infrastructure </t>
  </si>
  <si>
    <t>Office Furnishing /Renovation</t>
  </si>
  <si>
    <t>.</t>
  </si>
  <si>
    <t>Total Budget in Crore</t>
  </si>
  <si>
    <t xml:space="preserve">Printer, scanner, photocopier / Xerox </t>
  </si>
  <si>
    <t>Earthen Canal/Field chamnnel etc.</t>
  </si>
  <si>
    <t>Rennovation/ New  WHS</t>
  </si>
  <si>
    <t xml:space="preserve">Dug well </t>
  </si>
  <si>
    <t xml:space="preserve">Farm Pond </t>
  </si>
  <si>
    <t xml:space="preserve">Rennovation &amp; New of diversion wire/Check dam </t>
  </si>
  <si>
    <t>Other equipment /TV/etc. b</t>
  </si>
  <si>
    <t xml:space="preserve">person </t>
  </si>
  <si>
    <t xml:space="preserve">Sub total Other Livelihood </t>
  </si>
  <si>
    <t>Diversion drain</t>
  </si>
  <si>
    <t>Ha</t>
  </si>
  <si>
    <t>RKVY(100 %)</t>
  </si>
  <si>
    <t>RKVY</t>
  </si>
  <si>
    <t>RKVY (100%)</t>
  </si>
  <si>
    <t>MIS/GIS design, softwares, development, geo mapping,etc /e</t>
  </si>
  <si>
    <t xml:space="preserve">RKVY training </t>
  </si>
  <si>
    <t xml:space="preserve">Earthen road </t>
  </si>
  <si>
    <t xml:space="preserve">Ghat Cutting </t>
  </si>
  <si>
    <t xml:space="preserve">km </t>
  </si>
  <si>
    <t>CCD(100)</t>
  </si>
  <si>
    <t xml:space="preserve">Mo bagicha </t>
  </si>
  <si>
    <t xml:space="preserve">SMC / Boundary trench </t>
  </si>
  <si>
    <t xml:space="preserve">WAT </t>
  </si>
  <si>
    <t xml:space="preserve">Gabion </t>
  </si>
  <si>
    <t xml:space="preserve">earthen Morum road </t>
  </si>
  <si>
    <t>HH</t>
  </si>
  <si>
    <t>Duckery Cluster 10 bird unit/HH)</t>
  </si>
  <si>
    <t>Support for SHG, Equipment for NTFP/MFP/SAP collection</t>
  </si>
  <si>
    <t>C. MPA &amp; NGO staff including CRP exposure / Training</t>
  </si>
  <si>
    <t>Vermin Compost-making /MGNREGS</t>
  </si>
  <si>
    <t>MPA level Training to CRPs on CLF/GPLF</t>
  </si>
  <si>
    <t>IFAD ( 80% ), GoO (20%</t>
  </si>
  <si>
    <t>IFAD ( 80% ), GoO (10%), BEN ( 10% )</t>
  </si>
  <si>
    <t>IFAD ( 80% ), CCD (20%)</t>
  </si>
  <si>
    <t>Collaboration with ICRISAT</t>
  </si>
  <si>
    <t>Ref.</t>
  </si>
  <si>
    <t>Promotion of Goatery Cluster in 1  villages ( 5 goats per HH and total 20 HH  in one cluster with 1 bucks ) SCA</t>
  </si>
  <si>
    <t xml:space="preserve">Convergecne </t>
  </si>
  <si>
    <t>Beneficiary</t>
  </si>
  <si>
    <t>Convergecne</t>
  </si>
  <si>
    <t>Sl No</t>
  </si>
  <si>
    <t>Scheme</t>
  </si>
  <si>
    <t>SCA-TSS</t>
  </si>
  <si>
    <t>Article-275 (1)</t>
  </si>
  <si>
    <t>CCD</t>
  </si>
  <si>
    <t>MGNREGS</t>
  </si>
  <si>
    <t xml:space="preserve">GPLF level Training to SHG members on many  subjects </t>
  </si>
  <si>
    <t xml:space="preserve">GPLF level Training to SHG Leaders on different themes </t>
  </si>
  <si>
    <t>GPLF level Training to SHG Book-keepers including CRPs</t>
  </si>
  <si>
    <t xml:space="preserve">Exposure visit of GPLF leaders to the best performing GPLF </t>
  </si>
  <si>
    <t>Exposure cum training visit of CLF leaders to the best performing CLF/GPLF</t>
  </si>
  <si>
    <t>Litchi Maintenance 1 st Year</t>
  </si>
  <si>
    <t>Wheat</t>
  </si>
  <si>
    <t>Sericulture</t>
  </si>
  <si>
    <t>Vocational Training</t>
  </si>
  <si>
    <t>Dugwell with solar lifting</t>
  </si>
  <si>
    <t>no</t>
  </si>
  <si>
    <t>Power tillers based custom hiring/agro service centre /c</t>
  </si>
  <si>
    <t>POL for  Motor Cycles @Rs.2500/vehicle/month max.</t>
  </si>
  <si>
    <t xml:space="preserve">Airconditioner </t>
  </si>
  <si>
    <t xml:space="preserve">Pickup Van /Cold Store  Van CCD </t>
  </si>
  <si>
    <t>Small Vegtable  Cold Chamber</t>
  </si>
  <si>
    <t>Integrated farming / Integrated Pisciculture</t>
  </si>
  <si>
    <t>Handpounding rice unit with Motor fitted</t>
  </si>
  <si>
    <t>Mechanised Bambo &amp; sabai Craft suport unit</t>
  </si>
  <si>
    <t>Value addition of lemon grass oil (Extraction Unit)</t>
  </si>
  <si>
    <t>Community Fuelwood reserves</t>
  </si>
  <si>
    <t>K Lime / Sweet Lime</t>
  </si>
  <si>
    <t>Yam / Elephant Foot Yam</t>
  </si>
  <si>
    <t>Establishment of processing unit/ Khajuri/ Rice flour mills/ Honey Processing Unit</t>
  </si>
  <si>
    <t xml:space="preserve"> Livelihoods linked Innovative activities </t>
  </si>
  <si>
    <t>Exposure visit on different themes including VDC members to other programme (inter district)</t>
  </si>
  <si>
    <t>5-T initiatives (display of AWPB-2021-22) 10ftx8Ft-VDC level</t>
  </si>
  <si>
    <t>Mo-sarakar cell (2 Nos of DEO)</t>
  </si>
  <si>
    <t>Organising meeting with defunct SHG members</t>
  </si>
  <si>
    <t>Nos</t>
  </si>
  <si>
    <t>State/ Cluster level Training to staff of MPA &amp; NGO including CRPs for 3 days</t>
  </si>
  <si>
    <t>MPA level Training of CRPs SHG book keeping (on field demonstration)</t>
  </si>
  <si>
    <t>C. Gender Rural Finance support to SHG led Institutions</t>
  </si>
  <si>
    <t xml:space="preserve">Sustainable livelihoods and its management (IGA ) at MPA level on field training </t>
  </si>
  <si>
    <t>3. Gender Funding support to CLF/GPLF</t>
  </si>
  <si>
    <t>State level training programme on different theme/aspects</t>
  </si>
  <si>
    <t>Transportation &amp; other cost for orgnasing agriculture exposure (Rs.15000*34Unit)</t>
  </si>
  <si>
    <t>A. Agriculture on farm Demonstration (Exposure visit)-IFAD</t>
  </si>
  <si>
    <t>B. Land Rights Allocation- IFAD</t>
  </si>
  <si>
    <t>Pine Apple IFAD</t>
  </si>
  <si>
    <t>Banana-IFAD</t>
  </si>
  <si>
    <t>Amla-IFAD</t>
  </si>
  <si>
    <t>Sabai grass -IFAD</t>
  </si>
  <si>
    <t>Drumstick-IFAD</t>
  </si>
  <si>
    <t>Apple ber -IFAD</t>
  </si>
  <si>
    <t>Formation/organisation of FFS-IFAD</t>
  </si>
  <si>
    <t>Assessment of use and  nutrient value  of uncultivated foods - IFAD</t>
  </si>
  <si>
    <t>Cereal / millets crops development -IFAD</t>
  </si>
  <si>
    <t xml:space="preserve">Pulses, oilseeds, tubers development -IFAD  </t>
  </si>
  <si>
    <t>Vegetables-IFAD</t>
  </si>
  <si>
    <t>Mushroom Revival</t>
  </si>
  <si>
    <t>Mushroom New</t>
  </si>
  <si>
    <t>A. Training CSP - IFAD</t>
  </si>
  <si>
    <t>Backyard Poultry (20 bird unit) to 10 members in a VDC</t>
  </si>
  <si>
    <t xml:space="preserve">Goat rearing unit (5 does+1 buck)-low cost sheds </t>
  </si>
  <si>
    <t>Producer collectives</t>
  </si>
  <si>
    <t>Model Nursery/ Nursery/Nursery management - Working capital</t>
  </si>
  <si>
    <t>Support for Agril and allied cluster development, Processing &amp; Marketing</t>
  </si>
  <si>
    <t>Community Solar light / street light</t>
  </si>
  <si>
    <t>Household Solar lanterns/ Solar light</t>
  </si>
  <si>
    <t>Household drinking Water (Only material cost)</t>
  </si>
  <si>
    <t>Support to Traditional Costumes/Cultural Equipments</t>
  </si>
  <si>
    <t>Piped water conveyance : Water Harvesting Structure /Irrigation structure/Irrigation conveyance SCA</t>
  </si>
  <si>
    <t>Small cold storage IFAD</t>
  </si>
  <si>
    <t>Social Security for PVTG HH</t>
  </si>
  <si>
    <t>HHs</t>
  </si>
  <si>
    <t>Social Security for vulnerable HH</t>
  </si>
  <si>
    <t>Studies and surveys/ documentary</t>
  </si>
  <si>
    <t>High end Photo copier</t>
  </si>
  <si>
    <t>Supervision Mission/ISM</t>
  </si>
  <si>
    <t>I.1</t>
  </si>
  <si>
    <t>I.2</t>
  </si>
  <si>
    <t>I.3</t>
  </si>
  <si>
    <t>I.4</t>
  </si>
  <si>
    <t>I.10</t>
  </si>
  <si>
    <t>I.5</t>
  </si>
  <si>
    <t>I.6</t>
  </si>
  <si>
    <t>I.7</t>
  </si>
  <si>
    <t>I.8</t>
  </si>
  <si>
    <t>I.9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</si>
  <si>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</si>
  <si>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</si>
  <si>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</si>
  <si>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</si>
  <si>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</si>
  <si>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</si>
  <si>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</si>
  <si>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</si>
  <si>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</si>
  <si>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</si>
  <si>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</si>
  <si>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</si>
  <si>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</si>
  <si>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</si>
  <si>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</si>
  <si>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I.26</t>
  </si>
  <si>
    <t>I.27</t>
  </si>
  <si>
    <t>I.28</t>
  </si>
  <si>
    <t>I.29</t>
  </si>
  <si>
    <t>I.30</t>
  </si>
  <si>
    <t>I.31</t>
  </si>
  <si>
    <t>I.32</t>
  </si>
  <si>
    <t>I.33</t>
  </si>
  <si>
    <t>I.34</t>
  </si>
  <si>
    <t>I.35</t>
  </si>
  <si>
    <t>I.36</t>
  </si>
  <si>
    <t>I.37</t>
  </si>
  <si>
    <t>I.38</t>
  </si>
  <si>
    <t>I.39</t>
  </si>
  <si>
    <t>I.40</t>
  </si>
  <si>
    <t>I.41</t>
  </si>
  <si>
    <t>I.42</t>
  </si>
  <si>
    <t>I.43</t>
  </si>
  <si>
    <t>I.44</t>
  </si>
  <si>
    <t>I.45</t>
  </si>
  <si>
    <t>I.46</t>
  </si>
  <si>
    <t>I.47</t>
  </si>
  <si>
    <t>I.48</t>
  </si>
  <si>
    <t>I.49</t>
  </si>
  <si>
    <t>I.50</t>
  </si>
  <si>
    <t>I.51</t>
  </si>
  <si>
    <t>I.52</t>
  </si>
  <si>
    <t>I.53</t>
  </si>
  <si>
    <t>I.54</t>
  </si>
  <si>
    <t>I.55</t>
  </si>
  <si>
    <t>I.56</t>
  </si>
  <si>
    <t>I.57</t>
  </si>
  <si>
    <t>I.58</t>
  </si>
  <si>
    <t>I.59</t>
  </si>
  <si>
    <t>I.60</t>
  </si>
  <si>
    <t>I.61</t>
  </si>
  <si>
    <t>I.62</t>
  </si>
  <si>
    <t>I.63</t>
  </si>
  <si>
    <t>I.64</t>
  </si>
  <si>
    <t>I.65</t>
  </si>
  <si>
    <t>I.66</t>
  </si>
  <si>
    <t>I.67</t>
  </si>
  <si>
    <t>I.68</t>
  </si>
  <si>
    <t>I.69</t>
  </si>
  <si>
    <t>I.70</t>
  </si>
  <si>
    <t>I.71</t>
  </si>
  <si>
    <t>I.72</t>
  </si>
  <si>
    <t>SCA(100%)</t>
  </si>
  <si>
    <t>Source Creation-Water Harvesting Structure/Irrigation structure/Irrigation conveyance SCA</t>
  </si>
  <si>
    <t>RKVY %</t>
  </si>
  <si>
    <t>Land Levelling/development  - IFAD</t>
  </si>
  <si>
    <t>M.1</t>
  </si>
  <si>
    <t>M.3</t>
  </si>
  <si>
    <t>M.2</t>
  </si>
  <si>
    <t>M.4</t>
  </si>
  <si>
    <t>I.141</t>
  </si>
  <si>
    <t>Account Code</t>
  </si>
  <si>
    <t>Maize</t>
  </si>
  <si>
    <t>Ragi /smaller millets</t>
  </si>
  <si>
    <t>Paddy (Line Sowing, Critical Intervention)/ SRI</t>
  </si>
  <si>
    <t>Black Rice/Sala Phula /Aromatic</t>
  </si>
  <si>
    <t>Mustard</t>
  </si>
  <si>
    <t>Ground Nut</t>
  </si>
  <si>
    <t>Sun Flower</t>
  </si>
  <si>
    <t>Arhar</t>
  </si>
  <si>
    <t>Black Gram</t>
  </si>
  <si>
    <t>Green Gram</t>
  </si>
  <si>
    <t>Potato</t>
  </si>
  <si>
    <t>Pigeon  Pea(Chana)/Chick Pea</t>
  </si>
  <si>
    <t>Dangar Rani(Kating</t>
  </si>
  <si>
    <t>Tapioca</t>
  </si>
  <si>
    <t xml:space="preserve">Nursery </t>
  </si>
  <si>
    <t>I.73</t>
  </si>
  <si>
    <t>I.74</t>
  </si>
  <si>
    <t>I.75</t>
  </si>
  <si>
    <t>I.76</t>
  </si>
  <si>
    <t>I.77</t>
  </si>
  <si>
    <t>I.78</t>
  </si>
  <si>
    <t>I.79</t>
  </si>
  <si>
    <t>I.80</t>
  </si>
  <si>
    <t>I.81</t>
  </si>
  <si>
    <t>I.82</t>
  </si>
  <si>
    <t>I.83</t>
  </si>
  <si>
    <t>I.85</t>
  </si>
  <si>
    <t>I.84</t>
  </si>
  <si>
    <t>I.86</t>
  </si>
  <si>
    <t>I.87</t>
  </si>
  <si>
    <t>I.88</t>
  </si>
  <si>
    <t>I.89</t>
  </si>
  <si>
    <t>I.90</t>
  </si>
  <si>
    <t>I.91</t>
  </si>
  <si>
    <t>I.92</t>
  </si>
  <si>
    <t>I.93</t>
  </si>
  <si>
    <t>I.94</t>
  </si>
  <si>
    <t>I.95</t>
  </si>
  <si>
    <t>I.96</t>
  </si>
  <si>
    <t>I.97</t>
  </si>
  <si>
    <t>I.98</t>
  </si>
  <si>
    <t>I.99</t>
  </si>
  <si>
    <t>I.100</t>
  </si>
  <si>
    <t>I.101</t>
  </si>
  <si>
    <t>I.102</t>
  </si>
  <si>
    <t>I.103</t>
  </si>
  <si>
    <t>I.104</t>
  </si>
  <si>
    <t>I.105</t>
  </si>
  <si>
    <t>I.106</t>
  </si>
  <si>
    <t>I.107</t>
  </si>
  <si>
    <t>I.108</t>
  </si>
  <si>
    <t>I.109</t>
  </si>
  <si>
    <t>I.110</t>
  </si>
  <si>
    <t>I.111</t>
  </si>
  <si>
    <t>I.112</t>
  </si>
  <si>
    <t>I.113</t>
  </si>
  <si>
    <t>I.114</t>
  </si>
  <si>
    <t>I.115</t>
  </si>
  <si>
    <t>I.116</t>
  </si>
  <si>
    <t>I.117</t>
  </si>
  <si>
    <t>I.118</t>
  </si>
  <si>
    <t>I.119</t>
  </si>
  <si>
    <t>I.120</t>
  </si>
  <si>
    <t>I.121</t>
  </si>
  <si>
    <t>I.122</t>
  </si>
  <si>
    <t>I.123</t>
  </si>
  <si>
    <t>I.124</t>
  </si>
  <si>
    <t>I.125</t>
  </si>
  <si>
    <t>I.126</t>
  </si>
  <si>
    <t>I.127</t>
  </si>
  <si>
    <t>I.128</t>
  </si>
  <si>
    <t>I.129</t>
  </si>
  <si>
    <t>I.130</t>
  </si>
  <si>
    <t>I.131</t>
  </si>
  <si>
    <t>I.132</t>
  </si>
  <si>
    <t>I.133</t>
  </si>
  <si>
    <t>I.134</t>
  </si>
  <si>
    <t>I.135</t>
  </si>
  <si>
    <t>I.136</t>
  </si>
  <si>
    <t>I.137</t>
  </si>
  <si>
    <t>I.138</t>
  </si>
  <si>
    <t>I.139</t>
  </si>
  <si>
    <t>I.140</t>
  </si>
  <si>
    <t>I.142</t>
  </si>
  <si>
    <t>I.143</t>
  </si>
  <si>
    <t>I.144</t>
  </si>
  <si>
    <t>I.145</t>
  </si>
  <si>
    <t>I.146</t>
  </si>
  <si>
    <t>I.147</t>
  </si>
  <si>
    <t>I.148</t>
  </si>
  <si>
    <t xml:space="preserve">Animal health camps /User charges vaccine /fist aid mrdicine </t>
  </si>
  <si>
    <t>1 day Training to VDC Members on various Govt. Schemes / Programmes at MPA level</t>
  </si>
  <si>
    <t>Education Aids</t>
  </si>
  <si>
    <t xml:space="preserve">Sports &amp; Yoga </t>
  </si>
  <si>
    <t>DBI</t>
  </si>
  <si>
    <t>Banana -SCA</t>
  </si>
  <si>
    <t>Pine Apple SCA</t>
  </si>
  <si>
    <t>Developing Market Yard/Weighing scale / Vending Zone / New Haat SCA</t>
  </si>
  <si>
    <t>Promotion of SHG  Artisian and Micro Enterprise  SCA</t>
  </si>
  <si>
    <t>Promotion of agril /Horticulture production storage cum value addition center - SCA</t>
  </si>
  <si>
    <t>Household kitchen garden SCA</t>
  </si>
  <si>
    <t xml:space="preserve">IEC/ counciling/ </t>
  </si>
  <si>
    <t xml:space="preserve">Extension of Piped water conveyance system </t>
  </si>
  <si>
    <t>Piped water Source &amp;  conveyance system</t>
  </si>
  <si>
    <t>Ls</t>
  </si>
  <si>
    <t>Bike Ambulance</t>
  </si>
  <si>
    <t>5-T initiatives (display of signage) 10ftx8Ft- activity wise at VDC level (last 2017-18 to 2020-21) 1012</t>
  </si>
  <si>
    <t xml:space="preserve">each </t>
  </si>
  <si>
    <t>NTFP / SAP Drying Yard IFAD</t>
  </si>
  <si>
    <t>IFAD (50% ), GO (50%)</t>
  </si>
  <si>
    <t xml:space="preserve">Confidence Building Measures PVTG Villages </t>
  </si>
  <si>
    <t>Confidence Building Measures diffcult areas</t>
  </si>
  <si>
    <t>Papeya-SCA</t>
  </si>
  <si>
    <t>Land Reclamation</t>
  </si>
  <si>
    <t>Soil Testing</t>
  </si>
  <si>
    <t>ls</t>
  </si>
  <si>
    <t>IFAD ( 80% ),</t>
  </si>
  <si>
    <t>Drying Mat</t>
  </si>
  <si>
    <t xml:space="preserve">Subcomponent:4.2 </t>
  </si>
  <si>
    <t xml:space="preserve"> Micro Project Agency</t>
  </si>
  <si>
    <t xml:space="preserve">Component: 4 </t>
  </si>
  <si>
    <t xml:space="preserve">Subcomponent:4.3 </t>
  </si>
  <si>
    <t>Maintenance of computers system (AMC)</t>
  </si>
  <si>
    <t>Insurance of Assets/AMC</t>
  </si>
  <si>
    <t>Nutrition Resource Centre  -IFAD</t>
  </si>
  <si>
    <t>Total of Conv. &amp; Goo</t>
  </si>
  <si>
    <t>Funding sources</t>
  </si>
  <si>
    <t>Quarterly Plan</t>
  </si>
  <si>
    <t>PCR study / baseline survey for 1138 Newly identified PVTG villages</t>
  </si>
  <si>
    <t>study / Survey</t>
  </si>
  <si>
    <t xml:space="preserve">Exposure Visit programme of NCs after induction training at PMU to 4 different </t>
  </si>
  <si>
    <t>Difference</t>
  </si>
  <si>
    <t>Procurement Officer- Consultant</t>
  </si>
  <si>
    <t>Vetrinary Officer-Consultant</t>
  </si>
  <si>
    <t>PO Livelihoods &amp; convergene</t>
  </si>
  <si>
    <t>Various Thematic training to CRPS &amp; VDC members including AWPB, VDP, MGNREGS etc. /d</t>
  </si>
  <si>
    <t>Other provisions /Salary Enhancement/arrear salary  etc. / Obligatory provisions (Annual Cash incentive , leave encashment etc.)</t>
  </si>
  <si>
    <t>support incentive to Livestock CSP</t>
  </si>
  <si>
    <t>CSP/LIs</t>
  </si>
  <si>
    <t>Youth Dormitory</t>
  </si>
  <si>
    <t>Advertisement / Publicity(IEC) /Video documentation/Video documentation &amp; Airing of videos/Tribal festival/Publication  etc /i</t>
  </si>
  <si>
    <t>Households</t>
  </si>
  <si>
    <t>FARD (100%)</t>
  </si>
  <si>
    <t>FARD%</t>
  </si>
  <si>
    <t>FARD</t>
  </si>
  <si>
    <t>Animal Husbandry: Matching support of Rs. 1.15 Lakhs for convergence with FARD 2.3 Lakhs SHG Goat Model ( 30 Does+2 Bucks ) CCD</t>
  </si>
  <si>
    <t xml:space="preserve">Animal Husbandry: Support to SHG Members @ Rs. 4000 per SHG Member ( 25 + 25 LIT 28 days Birds) </t>
  </si>
  <si>
    <t xml:space="preserve">Irrigation source Development and DBI/Piped water conveyance system CCD </t>
  </si>
  <si>
    <t xml:space="preserve">Diversion Based Irrigation /Small Irrigation Structure/ Borewell Based CCD </t>
  </si>
  <si>
    <t xml:space="preserve">WHS / Check dam watershed approach CCD </t>
  </si>
  <si>
    <t xml:space="preserve">Earthen Check Dams/ Runoff Management Structures CCD </t>
  </si>
  <si>
    <t xml:space="preserve">CCD(100 %) </t>
  </si>
  <si>
    <t>Ghat Cutting small CCD</t>
  </si>
  <si>
    <t xml:space="preserve">Operational cost of maternal Spot Feeding centres </t>
  </si>
  <si>
    <t>Operational cost of spot feeding centres from 3-6 years</t>
  </si>
  <si>
    <t>Animal Husbandry: Matching support of Rs. 1.15 Lakhs for convergence with FARD 2.3 Lakhs SHG Goat Model ( 30 Does+2 Bucks ) FARD</t>
  </si>
  <si>
    <t>Backyard Poultry (25 + 25 bird unit) from FARD</t>
  </si>
  <si>
    <t xml:space="preserve">Each </t>
  </si>
  <si>
    <t>CCD(100%)</t>
  </si>
  <si>
    <t xml:space="preserve">Layer Desi Poultry -CCD </t>
  </si>
  <si>
    <t>CCD(100 %)</t>
  </si>
  <si>
    <t xml:space="preserve">Staff Quarter, office  new and Renovation </t>
  </si>
  <si>
    <t xml:space="preserve">Household Solar lanterns/ Solar light-CCD </t>
  </si>
  <si>
    <t>NTFP / SAP Drying Yard  CCD</t>
  </si>
  <si>
    <t>CCD  ( 100% )</t>
  </si>
  <si>
    <t>Land Development / Field Bunding/Diversion Bunds  @ 0.2 per ha CCD</t>
  </si>
  <si>
    <t>Traditional Costumes/Cultural Equipments/ Dharanigudi  CCD</t>
  </si>
  <si>
    <t>Ghat Cutting small SCA</t>
  </si>
  <si>
    <t xml:space="preserve">SCA(100 %) </t>
  </si>
  <si>
    <t xml:space="preserve">Running Capital Puffed Rice/stone grinding /  SCA </t>
  </si>
  <si>
    <t xml:space="preserve">Cultural cenre/Museum/Stair case/ MCU  CCD </t>
  </si>
  <si>
    <t xml:space="preserve">Rennovation of classroom / hostel / dinning/toilet &amp; bathroom/desk bench/ sports kit / coats  CCD </t>
  </si>
  <si>
    <t>Back Yard Poultry SCA</t>
  </si>
  <si>
    <t>Tractor based/Power tiller  costume hiring centre SCA</t>
  </si>
  <si>
    <t>April 2022 to March 2023</t>
  </si>
  <si>
    <t>SUMMARY OF AWPB 2022-23</t>
  </si>
  <si>
    <t xml:space="preserve"> Annual Work Plan and Budget- From April 2022 to March 2023</t>
  </si>
  <si>
    <t xml:space="preserve">VDC Members training at MPA level Quarterly </t>
  </si>
  <si>
    <t>Thematic exposure visits ofSHG members + CINO, RFO SM &amp; CRPs on SHG (3 visit x 17MPA x 15 members)</t>
  </si>
  <si>
    <t>Support to CSP-IGA</t>
  </si>
  <si>
    <t>Engagement of temporary contractual GP Nutrition Assistant in MPAs</t>
  </si>
  <si>
    <t>Creche workers / SHGMembers-15 days for a year at MPA level</t>
  </si>
  <si>
    <t>Training / exposure to GPNA on different aspects for a period of 13 days</t>
  </si>
  <si>
    <t>per center/yr</t>
  </si>
  <si>
    <t>SHG worksheds for Aggregation of NTFP/SAP</t>
  </si>
  <si>
    <t>2. SHG equipment: A/c books as per OLM format (Cash book, member pass book &amp; Minutes book)</t>
  </si>
  <si>
    <t xml:space="preserve"> (GoO &amp; IFAD)</t>
  </si>
  <si>
    <r>
      <t xml:space="preserve">Niger / </t>
    </r>
    <r>
      <rPr>
        <sz val="12"/>
        <rFont val="Calibri"/>
        <family val="2"/>
      </rPr>
      <t>Soyabean (Soyabean for Putasing)</t>
    </r>
  </si>
  <si>
    <t>New</t>
  </si>
  <si>
    <r>
      <t xml:space="preserve">Human Health Camp </t>
    </r>
    <r>
      <rPr>
        <sz val="10"/>
        <rFont val="Calibri"/>
        <family val="2"/>
      </rPr>
      <t xml:space="preserve">(CCD) </t>
    </r>
  </si>
  <si>
    <t>NEW</t>
  </si>
  <si>
    <t>No of PVTG HHs</t>
  </si>
  <si>
    <t>GoO &amp; IFAD funds</t>
  </si>
  <si>
    <t>GoO &amp; IFAD</t>
  </si>
  <si>
    <t>% of funds allocation (GoO &amp; IFAD)</t>
  </si>
  <si>
    <t>% of funds allocation (Total)</t>
  </si>
  <si>
    <t>Total MPA GoO &amp; IFAD funds</t>
  </si>
  <si>
    <t>% of PVTG HHs</t>
  </si>
  <si>
    <t>Orientation to SHG Members on SFC / MSFC management for 4 days</t>
  </si>
  <si>
    <t>Exposure &amp; Training of VDC members on different themes</t>
  </si>
  <si>
    <t xml:space="preserve">Exposure visit for Sustainable livelihoods and its management (IGA ) at MPA level (on field demonstration) </t>
  </si>
  <si>
    <t>nos</t>
  </si>
  <si>
    <t>Training for livestock beneficiaries</t>
  </si>
  <si>
    <t>Veterinary tool kits for CSP &amp; LIs (vaccine carrier )</t>
  </si>
  <si>
    <t xml:space="preserve">Community infrastructure / drudgery reduction Maintenace </t>
  </si>
  <si>
    <t>Scheme wise fund provisioning for OPELIP for the FY 2022-23 Amount (INR)</t>
  </si>
  <si>
    <t>Training CRPs for 1 days</t>
  </si>
  <si>
    <t>Farm implements (CHC)-7</t>
  </si>
  <si>
    <t>Extension of Household drinking water from existing sources (only material cost) -62</t>
  </si>
  <si>
    <t>Sacred Fencing /e-68</t>
  </si>
  <si>
    <t xml:space="preserve">Household crop development (Regular) </t>
  </si>
  <si>
    <t xml:space="preserve">Household crop development (Mini) </t>
  </si>
  <si>
    <t>Promotion/Revival of SHG (incentives to CRP) (600)</t>
  </si>
  <si>
    <t xml:space="preserve">State level training for PRI members 2 days for 500 members </t>
  </si>
  <si>
    <t xml:space="preserve">Cereal crops SRI for rice, millet ( APC Cluster) </t>
  </si>
  <si>
    <t xml:space="preserve">Pulses, oilseeds, tuber crops ( APC Cluster) </t>
  </si>
  <si>
    <t xml:space="preserve">Horticulture /d(APC Cluster) </t>
  </si>
  <si>
    <t xml:space="preserve"> land allocation (Geo Enabled Device)&amp; Dumpy Level</t>
  </si>
  <si>
    <t xml:space="preserve">Subtotal Land Rights Allocation: </t>
  </si>
  <si>
    <t>1. PVTG Food production system</t>
  </si>
  <si>
    <t>FFS</t>
  </si>
  <si>
    <t xml:space="preserve">Training for IGA CSP -(180 nos) </t>
  </si>
  <si>
    <t>Poultry mother units (Revival@89GP)/e</t>
  </si>
  <si>
    <t>High value commercial agriculture and allied(APC)</t>
  </si>
  <si>
    <t>Water Purification pilot CIPET/IMMT-IFAD</t>
  </si>
  <si>
    <t xml:space="preserve">Solar Fecncing piloting for APC  </t>
  </si>
  <si>
    <t>Desktop / Laptop/GPS Camera-17 nos</t>
  </si>
  <si>
    <t>V sat with broadband connection &amp; Moneky cage-3</t>
  </si>
  <si>
    <t>Person</t>
  </si>
  <si>
    <t xml:space="preserve">Subtotal Rural Finance support to SHG led Institutions 650 </t>
  </si>
  <si>
    <t>Human resources costs- field level</t>
  </si>
  <si>
    <t>2. Behavioural Change in COVID, Health, Nutrition, sanitation &amp; hygeine</t>
  </si>
  <si>
    <t>Refresher Training for CSPs 2 days LI/VAW/CSP Agri-Horti</t>
  </si>
  <si>
    <t>Sunflower / Turmeric processing unit/Puffed Rice unit/ Oil Extraction Unit/ Food processing Unit</t>
  </si>
  <si>
    <t>IGA units for poorest of poor households (Unit cost Ranging from 20,000 to 50,000 INR depending upon BDP Avg. 30,000</t>
  </si>
  <si>
    <t>amc</t>
  </si>
  <si>
    <t>Installation of Travis for Veterinary Treatment</t>
  </si>
  <si>
    <t>Annual Work Plan &amp; Budget of OPELIP for the FY 2022-23Amount (INR)</t>
  </si>
  <si>
    <r>
      <t xml:space="preserve">A. </t>
    </r>
    <r>
      <rPr>
        <b/>
        <sz val="12"/>
        <rFont val="Calibri"/>
        <family val="2"/>
      </rPr>
      <t>Gender Mainstream (SHG formation, strengthening)</t>
    </r>
  </si>
  <si>
    <r>
      <t xml:space="preserve">MPA level Training of CRPs </t>
    </r>
    <r>
      <rPr>
        <sz val="12"/>
        <rFont val="Calibri"/>
        <family val="2"/>
      </rPr>
      <t>(SHG, CLF, GPLF &amp; Gender) for  3 days</t>
    </r>
  </si>
  <si>
    <r>
      <t xml:space="preserve">2. Gender Financial management with financial </t>
    </r>
    <r>
      <rPr>
        <b/>
        <sz val="12"/>
        <rFont val="Calibri"/>
        <family val="2"/>
      </rPr>
      <t>literacy/awreness on RF</t>
    </r>
  </si>
  <si>
    <t>AWP&amp;B (in Rs.) Apr 22 to March 23</t>
  </si>
  <si>
    <t>AWPB 2022-23</t>
  </si>
  <si>
    <t>C.1</t>
  </si>
  <si>
    <t>I.149</t>
  </si>
  <si>
    <t>I.150</t>
  </si>
  <si>
    <t>I.151</t>
  </si>
  <si>
    <t>I.152</t>
  </si>
  <si>
    <t>I.153</t>
  </si>
  <si>
    <t>I.154</t>
  </si>
  <si>
    <t>I.155</t>
  </si>
  <si>
    <t>I.156</t>
  </si>
  <si>
    <t>I.157</t>
  </si>
  <si>
    <t>I.158</t>
  </si>
  <si>
    <t>I.159</t>
  </si>
  <si>
    <t>I.160</t>
  </si>
  <si>
    <t>I.161</t>
  </si>
  <si>
    <t>I.162</t>
  </si>
  <si>
    <t>I.163</t>
  </si>
  <si>
    <t>I.164</t>
  </si>
  <si>
    <t>I.165</t>
  </si>
  <si>
    <t>I.166</t>
  </si>
  <si>
    <t>I.167</t>
  </si>
  <si>
    <t>I.168</t>
  </si>
  <si>
    <t>I.169</t>
  </si>
  <si>
    <t>I.170</t>
  </si>
  <si>
    <t>I.171</t>
  </si>
  <si>
    <t>I.172</t>
  </si>
  <si>
    <t>I.173</t>
  </si>
  <si>
    <t>I.174</t>
  </si>
  <si>
    <t>I.175</t>
  </si>
  <si>
    <t>I.176</t>
  </si>
  <si>
    <t>I.177</t>
  </si>
  <si>
    <t>I.178</t>
  </si>
  <si>
    <t>I.179</t>
  </si>
  <si>
    <t>I.180</t>
  </si>
  <si>
    <t>I.181</t>
  </si>
  <si>
    <t>I.182</t>
  </si>
  <si>
    <t>I.183</t>
  </si>
  <si>
    <t>I.184</t>
  </si>
  <si>
    <t>I.185</t>
  </si>
  <si>
    <t>I.186</t>
  </si>
  <si>
    <t>I.187</t>
  </si>
  <si>
    <t>I.188</t>
  </si>
  <si>
    <t>I.189</t>
  </si>
  <si>
    <t>I.190</t>
  </si>
  <si>
    <t>I.191</t>
  </si>
  <si>
    <t>I.192</t>
  </si>
  <si>
    <t>I.193</t>
  </si>
  <si>
    <t>I.194</t>
  </si>
  <si>
    <t>I.195</t>
  </si>
  <si>
    <t>I.196</t>
  </si>
  <si>
    <t>I.197</t>
  </si>
  <si>
    <t>I.198</t>
  </si>
  <si>
    <t>I.199</t>
  </si>
  <si>
    <t>I.200</t>
  </si>
  <si>
    <t>I.201</t>
  </si>
  <si>
    <t>I.202</t>
  </si>
  <si>
    <t>I.203</t>
  </si>
  <si>
    <t>I.204</t>
  </si>
  <si>
    <t>I.205</t>
  </si>
  <si>
    <t>I.206</t>
  </si>
  <si>
    <t>I.207</t>
  </si>
  <si>
    <t>I.208</t>
  </si>
  <si>
    <t>I.209</t>
  </si>
  <si>
    <t>I.210</t>
  </si>
  <si>
    <t>I.211</t>
  </si>
  <si>
    <t>I.212</t>
  </si>
  <si>
    <t>I.213</t>
  </si>
  <si>
    <t>I.214</t>
  </si>
  <si>
    <t>I.215</t>
  </si>
  <si>
    <t>I.216</t>
  </si>
  <si>
    <t>I.217</t>
  </si>
  <si>
    <t>I.218</t>
  </si>
  <si>
    <t>I.219</t>
  </si>
  <si>
    <t>I.220</t>
  </si>
  <si>
    <t>I.221</t>
  </si>
  <si>
    <t>I.222</t>
  </si>
  <si>
    <t>I.223</t>
  </si>
  <si>
    <t>I.224</t>
  </si>
  <si>
    <t>I.225</t>
  </si>
  <si>
    <t>I.226</t>
  </si>
  <si>
    <t>I.227</t>
  </si>
  <si>
    <t>I.228</t>
  </si>
  <si>
    <t>I.229</t>
  </si>
  <si>
    <t>I.230</t>
  </si>
  <si>
    <t>I.231</t>
  </si>
  <si>
    <t>I.232</t>
  </si>
  <si>
    <t>I.233</t>
  </si>
  <si>
    <t>I.234</t>
  </si>
  <si>
    <t>I.235</t>
  </si>
  <si>
    <t>I.236</t>
  </si>
  <si>
    <t>I.237</t>
  </si>
  <si>
    <t>I.238</t>
  </si>
  <si>
    <t>I.239</t>
  </si>
  <si>
    <t>I.240</t>
  </si>
  <si>
    <t>I.241</t>
  </si>
  <si>
    <t>I.242</t>
  </si>
  <si>
    <t>I.243</t>
  </si>
  <si>
    <t>I.244</t>
  </si>
  <si>
    <t>I.245</t>
  </si>
  <si>
    <t>I.246</t>
  </si>
  <si>
    <t>I.247</t>
  </si>
  <si>
    <t>I.248</t>
  </si>
  <si>
    <t>I.249</t>
  </si>
  <si>
    <t>I.250</t>
  </si>
  <si>
    <t>I.251</t>
  </si>
  <si>
    <t>I.252</t>
  </si>
  <si>
    <t>I.253</t>
  </si>
  <si>
    <t>I.254</t>
  </si>
  <si>
    <t>I.255</t>
  </si>
  <si>
    <t>I.256</t>
  </si>
  <si>
    <t>I.257</t>
  </si>
  <si>
    <t>I.258</t>
  </si>
  <si>
    <t>I.259</t>
  </si>
  <si>
    <t>I.260</t>
  </si>
  <si>
    <t>I.261</t>
  </si>
  <si>
    <t>I.262</t>
  </si>
  <si>
    <t>I.263</t>
  </si>
  <si>
    <t>I.264</t>
  </si>
  <si>
    <t>I.265</t>
  </si>
  <si>
    <t>I.266</t>
  </si>
  <si>
    <t>I.267</t>
  </si>
  <si>
    <t>I.268</t>
  </si>
  <si>
    <t>I.269</t>
  </si>
  <si>
    <t>I.270</t>
  </si>
  <si>
    <t>I.271</t>
  </si>
  <si>
    <t>I.272</t>
  </si>
  <si>
    <t>I.273</t>
  </si>
  <si>
    <t>I.274</t>
  </si>
  <si>
    <t>I.275</t>
  </si>
  <si>
    <t>I.276</t>
  </si>
  <si>
    <t>I.277</t>
  </si>
  <si>
    <t>I.278</t>
  </si>
  <si>
    <t>I.279</t>
  </si>
  <si>
    <t>I.280</t>
  </si>
  <si>
    <t>I.281</t>
  </si>
  <si>
    <t>I.282</t>
  </si>
  <si>
    <t>I.283</t>
  </si>
  <si>
    <t>I.284</t>
  </si>
  <si>
    <t>I.285</t>
  </si>
  <si>
    <t>I.286</t>
  </si>
  <si>
    <t>I.287</t>
  </si>
  <si>
    <t>I.288</t>
  </si>
  <si>
    <t>I.289</t>
  </si>
  <si>
    <t>I.290</t>
  </si>
  <si>
    <t>I.291</t>
  </si>
  <si>
    <t>I.292</t>
  </si>
  <si>
    <t>I.293</t>
  </si>
  <si>
    <t>I.294</t>
  </si>
  <si>
    <t>I.295</t>
  </si>
  <si>
    <t>I.296</t>
  </si>
  <si>
    <t>I.297</t>
  </si>
  <si>
    <t>Activities</t>
  </si>
  <si>
    <t>Units</t>
  </si>
  <si>
    <t>Physical target</t>
  </si>
  <si>
    <t>Financial Budget (Rs. In Lakhs)</t>
  </si>
  <si>
    <t>Training of VDA &amp; VDC</t>
  </si>
  <si>
    <t>Programme Management at PMU</t>
  </si>
  <si>
    <t>Programme Management at MPA</t>
  </si>
  <si>
    <t>Community Institution Development</t>
  </si>
  <si>
    <t>Strengthening SHG &amp; Rural Finance</t>
  </si>
  <si>
    <t>Subtotal (1)</t>
  </si>
  <si>
    <t>Sub-total (2)</t>
  </si>
  <si>
    <t>Sub-total (3)</t>
  </si>
  <si>
    <t>Sub-total (4)</t>
  </si>
  <si>
    <t>Grand Total (1+2+3+4)</t>
  </si>
  <si>
    <t>Particulars</t>
  </si>
  <si>
    <t>Grand Total</t>
  </si>
  <si>
    <t>Consolidated Category Wise GoO &amp; IFAD fund details for the Financial Year 2022-23</t>
  </si>
  <si>
    <t>Category Wise GoO &amp; IFAD fund details for the Financial Year 2022-23</t>
  </si>
  <si>
    <t>Civil work</t>
  </si>
  <si>
    <t xml:space="preserve">Training </t>
  </si>
  <si>
    <t>Goods, services and inputs</t>
  </si>
  <si>
    <t>Operating costs</t>
  </si>
  <si>
    <t>Major Indicative activities under IFAD for FY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</si>
</sst>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0.0"/>
    <numFmt numFmtId="167" formatCode="#,##0.00_ ;\-#,##0.00\ "/>
    <numFmt numFmtId="168" formatCode="#,##0.00;[Red]#,##0.00"/>
    <numFmt numFmtId="169" formatCode="#,##0.0;\-#,##0.0;\-"/>
    <numFmt numFmtId="170" formatCode="#,##0.0"/>
    <numFmt numFmtId="171" formatCode="_ * #,##0_ ;_ * \-#,##0_ ;_ * &quot;-&quot;??_ ;_ @_ "/>
    <numFmt numFmtId="172" formatCode="#,##0.000"/>
    <numFmt numFmtId="173" formatCode="_-* #,##0_-;\-* #,##0_-;_-* &quot;-&quot;??_-;_-@_-"/>
  </numFmts>
  <fonts count="4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</font>
    <font>
      <b/>
      <u/>
      <sz val="12"/>
      <color rgb="FF000000"/>
      <name val="Calibri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u/>
      <sz val="14"/>
      <color rgb="FF000000"/>
      <name val="Calibri"/>
      <family val="2"/>
    </font>
    <font>
      <b/>
      <sz val="14"/>
      <color theme="1"/>
      <name val="Calibri"/>
      <family val="2"/>
    </font>
    <font>
      <b/>
      <u/>
      <sz val="14"/>
      <color theme="1"/>
      <name val="Calibri"/>
      <family val="2"/>
    </font>
    <font>
      <b/>
      <sz val="14"/>
      <name val="Calibri"/>
      <family val="2"/>
      <scheme val="minor"/>
    </font>
    <font>
      <b/>
      <sz val="11"/>
      <color rgb="FF000000"/>
      <name val="Leelawadee"/>
      <family val="2"/>
    </font>
    <font>
      <sz val="11"/>
      <color rgb="FF000000"/>
      <name val="Leelawadee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sz val="14"/>
      <color rgb="FF000000"/>
      <name val="Calibri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2"/>
      <name val="Calibri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  <scheme val="minor"/>
    </font>
    <font>
      <b/>
      <sz val="12"/>
      <name val="Arial"/>
      <family val="2"/>
    </font>
    <font>
      <sz val="12"/>
      <color rgb="FF7030A0"/>
      <name val="Calibri"/>
      <family val="2"/>
      <scheme val="minor"/>
    </font>
    <font>
      <b/>
      <sz val="12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.5"/>
      <color theme="1"/>
      <name val="Leelawadee"/>
      <family val="2"/>
    </font>
    <font>
      <sz val="10.5"/>
      <color theme="1"/>
      <name val="Leelawadee"/>
      <family val="2"/>
    </font>
    <font>
      <b/>
      <u/>
      <sz val="10.5"/>
      <color theme="1"/>
      <name val="Leelawadee"/>
      <family val="2"/>
    </font>
    <font>
      <b/>
      <sz val="13.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04">
    <xf numFmtId="0" fontId="0" fillId="0" borderId="0" xfId="0"/>
    <xf numFmtId="0" fontId="5" fillId="2" borderId="0" xfId="0" applyFont="1" applyFill="1"/>
    <xf numFmtId="0" fontId="6" fillId="0" borderId="0" xfId="0" applyFont="1"/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7" fillId="0" borderId="0" xfId="0" applyFont="1"/>
    <xf numFmtId="4" fontId="8" fillId="2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/>
    <xf numFmtId="0" fontId="8" fillId="2" borderId="1" xfId="0" applyFont="1" applyFill="1" applyBorder="1"/>
    <xf numFmtId="0" fontId="8" fillId="0" borderId="0" xfId="0" applyFont="1" applyAlignment="1">
      <alignment horizontal="right"/>
    </xf>
    <xf numFmtId="2" fontId="8" fillId="0" borderId="0" xfId="0" applyNumberFormat="1" applyFont="1" applyAlignment="1">
      <alignment horizontal="right"/>
    </xf>
    <xf numFmtId="4" fontId="9" fillId="2" borderId="1" xfId="0" applyNumberFormat="1" applyFont="1" applyFill="1" applyBorder="1"/>
    <xf numFmtId="0" fontId="6" fillId="0" borderId="1" xfId="0" applyFont="1" applyBorder="1"/>
    <xf numFmtId="4" fontId="6" fillId="0" borderId="0" xfId="0" applyNumberFormat="1" applyFont="1"/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4" borderId="0" xfId="0" applyFont="1" applyFill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/>
    </xf>
    <xf numFmtId="4" fontId="7" fillId="2" borderId="2" xfId="0" applyNumberFormat="1" applyFont="1" applyFill="1" applyBorder="1" applyAlignment="1">
      <alignment horizontal="right"/>
    </xf>
    <xf numFmtId="0" fontId="7" fillId="2" borderId="0" xfId="0" applyFont="1" applyFill="1"/>
    <xf numFmtId="0" fontId="11" fillId="4" borderId="0" xfId="0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10" fillId="0" borderId="0" xfId="0" applyFont="1"/>
    <xf numFmtId="2" fontId="6" fillId="0" borderId="0" xfId="0" applyNumberFormat="1" applyFont="1"/>
    <xf numFmtId="0" fontId="9" fillId="2" borderId="1" xfId="0" applyFont="1" applyFill="1" applyBorder="1" applyAlignment="1">
      <alignment wrapText="1"/>
    </xf>
    <xf numFmtId="4" fontId="12" fillId="0" borderId="0" xfId="0" applyNumberFormat="1" applyFont="1" applyFill="1"/>
    <xf numFmtId="3" fontId="8" fillId="2" borderId="1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0" fontId="7" fillId="5" borderId="0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/>
    </xf>
    <xf numFmtId="4" fontId="8" fillId="2" borderId="2" xfId="0" applyNumberFormat="1" applyFont="1" applyFill="1" applyBorder="1" applyAlignment="1">
      <alignment horizontal="right"/>
    </xf>
    <xf numFmtId="0" fontId="13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right"/>
    </xf>
    <xf numFmtId="0" fontId="11" fillId="4" borderId="1" xfId="0" applyFont="1" applyFill="1" applyBorder="1" applyAlignment="1">
      <alignment horizontal="right"/>
    </xf>
    <xf numFmtId="0" fontId="14" fillId="4" borderId="1" xfId="0" applyFont="1" applyFill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11" fillId="4" borderId="1" xfId="0" applyFont="1" applyFill="1" applyBorder="1" applyAlignment="1">
      <alignment horizontal="right" wrapText="1"/>
    </xf>
    <xf numFmtId="4" fontId="11" fillId="4" borderId="1" xfId="0" applyNumberFormat="1" applyFont="1" applyFill="1" applyBorder="1" applyAlignment="1">
      <alignment horizontal="right"/>
    </xf>
    <xf numFmtId="0" fontId="10" fillId="4" borderId="0" xfId="0" applyFont="1" applyFill="1" applyAlignment="1">
      <alignment horizontal="right"/>
    </xf>
    <xf numFmtId="0" fontId="10" fillId="4" borderId="1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 wrapText="1"/>
    </xf>
    <xf numFmtId="0" fontId="14" fillId="4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7" fillId="5" borderId="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right" wrapText="1"/>
    </xf>
    <xf numFmtId="0" fontId="13" fillId="4" borderId="2" xfId="0" applyFont="1" applyFill="1" applyBorder="1" applyAlignment="1">
      <alignment horizontal="left"/>
    </xf>
    <xf numFmtId="0" fontId="14" fillId="4" borderId="2" xfId="0" applyFont="1" applyFill="1" applyBorder="1" applyAlignment="1">
      <alignment horizontal="left" wrapText="1"/>
    </xf>
    <xf numFmtId="4" fontId="10" fillId="4" borderId="2" xfId="0" applyNumberFormat="1" applyFont="1" applyFill="1" applyBorder="1" applyAlignment="1">
      <alignment horizontal="left" wrapText="1"/>
    </xf>
    <xf numFmtId="4" fontId="10" fillId="4" borderId="2" xfId="0" applyNumberFormat="1" applyFont="1" applyFill="1" applyBorder="1" applyAlignment="1">
      <alignment horizontal="left"/>
    </xf>
    <xf numFmtId="4" fontId="12" fillId="2" borderId="1" xfId="0" applyNumberFormat="1" applyFont="1" applyFill="1" applyBorder="1" applyAlignment="1">
      <alignment horizontal="center" vertical="center" wrapText="1"/>
    </xf>
    <xf numFmtId="43" fontId="8" fillId="2" borderId="1" xfId="1" applyNumberFormat="1" applyFont="1" applyFill="1" applyBorder="1" applyAlignment="1">
      <alignment vertical="center"/>
    </xf>
    <xf numFmtId="0" fontId="15" fillId="0" borderId="0" xfId="0" applyFont="1"/>
    <xf numFmtId="0" fontId="16" fillId="4" borderId="0" xfId="0" applyFont="1" applyFill="1"/>
    <xf numFmtId="2" fontId="16" fillId="4" borderId="0" xfId="0" applyNumberFormat="1" applyFont="1" applyFill="1"/>
    <xf numFmtId="0" fontId="15" fillId="0" borderId="0" xfId="0" applyFont="1" applyAlignment="1">
      <alignment horizontal="center" vertical="center"/>
    </xf>
    <xf numFmtId="0" fontId="5" fillId="0" borderId="1" xfId="0" applyFont="1" applyBorder="1"/>
    <xf numFmtId="0" fontId="5" fillId="5" borderId="1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vertical="center" wrapText="1"/>
    </xf>
    <xf numFmtId="4" fontId="16" fillId="4" borderId="1" xfId="0" applyNumberFormat="1" applyFont="1" applyFill="1" applyBorder="1" applyAlignment="1">
      <alignment vertical="center"/>
    </xf>
    <xf numFmtId="4" fontId="15" fillId="2" borderId="1" xfId="0" applyNumberFormat="1" applyFont="1" applyFill="1" applyBorder="1" applyAlignment="1">
      <alignment horizontal="right" vertical="center"/>
    </xf>
    <xf numFmtId="0" fontId="17" fillId="4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vertical="center" wrapText="1"/>
    </xf>
    <xf numFmtId="4" fontId="20" fillId="4" borderId="1" xfId="0" applyNumberFormat="1" applyFont="1" applyFill="1" applyBorder="1" applyAlignment="1">
      <alignment vertical="center"/>
    </xf>
    <xf numFmtId="4" fontId="17" fillId="4" borderId="1" xfId="0" applyNumberFormat="1" applyFont="1" applyFill="1" applyBorder="1" applyAlignment="1">
      <alignment vertical="center"/>
    </xf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vertical="center" wrapText="1"/>
    </xf>
    <xf numFmtId="4" fontId="16" fillId="4" borderId="0" xfId="0" applyNumberFormat="1" applyFont="1" applyFill="1" applyAlignment="1">
      <alignment vertical="center"/>
    </xf>
    <xf numFmtId="0" fontId="21" fillId="4" borderId="1" xfId="0" applyFont="1" applyFill="1" applyBorder="1" applyAlignment="1">
      <alignment horizontal="left" vertical="center"/>
    </xf>
    <xf numFmtId="4" fontId="19" fillId="4" borderId="1" xfId="0" applyNumberFormat="1" applyFont="1" applyFill="1" applyBorder="1" applyAlignment="1">
      <alignment vertical="center"/>
    </xf>
    <xf numFmtId="0" fontId="16" fillId="4" borderId="1" xfId="0" applyFont="1" applyFill="1" applyBorder="1" applyAlignment="1">
      <alignment horizontal="right"/>
    </xf>
    <xf numFmtId="0" fontId="16" fillId="4" borderId="1" xfId="0" applyFont="1" applyFill="1" applyBorder="1" applyAlignment="1">
      <alignment horizontal="left" vertical="center"/>
    </xf>
    <xf numFmtId="4" fontId="15" fillId="0" borderId="0" xfId="0" applyNumberFormat="1" applyFont="1"/>
    <xf numFmtId="4" fontId="5" fillId="2" borderId="1" xfId="0" applyNumberFormat="1" applyFont="1" applyFill="1" applyBorder="1" applyAlignment="1">
      <alignment horizontal="right" vertical="center"/>
    </xf>
    <xf numFmtId="4" fontId="22" fillId="2" borderId="1" xfId="0" applyNumberFormat="1" applyFont="1" applyFill="1" applyBorder="1" applyAlignment="1">
      <alignment horizontal="right" vertical="center"/>
    </xf>
    <xf numFmtId="0" fontId="17" fillId="4" borderId="0" xfId="0" applyFont="1" applyFill="1" applyAlignment="1">
      <alignment horizontal="left"/>
    </xf>
    <xf numFmtId="0" fontId="16" fillId="4" borderId="0" xfId="0" applyFont="1" applyFill="1" applyAlignment="1">
      <alignment horizontal="left"/>
    </xf>
    <xf numFmtId="2" fontId="16" fillId="4" borderId="0" xfId="0" applyNumberFormat="1" applyFont="1" applyFill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center"/>
    </xf>
    <xf numFmtId="2" fontId="16" fillId="0" borderId="0" xfId="0" applyNumberFormat="1" applyFont="1"/>
    <xf numFmtId="0" fontId="16" fillId="6" borderId="1" xfId="0" applyFont="1" applyFill="1" applyBorder="1"/>
    <xf numFmtId="0" fontId="5" fillId="5" borderId="4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left" wrapText="1" readingOrder="1"/>
    </xf>
    <xf numFmtId="0" fontId="24" fillId="0" borderId="1" xfId="0" applyFont="1" applyBorder="1" applyAlignment="1">
      <alignment horizontal="right" wrapText="1" readingOrder="1"/>
    </xf>
    <xf numFmtId="0" fontId="24" fillId="0" borderId="1" xfId="0" applyFont="1" applyBorder="1" applyAlignment="1">
      <alignment horizontal="left" wrapText="1" readingOrder="1"/>
    </xf>
    <xf numFmtId="4" fontId="24" fillId="0" borderId="1" xfId="0" applyNumberFormat="1" applyFont="1" applyBorder="1" applyAlignment="1">
      <alignment horizontal="right" wrapText="1" readingOrder="1"/>
    </xf>
    <xf numFmtId="4" fontId="23" fillId="0" borderId="1" xfId="0" applyNumberFormat="1" applyFont="1" applyBorder="1" applyAlignment="1">
      <alignment horizontal="right" wrapText="1" readingOrder="1"/>
    </xf>
    <xf numFmtId="165" fontId="24" fillId="0" borderId="1" xfId="1" applyFont="1" applyBorder="1" applyAlignment="1">
      <alignment horizontal="right" wrapText="1" readingOrder="1"/>
    </xf>
    <xf numFmtId="0" fontId="24" fillId="0" borderId="1" xfId="0" applyFont="1" applyBorder="1" applyAlignment="1">
      <alignment horizontal="center" wrapText="1" readingOrder="1"/>
    </xf>
    <xf numFmtId="3" fontId="23" fillId="0" borderId="1" xfId="0" applyNumberFormat="1" applyFont="1" applyBorder="1" applyAlignment="1">
      <alignment horizontal="right" wrapText="1" readingOrder="1"/>
    </xf>
    <xf numFmtId="0" fontId="23" fillId="0" borderId="1" xfId="0" applyFont="1" applyBorder="1" applyAlignment="1">
      <alignment horizontal="right" wrapText="1" readingOrder="1"/>
    </xf>
    <xf numFmtId="0" fontId="23" fillId="0" borderId="1" xfId="0" applyFont="1" applyBorder="1" applyAlignment="1">
      <alignment horizontal="left" wrapText="1" readingOrder="1"/>
    </xf>
    <xf numFmtId="4" fontId="16" fillId="6" borderId="2" xfId="0" applyNumberFormat="1" applyFont="1" applyFill="1" applyBorder="1"/>
    <xf numFmtId="0" fontId="16" fillId="7" borderId="7" xfId="0" applyFont="1" applyFill="1" applyBorder="1"/>
    <xf numFmtId="4" fontId="16" fillId="7" borderId="8" xfId="0" applyNumberFormat="1" applyFont="1" applyFill="1" applyBorder="1"/>
    <xf numFmtId="0" fontId="15" fillId="7" borderId="9" xfId="0" applyFont="1" applyFill="1" applyBorder="1"/>
    <xf numFmtId="165" fontId="15" fillId="7" borderId="0" xfId="1" applyFont="1" applyFill="1" applyBorder="1"/>
    <xf numFmtId="0" fontId="15" fillId="7" borderId="10" xfId="0" applyFont="1" applyFill="1" applyBorder="1"/>
    <xf numFmtId="2" fontId="16" fillId="7" borderId="11" xfId="0" applyNumberFormat="1" applyFont="1" applyFill="1" applyBorder="1"/>
    <xf numFmtId="0" fontId="25" fillId="4" borderId="0" xfId="0" applyFont="1" applyFill="1" applyAlignment="1">
      <alignment horizontal="center"/>
    </xf>
    <xf numFmtId="0" fontId="26" fillId="4" borderId="0" xfId="0" applyFont="1" applyFill="1" applyAlignment="1">
      <alignment horizontal="center"/>
    </xf>
    <xf numFmtId="0" fontId="25" fillId="4" borderId="0" xfId="0" applyFont="1" applyFill="1" applyAlignment="1"/>
    <xf numFmtId="0" fontId="26" fillId="4" borderId="0" xfId="0" applyFont="1" applyFill="1" applyAlignment="1"/>
    <xf numFmtId="0" fontId="6" fillId="0" borderId="0" xfId="0" applyFont="1" applyAlignment="1"/>
    <xf numFmtId="0" fontId="10" fillId="4" borderId="0" xfId="0" applyFont="1" applyFill="1" applyAlignment="1"/>
    <xf numFmtId="0" fontId="17" fillId="0" borderId="0" xfId="0" applyFont="1" applyAlignment="1">
      <alignment horizontal="center"/>
    </xf>
    <xf numFmtId="0" fontId="8" fillId="2" borderId="1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9" fillId="2" borderId="12" xfId="0" applyNumberFormat="1" applyFont="1" applyFill="1" applyBorder="1" applyAlignment="1">
      <alignment vertical="center" wrapText="1"/>
    </xf>
    <xf numFmtId="0" fontId="6" fillId="2" borderId="0" xfId="0" applyFont="1" applyFill="1"/>
    <xf numFmtId="0" fontId="6" fillId="2" borderId="1" xfId="0" applyFont="1" applyFill="1" applyBorder="1"/>
    <xf numFmtId="0" fontId="9" fillId="2" borderId="1" xfId="0" applyFont="1" applyFill="1" applyBorder="1" applyAlignment="1">
      <alignment vertical="center" wrapText="1"/>
    </xf>
    <xf numFmtId="4" fontId="8" fillId="2" borderId="0" xfId="0" applyNumberFormat="1" applyFont="1" applyFill="1" applyAlignment="1">
      <alignment vertical="center"/>
    </xf>
    <xf numFmtId="4" fontId="9" fillId="2" borderId="12" xfId="0" applyNumberFormat="1" applyFont="1" applyFill="1" applyBorder="1" applyAlignment="1">
      <alignment horizontal="right" vertical="center" wrapText="1"/>
    </xf>
    <xf numFmtId="4" fontId="9" fillId="2" borderId="12" xfId="0" applyNumberFormat="1" applyFont="1" applyFill="1" applyBorder="1" applyAlignment="1">
      <alignment vertical="center"/>
    </xf>
    <xf numFmtId="4" fontId="8" fillId="2" borderId="12" xfId="0" applyNumberFormat="1" applyFont="1" applyFill="1" applyBorder="1" applyAlignment="1">
      <alignment vertical="center"/>
    </xf>
    <xf numFmtId="0" fontId="9" fillId="2" borderId="1" xfId="3" applyFont="1" applyFill="1" applyBorder="1" applyAlignment="1">
      <alignment vertical="center" wrapText="1"/>
    </xf>
    <xf numFmtId="4" fontId="9" fillId="2" borderId="1" xfId="4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3" fontId="9" fillId="2" borderId="1" xfId="3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vertical="center"/>
    </xf>
    <xf numFmtId="43" fontId="9" fillId="2" borderId="1" xfId="1" applyNumberFormat="1" applyFont="1" applyFill="1" applyBorder="1" applyAlignment="1">
      <alignment vertical="center"/>
    </xf>
    <xf numFmtId="165" fontId="9" fillId="2" borderId="1" xfId="0" applyNumberFormat="1" applyFont="1" applyFill="1" applyBorder="1" applyAlignment="1">
      <alignment vertical="center"/>
    </xf>
    <xf numFmtId="168" fontId="9" fillId="2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vertical="center" wrapText="1"/>
    </xf>
    <xf numFmtId="0" fontId="9" fillId="2" borderId="1" xfId="3" applyFont="1" applyFill="1" applyBorder="1" applyAlignment="1">
      <alignment horizontal="right" vertical="center"/>
    </xf>
    <xf numFmtId="4" fontId="8" fillId="2" borderId="18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vertical="center"/>
    </xf>
    <xf numFmtId="2" fontId="8" fillId="2" borderId="0" xfId="0" applyNumberFormat="1" applyFont="1" applyFill="1" applyAlignment="1">
      <alignment vertical="center"/>
    </xf>
    <xf numFmtId="1" fontId="9" fillId="2" borderId="1" xfId="0" applyNumberFormat="1" applyFont="1" applyFill="1" applyBorder="1" applyAlignment="1">
      <alignment vertical="center"/>
    </xf>
    <xf numFmtId="0" fontId="8" fillId="2" borderId="1" xfId="3" applyFont="1" applyFill="1" applyBorder="1" applyAlignment="1">
      <alignment vertical="center"/>
    </xf>
    <xf numFmtId="166" fontId="9" fillId="2" borderId="1" xfId="0" applyNumberFormat="1" applyFont="1" applyFill="1" applyBorder="1" applyAlignment="1">
      <alignment vertical="center" wrapText="1"/>
    </xf>
    <xf numFmtId="0" fontId="9" fillId="2" borderId="1" xfId="3" applyFont="1" applyFill="1" applyBorder="1" applyAlignment="1">
      <alignment vertical="center"/>
    </xf>
    <xf numFmtId="3" fontId="9" fillId="2" borderId="1" xfId="3" applyNumberFormat="1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vertical="center" wrapText="1"/>
    </xf>
    <xf numFmtId="4" fontId="8" fillId="2" borderId="1" xfId="3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vertical="center"/>
    </xf>
    <xf numFmtId="4" fontId="0" fillId="0" borderId="0" xfId="0" applyNumberFormat="1"/>
    <xf numFmtId="3" fontId="8" fillId="2" borderId="1" xfId="3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left" wrapText="1" readingOrder="1"/>
    </xf>
    <xf numFmtId="43" fontId="0" fillId="0" borderId="0" xfId="0" applyNumberFormat="1" applyBorder="1"/>
    <xf numFmtId="43" fontId="8" fillId="2" borderId="1" xfId="0" applyNumberFormat="1" applyFont="1" applyFill="1" applyBorder="1"/>
    <xf numFmtId="0" fontId="12" fillId="2" borderId="1" xfId="0" applyFont="1" applyFill="1" applyBorder="1"/>
    <xf numFmtId="0" fontId="8" fillId="2" borderId="1" xfId="0" applyFont="1" applyFill="1" applyBorder="1" applyAlignment="1">
      <alignment vertical="top" wrapText="1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/>
    <xf numFmtId="2" fontId="8" fillId="2" borderId="0" xfId="0" applyNumberFormat="1" applyFont="1" applyFill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8" fillId="2" borderId="14" xfId="0" applyFont="1" applyFill="1" applyBorder="1" applyAlignment="1">
      <alignment vertical="top"/>
    </xf>
    <xf numFmtId="0" fontId="9" fillId="2" borderId="0" xfId="0" applyFont="1" applyFill="1"/>
    <xf numFmtId="0" fontId="8" fillId="2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169" fontId="9" fillId="2" borderId="1" xfId="4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right" vertical="top" wrapText="1"/>
    </xf>
    <xf numFmtId="0" fontId="9" fillId="2" borderId="1" xfId="3" applyFont="1" applyFill="1" applyBorder="1"/>
    <xf numFmtId="0" fontId="8" fillId="2" borderId="1" xfId="3" applyFont="1" applyFill="1" applyBorder="1" applyAlignment="1">
      <alignment horizontal="center"/>
    </xf>
    <xf numFmtId="0" fontId="30" fillId="2" borderId="1" xfId="0" applyFont="1" applyFill="1" applyBorder="1" applyAlignment="1">
      <alignment horizontal="right"/>
    </xf>
    <xf numFmtId="4" fontId="8" fillId="2" borderId="1" xfId="0" applyNumberFormat="1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horizontal="right"/>
    </xf>
    <xf numFmtId="43" fontId="8" fillId="2" borderId="1" xfId="1" applyNumberFormat="1" applyFont="1" applyFill="1" applyBorder="1"/>
    <xf numFmtId="165" fontId="8" fillId="2" borderId="1" xfId="0" applyNumberFormat="1" applyFont="1" applyFill="1" applyBorder="1"/>
    <xf numFmtId="0" fontId="8" fillId="2" borderId="1" xfId="3" applyFont="1" applyFill="1" applyBorder="1"/>
    <xf numFmtId="0" fontId="8" fillId="2" borderId="1" xfId="3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1" xfId="0" applyNumberFormat="1" applyFont="1" applyFill="1" applyBorder="1" applyAlignment="1">
      <alignment horizontal="right" vertical="center"/>
    </xf>
    <xf numFmtId="4" fontId="8" fillId="2" borderId="0" xfId="0" applyNumberFormat="1" applyFont="1" applyFill="1"/>
    <xf numFmtId="4" fontId="8" fillId="2" borderId="1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1" xfId="3" applyFont="1" applyFill="1" applyBorder="1" applyAlignment="1">
      <alignment wrapText="1"/>
    </xf>
    <xf numFmtId="3" fontId="8" fillId="2" borderId="1" xfId="3" applyNumberFormat="1" applyFont="1" applyFill="1" applyBorder="1" applyAlignment="1">
      <alignment horizontal="right"/>
    </xf>
    <xf numFmtId="4" fontId="8" fillId="2" borderId="0" xfId="0" applyNumberFormat="1" applyFont="1" applyFill="1" applyAlignment="1"/>
    <xf numFmtId="43" fontId="8" fillId="2" borderId="1" xfId="1" applyNumberFormat="1" applyFont="1" applyFill="1" applyBorder="1" applyAlignment="1"/>
    <xf numFmtId="0" fontId="8" fillId="2" borderId="0" xfId="0" applyFont="1" applyFill="1" applyAlignment="1"/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right"/>
    </xf>
    <xf numFmtId="43" fontId="9" fillId="2" borderId="1" xfId="1" applyNumberFormat="1" applyFont="1" applyFill="1" applyBorder="1"/>
    <xf numFmtId="0" fontId="9" fillId="2" borderId="1" xfId="0" applyFont="1" applyFill="1" applyBorder="1" applyAlignment="1">
      <alignment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center"/>
    </xf>
    <xf numFmtId="164" fontId="9" fillId="2" borderId="1" xfId="0" applyNumberFormat="1" applyFont="1" applyFill="1" applyBorder="1" applyAlignment="1">
      <alignment horizontal="right" vertical="top" wrapText="1"/>
    </xf>
    <xf numFmtId="171" fontId="9" fillId="2" borderId="1" xfId="0" applyNumberFormat="1" applyFont="1" applyFill="1" applyBorder="1" applyAlignment="1">
      <alignment horizontal="right" vertical="top" wrapText="1"/>
    </xf>
    <xf numFmtId="0" fontId="8" fillId="2" borderId="1" xfId="5" applyFont="1" applyFill="1" applyBorder="1" applyAlignment="1">
      <alignment horizontal="center"/>
    </xf>
    <xf numFmtId="0" fontId="8" fillId="2" borderId="1" xfId="3" applyFont="1" applyFill="1" applyBorder="1" applyAlignment="1">
      <alignment horizontal="left"/>
    </xf>
    <xf numFmtId="3" fontId="9" fillId="2" borderId="0" xfId="0" applyNumberFormat="1" applyFont="1" applyFill="1" applyAlignment="1">
      <alignment horizontal="right" vertical="top"/>
    </xf>
    <xf numFmtId="4" fontId="9" fillId="2" borderId="0" xfId="0" applyNumberFormat="1" applyFont="1" applyFill="1" applyAlignment="1">
      <alignment horizontal="right" vertical="top"/>
    </xf>
    <xf numFmtId="0" fontId="8" fillId="2" borderId="0" xfId="0" applyFont="1" applyFill="1" applyAlignment="1">
      <alignment horizontal="right" vertical="top"/>
    </xf>
    <xf numFmtId="4" fontId="8" fillId="2" borderId="0" xfId="0" applyNumberFormat="1" applyFont="1" applyFill="1" applyAlignment="1">
      <alignment horizontal="right" vertical="top"/>
    </xf>
    <xf numFmtId="0" fontId="8" fillId="2" borderId="0" xfId="0" applyFont="1" applyFill="1" applyAlignment="1">
      <alignment vertical="top"/>
    </xf>
    <xf numFmtId="2" fontId="8" fillId="2" borderId="0" xfId="0" applyNumberFormat="1" applyFont="1" applyFill="1" applyAlignment="1"/>
    <xf numFmtId="0" fontId="9" fillId="2" borderId="1" xfId="0" applyFont="1" applyFill="1" applyBorder="1" applyAlignment="1">
      <alignment vertical="top"/>
    </xf>
    <xf numFmtId="4" fontId="9" fillId="2" borderId="2" xfId="0" applyNumberFormat="1" applyFont="1" applyFill="1" applyBorder="1" applyAlignment="1">
      <alignment horizontal="right" vertical="top"/>
    </xf>
    <xf numFmtId="0" fontId="8" fillId="2" borderId="12" xfId="0" applyFont="1" applyFill="1" applyBorder="1" applyAlignment="1">
      <alignment vertical="top" textRotation="90" wrapText="1"/>
    </xf>
    <xf numFmtId="0" fontId="9" fillId="2" borderId="1" xfId="3" applyFont="1" applyFill="1" applyBorder="1" applyAlignment="1">
      <alignment horizontal="left"/>
    </xf>
    <xf numFmtId="0" fontId="8" fillId="2" borderId="1" xfId="0" applyFont="1" applyFill="1" applyBorder="1" applyAlignment="1">
      <alignment horizontal="right" vertical="top"/>
    </xf>
    <xf numFmtId="43" fontId="8" fillId="2" borderId="1" xfId="1" applyNumberFormat="1" applyFont="1" applyFill="1" applyBorder="1" applyAlignment="1">
      <alignment vertical="top"/>
    </xf>
    <xf numFmtId="43" fontId="8" fillId="2" borderId="1" xfId="0" applyNumberFormat="1" applyFont="1" applyFill="1" applyBorder="1" applyAlignment="1">
      <alignment vertical="top"/>
    </xf>
    <xf numFmtId="0" fontId="8" fillId="2" borderId="15" xfId="0" applyFont="1" applyFill="1" applyBorder="1" applyAlignment="1">
      <alignment vertical="top" textRotation="90" wrapText="1"/>
    </xf>
    <xf numFmtId="0" fontId="8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right" vertical="top" wrapText="1"/>
    </xf>
    <xf numFmtId="3" fontId="8" fillId="2" borderId="1" xfId="0" applyNumberFormat="1" applyFont="1" applyFill="1" applyBorder="1" applyAlignment="1">
      <alignment horizontal="right" vertical="top"/>
    </xf>
    <xf numFmtId="4" fontId="8" fillId="2" borderId="1" xfId="0" applyNumberFormat="1" applyFont="1" applyFill="1" applyBorder="1" applyAlignment="1">
      <alignment horizontal="right" vertical="top"/>
    </xf>
    <xf numFmtId="167" fontId="8" fillId="2" borderId="1" xfId="0" applyNumberFormat="1" applyFont="1" applyFill="1" applyBorder="1" applyAlignment="1">
      <alignment horizontal="right" vertical="top" wrapText="1"/>
    </xf>
    <xf numFmtId="4" fontId="8" fillId="2" borderId="1" xfId="0" applyNumberFormat="1" applyFont="1" applyFill="1" applyBorder="1" applyAlignment="1">
      <alignment vertical="top"/>
    </xf>
    <xf numFmtId="0" fontId="9" fillId="2" borderId="15" xfId="0" applyFont="1" applyFill="1" applyBorder="1" applyAlignment="1">
      <alignment vertical="top" textRotation="90" wrapText="1"/>
    </xf>
    <xf numFmtId="4" fontId="9" fillId="2" borderId="1" xfId="3" applyNumberFormat="1" applyFont="1" applyFill="1" applyBorder="1" applyAlignment="1">
      <alignment horizontal="left"/>
    </xf>
    <xf numFmtId="4" fontId="9" fillId="2" borderId="1" xfId="3" applyNumberFormat="1" applyFont="1" applyFill="1" applyBorder="1" applyAlignment="1"/>
    <xf numFmtId="0" fontId="9" fillId="2" borderId="0" xfId="0" applyFont="1" applyFill="1" applyAlignment="1">
      <alignment vertical="top"/>
    </xf>
    <xf numFmtId="164" fontId="9" fillId="2" borderId="1" xfId="0" applyNumberFormat="1" applyFont="1" applyFill="1" applyBorder="1" applyAlignment="1">
      <alignment horizontal="right" vertical="top"/>
    </xf>
    <xf numFmtId="43" fontId="9" fillId="2" borderId="1" xfId="0" applyNumberFormat="1" applyFont="1" applyFill="1" applyBorder="1" applyAlignment="1">
      <alignment vertical="top"/>
    </xf>
    <xf numFmtId="0" fontId="31" fillId="2" borderId="1" xfId="0" applyFont="1" applyFill="1" applyBorder="1" applyAlignment="1">
      <alignment horizontal="right" vertical="top"/>
    </xf>
    <xf numFmtId="3" fontId="31" fillId="2" borderId="1" xfId="0" applyNumberFormat="1" applyFont="1" applyFill="1" applyBorder="1" applyAlignment="1">
      <alignment horizontal="right" vertical="top"/>
    </xf>
    <xf numFmtId="4" fontId="31" fillId="2" borderId="1" xfId="0" applyNumberFormat="1" applyFont="1" applyFill="1" applyBorder="1" applyAlignment="1">
      <alignment horizontal="right" vertical="top"/>
    </xf>
    <xf numFmtId="0" fontId="8" fillId="2" borderId="15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3" fontId="8" fillId="2" borderId="1" xfId="1" applyNumberFormat="1" applyFont="1" applyFill="1" applyBorder="1" applyAlignment="1">
      <alignment horizontal="center" vertical="center"/>
    </xf>
    <xf numFmtId="43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right" vertical="top"/>
    </xf>
    <xf numFmtId="1" fontId="8" fillId="2" borderId="1" xfId="0" applyNumberFormat="1" applyFont="1" applyFill="1" applyBorder="1" applyAlignment="1">
      <alignment vertical="top"/>
    </xf>
    <xf numFmtId="0" fontId="8" fillId="2" borderId="1" xfId="3" applyFont="1" applyFill="1" applyBorder="1" applyAlignment="1">
      <alignment horizontal="left" vertical="center"/>
    </xf>
    <xf numFmtId="1" fontId="33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3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/>
    </xf>
    <xf numFmtId="0" fontId="8" fillId="2" borderId="1" xfId="3" applyFont="1" applyFill="1" applyBorder="1" applyAlignment="1"/>
    <xf numFmtId="4" fontId="8" fillId="2" borderId="1" xfId="3" applyNumberFormat="1" applyFont="1" applyFill="1" applyBorder="1" applyAlignment="1"/>
    <xf numFmtId="171" fontId="8" fillId="2" borderId="1" xfId="0" applyNumberFormat="1" applyFont="1" applyFill="1" applyBorder="1" applyAlignment="1">
      <alignment horizontal="right" vertical="top" wrapText="1"/>
    </xf>
    <xf numFmtId="0" fontId="33" fillId="2" borderId="1" xfId="0" applyFont="1" applyFill="1" applyBorder="1" applyAlignment="1">
      <alignment horizontal="right" vertical="center" wrapText="1"/>
    </xf>
    <xf numFmtId="0" fontId="33" fillId="2" borderId="1" xfId="0" applyFont="1" applyFill="1" applyBorder="1" applyAlignment="1">
      <alignment horizontal="right" vertical="center"/>
    </xf>
    <xf numFmtId="0" fontId="8" fillId="2" borderId="1" xfId="3" applyFont="1" applyFill="1" applyBorder="1" applyAlignment="1">
      <alignment horizontal="left" wrapText="1"/>
    </xf>
    <xf numFmtId="0" fontId="8" fillId="2" borderId="15" xfId="0" applyFont="1" applyFill="1" applyBorder="1" applyAlignment="1">
      <alignment horizontal="right" vertical="center" textRotation="90" wrapText="1"/>
    </xf>
    <xf numFmtId="0" fontId="8" fillId="2" borderId="1" xfId="0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vertical="top"/>
    </xf>
    <xf numFmtId="0" fontId="8" fillId="2" borderId="15" xfId="0" applyFont="1" applyFill="1" applyBorder="1" applyAlignment="1">
      <alignment vertical="center" textRotation="90" wrapText="1"/>
    </xf>
    <xf numFmtId="4" fontId="8" fillId="2" borderId="1" xfId="0" applyNumberFormat="1" applyFont="1" applyFill="1" applyBorder="1" applyAlignment="1"/>
    <xf numFmtId="3" fontId="8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left" vertical="top" wrapText="1"/>
    </xf>
    <xf numFmtId="0" fontId="8" fillId="2" borderId="1" xfId="5" applyFont="1" applyFill="1" applyBorder="1" applyAlignment="1">
      <alignment horizontal="right"/>
    </xf>
    <xf numFmtId="43" fontId="8" fillId="2" borderId="1" xfId="1" applyNumberFormat="1" applyFont="1" applyFill="1" applyBorder="1" applyAlignment="1">
      <alignment horizontal="right"/>
    </xf>
    <xf numFmtId="165" fontId="8" fillId="2" borderId="1" xfId="0" applyNumberFormat="1" applyFont="1" applyFill="1" applyBorder="1" applyAlignment="1">
      <alignment horizontal="right"/>
    </xf>
    <xf numFmtId="0" fontId="9" fillId="2" borderId="15" xfId="0" applyFont="1" applyFill="1" applyBorder="1" applyAlignment="1">
      <alignment vertical="center" textRotation="90" wrapText="1"/>
    </xf>
    <xf numFmtId="3" fontId="9" fillId="2" borderId="1" xfId="0" applyNumberFormat="1" applyFont="1" applyFill="1" applyBorder="1" applyAlignment="1">
      <alignment vertical="top" wrapText="1"/>
    </xf>
    <xf numFmtId="165" fontId="9" fillId="2" borderId="1" xfId="1" applyFont="1" applyFill="1" applyBorder="1" applyAlignment="1">
      <alignment horizontal="center" vertical="top" wrapText="1"/>
    </xf>
    <xf numFmtId="3" fontId="8" fillId="2" borderId="1" xfId="0" applyNumberFormat="1" applyFont="1" applyFill="1" applyBorder="1" applyAlignment="1">
      <alignment vertical="top"/>
    </xf>
    <xf numFmtId="0" fontId="8" fillId="2" borderId="1" xfId="5" applyFont="1" applyFill="1" applyBorder="1"/>
    <xf numFmtId="43" fontId="9" fillId="2" borderId="1" xfId="1" applyNumberFormat="1" applyFont="1" applyFill="1" applyBorder="1" applyAlignment="1">
      <alignment vertical="top"/>
    </xf>
    <xf numFmtId="3" fontId="33" fillId="2" borderId="1" xfId="0" applyNumberFormat="1" applyFont="1" applyFill="1" applyBorder="1" applyAlignment="1">
      <alignment horizontal="right" vertical="center"/>
    </xf>
    <xf numFmtId="3" fontId="35" fillId="2" borderId="1" xfId="0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left" vertical="center"/>
    </xf>
    <xf numFmtId="170" fontId="8" fillId="2" borderId="1" xfId="0" applyNumberFormat="1" applyFont="1" applyFill="1" applyBorder="1" applyAlignment="1">
      <alignment horizontal="right" vertical="top"/>
    </xf>
    <xf numFmtId="165" fontId="8" fillId="2" borderId="1" xfId="1" applyFont="1" applyFill="1" applyBorder="1" applyAlignment="1">
      <alignment horizontal="right" vertical="top"/>
    </xf>
    <xf numFmtId="165" fontId="35" fillId="2" borderId="1" xfId="1" applyFont="1" applyFill="1" applyBorder="1" applyAlignment="1">
      <alignment horizontal="right" vertical="top"/>
    </xf>
    <xf numFmtId="165" fontId="8" fillId="2" borderId="1" xfId="1" applyFont="1" applyFill="1" applyBorder="1" applyAlignment="1">
      <alignment horizontal="right" vertical="top" wrapText="1"/>
    </xf>
    <xf numFmtId="3" fontId="9" fillId="2" borderId="1" xfId="0" applyNumberFormat="1" applyFont="1" applyFill="1" applyBorder="1" applyAlignment="1">
      <alignment vertical="top"/>
    </xf>
    <xf numFmtId="0" fontId="8" fillId="2" borderId="0" xfId="0" applyFont="1" applyFill="1" applyAlignment="1">
      <alignment horizontal="left" vertical="top"/>
    </xf>
    <xf numFmtId="3" fontId="8" fillId="2" borderId="0" xfId="0" applyNumberFormat="1" applyFont="1" applyFill="1" applyAlignment="1">
      <alignment horizontal="right" vertical="top"/>
    </xf>
    <xf numFmtId="0" fontId="29" fillId="2" borderId="1" xfId="0" applyFont="1" applyFill="1" applyBorder="1" applyAlignment="1">
      <alignment horizontal="right" vertical="top"/>
    </xf>
    <xf numFmtId="4" fontId="29" fillId="2" borderId="1" xfId="0" applyNumberFormat="1" applyFont="1" applyFill="1" applyBorder="1" applyAlignment="1">
      <alignment horizontal="right"/>
    </xf>
    <xf numFmtId="3" fontId="29" fillId="2" borderId="1" xfId="0" applyNumberFormat="1" applyFont="1" applyFill="1" applyBorder="1" applyAlignment="1">
      <alignment horizontal="right" vertical="center"/>
    </xf>
    <xf numFmtId="0" fontId="36" fillId="2" borderId="0" xfId="0" applyFont="1" applyFill="1" applyAlignment="1">
      <alignment vertical="top"/>
    </xf>
    <xf numFmtId="0" fontId="29" fillId="2" borderId="0" xfId="0" applyFont="1" applyFill="1" applyAlignment="1">
      <alignment vertical="top"/>
    </xf>
    <xf numFmtId="4" fontId="29" fillId="2" borderId="0" xfId="0" applyNumberFormat="1" applyFont="1" applyFill="1" applyAlignment="1">
      <alignment vertical="top"/>
    </xf>
    <xf numFmtId="0" fontId="29" fillId="2" borderId="0" xfId="0" applyFont="1" applyFill="1" applyAlignment="1">
      <alignment horizontal="right" vertical="top"/>
    </xf>
    <xf numFmtId="0" fontId="29" fillId="2" borderId="0" xfId="0" applyFont="1" applyFill="1" applyAlignment="1">
      <alignment vertical="top" wrapText="1"/>
    </xf>
    <xf numFmtId="0" fontId="29" fillId="2" borderId="0" xfId="0" applyFont="1" applyFill="1" applyAlignment="1">
      <alignment horizontal="right"/>
    </xf>
    <xf numFmtId="2" fontId="29" fillId="2" borderId="0" xfId="0" applyNumberFormat="1" applyFont="1" applyFill="1" applyAlignment="1">
      <alignment horizontal="right"/>
    </xf>
    <xf numFmtId="0" fontId="29" fillId="2" borderId="1" xfId="0" applyFont="1" applyFill="1" applyBorder="1" applyAlignment="1">
      <alignment vertical="top" wrapText="1"/>
    </xf>
    <xf numFmtId="0" fontId="36" fillId="2" borderId="0" xfId="0" applyFont="1" applyFill="1"/>
    <xf numFmtId="0" fontId="36" fillId="2" borderId="0" xfId="0" applyFont="1" applyFill="1" applyAlignment="1">
      <alignment horizontal="center"/>
    </xf>
    <xf numFmtId="0" fontId="29" fillId="2" borderId="1" xfId="0" applyFont="1" applyFill="1" applyBorder="1" applyAlignment="1">
      <alignment horizontal="center" vertical="top" wrapText="1"/>
    </xf>
    <xf numFmtId="169" fontId="36" fillId="2" borderId="1" xfId="4" applyNumberFormat="1" applyFont="1" applyFill="1" applyBorder="1" applyAlignment="1">
      <alignment horizontal="right"/>
    </xf>
    <xf numFmtId="0" fontId="36" fillId="2" borderId="1" xfId="0" applyFont="1" applyFill="1" applyBorder="1" applyAlignment="1">
      <alignment horizontal="left" vertical="top"/>
    </xf>
    <xf numFmtId="0" fontId="36" fillId="2" borderId="1" xfId="0" applyFont="1" applyFill="1" applyBorder="1" applyAlignment="1">
      <alignment vertical="top"/>
    </xf>
    <xf numFmtId="4" fontId="36" fillId="2" borderId="1" xfId="0" applyNumberFormat="1" applyFont="1" applyFill="1" applyBorder="1" applyAlignment="1">
      <alignment vertical="top"/>
    </xf>
    <xf numFmtId="0" fontId="36" fillId="2" borderId="1" xfId="0" applyFont="1" applyFill="1" applyBorder="1" applyAlignment="1">
      <alignment horizontal="right" vertical="top"/>
    </xf>
    <xf numFmtId="0" fontId="36" fillId="2" borderId="1" xfId="0" applyFont="1" applyFill="1" applyBorder="1"/>
    <xf numFmtId="0" fontId="36" fillId="2" borderId="1" xfId="0" applyFont="1" applyFill="1" applyBorder="1" applyAlignment="1">
      <alignment wrapText="1"/>
    </xf>
    <xf numFmtId="0" fontId="36" fillId="2" borderId="13" xfId="0" applyFont="1" applyFill="1" applyBorder="1" applyAlignment="1">
      <alignment vertical="top"/>
    </xf>
    <xf numFmtId="0" fontId="36" fillId="2" borderId="1" xfId="3" applyFont="1" applyFill="1" applyBorder="1"/>
    <xf numFmtId="0" fontId="29" fillId="2" borderId="1" xfId="3" applyFont="1" applyFill="1" applyBorder="1" applyAlignment="1">
      <alignment horizontal="center"/>
    </xf>
    <xf numFmtId="0" fontId="29" fillId="2" borderId="1" xfId="0" applyFont="1" applyFill="1" applyBorder="1" applyAlignment="1">
      <alignment vertical="top"/>
    </xf>
    <xf numFmtId="0" fontId="36" fillId="2" borderId="1" xfId="0" applyFont="1" applyFill="1" applyBorder="1" applyAlignment="1">
      <alignment horizontal="right" vertical="top" wrapText="1"/>
    </xf>
    <xf numFmtId="0" fontId="29" fillId="2" borderId="1" xfId="0" applyFont="1" applyFill="1" applyBorder="1" applyAlignment="1">
      <alignment horizontal="left" vertical="top"/>
    </xf>
    <xf numFmtId="43" fontId="29" fillId="2" borderId="1" xfId="1" applyNumberFormat="1" applyFont="1" applyFill="1" applyBorder="1" applyAlignment="1">
      <alignment vertical="top"/>
    </xf>
    <xf numFmtId="43" fontId="29" fillId="2" borderId="1" xfId="0" applyNumberFormat="1" applyFont="1" applyFill="1" applyBorder="1" applyAlignment="1">
      <alignment vertical="top"/>
    </xf>
    <xf numFmtId="0" fontId="36" fillId="2" borderId="13" xfId="0" applyFont="1" applyFill="1" applyBorder="1" applyAlignment="1">
      <alignment horizontal="center" vertical="center"/>
    </xf>
    <xf numFmtId="0" fontId="29" fillId="2" borderId="1" xfId="3" applyFont="1" applyFill="1" applyBorder="1" applyAlignment="1">
      <alignment horizontal="center" vertical="center"/>
    </xf>
    <xf numFmtId="43" fontId="29" fillId="2" borderId="1" xfId="0" applyNumberFormat="1" applyFont="1" applyFill="1" applyBorder="1" applyAlignment="1">
      <alignment horizontal="center" vertical="center"/>
    </xf>
    <xf numFmtId="164" fontId="29" fillId="2" borderId="1" xfId="0" applyNumberFormat="1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1" fontId="29" fillId="2" borderId="1" xfId="0" applyNumberFormat="1" applyFont="1" applyFill="1" applyBorder="1" applyAlignment="1">
      <alignment horizontal="center" vertical="center"/>
    </xf>
    <xf numFmtId="164" fontId="29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right" vertical="center"/>
    </xf>
    <xf numFmtId="0" fontId="29" fillId="2" borderId="0" xfId="0" applyFont="1" applyFill="1" applyAlignment="1">
      <alignment horizontal="center" vertical="center"/>
    </xf>
    <xf numFmtId="43" fontId="29" fillId="2" borderId="1" xfId="1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top"/>
    </xf>
    <xf numFmtId="0" fontId="29" fillId="2" borderId="1" xfId="3" applyFont="1" applyFill="1" applyBorder="1" applyAlignment="1">
      <alignment wrapText="1"/>
    </xf>
    <xf numFmtId="0" fontId="29" fillId="2" borderId="1" xfId="3" applyFont="1" applyFill="1" applyBorder="1" applyAlignment="1">
      <alignment horizontal="right"/>
    </xf>
    <xf numFmtId="164" fontId="29" fillId="2" borderId="1" xfId="0" applyNumberFormat="1" applyFont="1" applyFill="1" applyBorder="1" applyAlignment="1">
      <alignment horizontal="right" vertical="top" wrapText="1"/>
    </xf>
    <xf numFmtId="4" fontId="29" fillId="2" borderId="1" xfId="0" applyNumberFormat="1" applyFont="1" applyFill="1" applyBorder="1" applyAlignment="1">
      <alignment horizontal="right" vertical="top"/>
    </xf>
    <xf numFmtId="1" fontId="29" fillId="2" borderId="1" xfId="0" applyNumberFormat="1" applyFont="1" applyFill="1" applyBorder="1" applyAlignment="1">
      <alignment horizontal="left" vertical="top"/>
    </xf>
    <xf numFmtId="164" fontId="29" fillId="2" borderId="1" xfId="0" applyNumberFormat="1" applyFont="1" applyFill="1" applyBorder="1" applyAlignment="1">
      <alignment horizontal="left" vertical="top"/>
    </xf>
    <xf numFmtId="4" fontId="29" fillId="2" borderId="1" xfId="0" applyNumberFormat="1" applyFont="1" applyFill="1" applyBorder="1" applyAlignment="1">
      <alignment vertical="top"/>
    </xf>
    <xf numFmtId="0" fontId="29" fillId="2" borderId="1" xfId="3" applyFont="1" applyFill="1" applyBorder="1"/>
    <xf numFmtId="0" fontId="36" fillId="2" borderId="1" xfId="3" applyFont="1" applyFill="1" applyBorder="1" applyAlignment="1">
      <alignment horizontal="center"/>
    </xf>
    <xf numFmtId="0" fontId="36" fillId="2" borderId="1" xfId="3" applyFont="1" applyFill="1" applyBorder="1" applyAlignment="1">
      <alignment horizontal="right"/>
    </xf>
    <xf numFmtId="4" fontId="36" fillId="2" borderId="1" xfId="0" applyNumberFormat="1" applyFont="1" applyFill="1" applyBorder="1" applyAlignment="1">
      <alignment horizontal="right" vertical="top"/>
    </xf>
    <xf numFmtId="0" fontId="38" fillId="2" borderId="1" xfId="0" applyFont="1" applyFill="1" applyBorder="1" applyAlignment="1">
      <alignment horizontal="right" vertical="top"/>
    </xf>
    <xf numFmtId="0" fontId="38" fillId="2" borderId="1" xfId="0" applyFont="1" applyFill="1" applyBorder="1" applyAlignment="1">
      <alignment horizontal="left" vertical="top"/>
    </xf>
    <xf numFmtId="0" fontId="29" fillId="2" borderId="1" xfId="3" applyFont="1" applyFill="1" applyBorder="1" applyAlignment="1">
      <alignment vertical="top" wrapText="1"/>
    </xf>
    <xf numFmtId="0" fontId="29" fillId="2" borderId="1" xfId="3" applyFont="1" applyFill="1" applyBorder="1" applyAlignment="1">
      <alignment horizontal="center" vertical="top"/>
    </xf>
    <xf numFmtId="0" fontId="29" fillId="2" borderId="1" xfId="3" applyFont="1" applyFill="1" applyBorder="1" applyAlignment="1">
      <alignment horizontal="right" vertical="top"/>
    </xf>
    <xf numFmtId="43" fontId="29" fillId="2" borderId="1" xfId="0" applyNumberFormat="1" applyFont="1" applyFill="1" applyBorder="1" applyAlignment="1">
      <alignment horizontal="center" vertical="top"/>
    </xf>
    <xf numFmtId="1" fontId="29" fillId="2" borderId="1" xfId="0" applyNumberFormat="1" applyFont="1" applyFill="1" applyBorder="1" applyAlignment="1">
      <alignment horizontal="right" vertical="top"/>
    </xf>
    <xf numFmtId="4" fontId="29" fillId="2" borderId="1" xfId="0" applyNumberFormat="1" applyFont="1" applyFill="1" applyBorder="1" applyAlignment="1">
      <alignment vertical="center"/>
    </xf>
    <xf numFmtId="164" fontId="29" fillId="2" borderId="1" xfId="0" applyNumberFormat="1" applyFont="1" applyFill="1" applyBorder="1" applyAlignment="1">
      <alignment horizontal="right" vertical="center" wrapText="1"/>
    </xf>
    <xf numFmtId="4" fontId="29" fillId="2" borderId="1" xfId="0" applyNumberFormat="1" applyFont="1" applyFill="1" applyBorder="1" applyAlignment="1">
      <alignment horizontal="right" vertical="center"/>
    </xf>
    <xf numFmtId="1" fontId="29" fillId="2" borderId="1" xfId="0" applyNumberFormat="1" applyFont="1" applyFill="1" applyBorder="1" applyAlignment="1">
      <alignment horizontal="right" vertical="center"/>
    </xf>
    <xf numFmtId="164" fontId="29" fillId="2" borderId="1" xfId="0" applyNumberFormat="1" applyFont="1" applyFill="1" applyBorder="1" applyAlignment="1">
      <alignment horizontal="left" vertical="center"/>
    </xf>
    <xf numFmtId="0" fontId="29" fillId="2" borderId="1" xfId="0" applyFont="1" applyFill="1" applyBorder="1" applyAlignment="1">
      <alignment vertical="center"/>
    </xf>
    <xf numFmtId="0" fontId="29" fillId="2" borderId="0" xfId="0" applyFont="1" applyFill="1" applyAlignment="1">
      <alignment vertical="center"/>
    </xf>
    <xf numFmtId="43" fontId="29" fillId="2" borderId="1" xfId="1" applyNumberFormat="1" applyFont="1" applyFill="1" applyBorder="1" applyAlignment="1">
      <alignment vertical="center"/>
    </xf>
    <xf numFmtId="0" fontId="36" fillId="2" borderId="1" xfId="3" applyFont="1" applyFill="1" applyBorder="1" applyAlignment="1">
      <alignment wrapText="1"/>
    </xf>
    <xf numFmtId="0" fontId="29" fillId="2" borderId="1" xfId="3" applyFont="1" applyFill="1" applyBorder="1" applyAlignment="1">
      <alignment horizontal="left"/>
    </xf>
    <xf numFmtId="43" fontId="29" fillId="2" borderId="1" xfId="0" applyNumberFormat="1" applyFont="1" applyFill="1" applyBorder="1" applyAlignment="1">
      <alignment horizontal="right" vertical="top"/>
    </xf>
    <xf numFmtId="164" fontId="29" fillId="2" borderId="1" xfId="0" applyNumberFormat="1" applyFont="1" applyFill="1" applyBorder="1" applyAlignment="1">
      <alignment horizontal="right" vertical="top"/>
    </xf>
    <xf numFmtId="0" fontId="29" fillId="2" borderId="1" xfId="6" applyFont="1" applyFill="1" applyBorder="1" applyAlignment="1">
      <alignment horizontal="center"/>
    </xf>
    <xf numFmtId="43" fontId="29" fillId="2" borderId="1" xfId="1" applyNumberFormat="1" applyFont="1" applyFill="1" applyBorder="1"/>
    <xf numFmtId="164" fontId="29" fillId="2" borderId="1" xfId="0" applyNumberFormat="1" applyFont="1" applyFill="1" applyBorder="1" applyAlignment="1">
      <alignment horizontal="right"/>
    </xf>
    <xf numFmtId="0" fontId="29" fillId="2" borderId="1" xfId="0" applyFont="1" applyFill="1" applyBorder="1" applyAlignment="1">
      <alignment horizontal="left" vertical="center" wrapText="1"/>
    </xf>
    <xf numFmtId="2" fontId="29" fillId="2" borderId="1" xfId="0" applyNumberFormat="1" applyFont="1" applyFill="1" applyBorder="1" applyAlignment="1">
      <alignment horizontal="right"/>
    </xf>
    <xf numFmtId="3" fontId="29" fillId="2" borderId="1" xfId="0" applyNumberFormat="1" applyFont="1" applyFill="1" applyBorder="1" applyAlignment="1">
      <alignment horizontal="right" vertical="top" wrapText="1"/>
    </xf>
    <xf numFmtId="164" fontId="29" fillId="2" borderId="1" xfId="0" applyNumberFormat="1" applyFont="1" applyFill="1" applyBorder="1" applyAlignment="1">
      <alignment horizontal="right" vertical="center"/>
    </xf>
    <xf numFmtId="164" fontId="36" fillId="2" borderId="1" xfId="0" applyNumberFormat="1" applyFont="1" applyFill="1" applyBorder="1" applyAlignment="1">
      <alignment horizontal="right"/>
    </xf>
    <xf numFmtId="0" fontId="29" fillId="2" borderId="1" xfId="0" applyFont="1" applyFill="1" applyBorder="1" applyAlignment="1">
      <alignment horizontal="right"/>
    </xf>
    <xf numFmtId="3" fontId="29" fillId="2" borderId="1" xfId="0" applyNumberFormat="1" applyFont="1" applyFill="1" applyBorder="1" applyAlignment="1">
      <alignment horizontal="right"/>
    </xf>
    <xf numFmtId="0" fontId="29" fillId="2" borderId="1" xfId="5" applyFont="1" applyFill="1" applyBorder="1" applyAlignment="1">
      <alignment horizontal="center"/>
    </xf>
    <xf numFmtId="4" fontId="29" fillId="2" borderId="0" xfId="0" applyNumberFormat="1" applyFont="1" applyFill="1" applyAlignment="1"/>
    <xf numFmtId="165" fontId="29" fillId="2" borderId="1" xfId="1" applyFont="1" applyFill="1" applyBorder="1" applyAlignment="1">
      <alignment horizontal="right" vertical="top"/>
    </xf>
    <xf numFmtId="0" fontId="36" fillId="2" borderId="1" xfId="0" applyFont="1" applyFill="1" applyBorder="1" applyAlignment="1">
      <alignment vertical="top" wrapText="1"/>
    </xf>
    <xf numFmtId="2" fontId="36" fillId="2" borderId="1" xfId="3" applyNumberFormat="1" applyFont="1" applyFill="1" applyBorder="1" applyAlignment="1">
      <alignment horizontal="right"/>
    </xf>
    <xf numFmtId="43" fontId="36" fillId="2" borderId="1" xfId="1" applyNumberFormat="1" applyFont="1" applyFill="1" applyBorder="1" applyAlignment="1">
      <alignment horizontal="right" vertical="top"/>
    </xf>
    <xf numFmtId="43" fontId="36" fillId="2" borderId="1" xfId="0" applyNumberFormat="1" applyFont="1" applyFill="1" applyBorder="1" applyAlignment="1">
      <alignment vertical="top"/>
    </xf>
    <xf numFmtId="164" fontId="36" fillId="2" borderId="1" xfId="0" applyNumberFormat="1" applyFont="1" applyFill="1" applyBorder="1" applyAlignment="1">
      <alignment horizontal="right" vertical="top" wrapText="1"/>
    </xf>
    <xf numFmtId="3" fontId="36" fillId="2" borderId="0" xfId="0" applyNumberFormat="1" applyFont="1" applyFill="1" applyAlignment="1">
      <alignment vertical="top"/>
    </xf>
    <xf numFmtId="4" fontId="36" fillId="2" borderId="0" xfId="0" applyNumberFormat="1" applyFont="1" applyFill="1" applyAlignment="1">
      <alignment vertical="top"/>
    </xf>
    <xf numFmtId="0" fontId="29" fillId="2" borderId="0" xfId="0" applyFont="1" applyFill="1" applyAlignment="1">
      <alignment horizontal="center" vertical="top"/>
    </xf>
    <xf numFmtId="0" fontId="36" fillId="2" borderId="16" xfId="0" applyFont="1" applyFill="1" applyBorder="1" applyAlignment="1">
      <alignment horizontal="right" vertical="top"/>
    </xf>
    <xf numFmtId="0" fontId="36" fillId="2" borderId="12" xfId="0" applyFont="1" applyFill="1" applyBorder="1" applyAlignment="1">
      <alignment horizontal="left" vertical="top"/>
    </xf>
    <xf numFmtId="0" fontId="36" fillId="2" borderId="13" xfId="0" applyFont="1" applyFill="1" applyBorder="1" applyAlignment="1">
      <alignment horizontal="left" vertical="top"/>
    </xf>
    <xf numFmtId="169" fontId="36" fillId="2" borderId="12" xfId="4" applyNumberFormat="1" applyFont="1" applyFill="1" applyBorder="1" applyAlignment="1">
      <alignment horizontal="right"/>
    </xf>
    <xf numFmtId="3" fontId="36" fillId="2" borderId="12" xfId="0" applyNumberFormat="1" applyFont="1" applyFill="1" applyBorder="1" applyAlignment="1">
      <alignment horizontal="left" vertical="top"/>
    </xf>
    <xf numFmtId="4" fontId="36" fillId="2" borderId="12" xfId="0" applyNumberFormat="1" applyFont="1" applyFill="1" applyBorder="1" applyAlignment="1">
      <alignment horizontal="left" vertical="top"/>
    </xf>
    <xf numFmtId="0" fontId="36" fillId="2" borderId="12" xfId="0" applyFont="1" applyFill="1" applyBorder="1" applyAlignment="1">
      <alignment horizontal="right" vertical="top"/>
    </xf>
    <xf numFmtId="0" fontId="36" fillId="2" borderId="12" xfId="0" applyFont="1" applyFill="1" applyBorder="1" applyAlignment="1">
      <alignment vertical="top"/>
    </xf>
    <xf numFmtId="4" fontId="29" fillId="2" borderId="1" xfId="0" applyNumberFormat="1" applyFont="1" applyFill="1" applyBorder="1" applyAlignment="1">
      <alignment horizontal="right" wrapText="1"/>
    </xf>
    <xf numFmtId="0" fontId="38" fillId="2" borderId="1" xfId="0" applyFont="1" applyFill="1" applyBorder="1" applyAlignment="1">
      <alignment horizontal="right"/>
    </xf>
    <xf numFmtId="3" fontId="38" fillId="2" borderId="1" xfId="0" applyNumberFormat="1" applyFont="1" applyFill="1" applyBorder="1" applyAlignment="1">
      <alignment horizontal="right"/>
    </xf>
    <xf numFmtId="3" fontId="36" fillId="2" borderId="1" xfId="0" applyNumberFormat="1" applyFont="1" applyFill="1" applyBorder="1" applyAlignment="1">
      <alignment horizontal="right" wrapText="1"/>
    </xf>
    <xf numFmtId="4" fontId="36" fillId="2" borderId="1" xfId="0" applyNumberFormat="1" applyFont="1" applyFill="1" applyBorder="1" applyAlignment="1">
      <alignment horizontal="right" wrapText="1"/>
    </xf>
    <xf numFmtId="0" fontId="36" fillId="2" borderId="1" xfId="0" applyFont="1" applyFill="1" applyBorder="1" applyAlignment="1">
      <alignment horizontal="right"/>
    </xf>
    <xf numFmtId="0" fontId="36" fillId="2" borderId="1" xfId="0" applyFont="1" applyFill="1" applyBorder="1" applyAlignment="1">
      <alignment horizontal="right" wrapText="1"/>
    </xf>
    <xf numFmtId="3" fontId="29" fillId="2" borderId="1" xfId="3" applyNumberFormat="1" applyFont="1" applyFill="1" applyBorder="1" applyAlignment="1">
      <alignment horizontal="right"/>
    </xf>
    <xf numFmtId="3" fontId="29" fillId="2" borderId="1" xfId="0" applyNumberFormat="1" applyFont="1" applyFill="1" applyBorder="1" applyAlignment="1">
      <alignment horizontal="right" wrapText="1"/>
    </xf>
    <xf numFmtId="0" fontId="29" fillId="2" borderId="1" xfId="0" applyFont="1" applyFill="1" applyBorder="1"/>
    <xf numFmtId="0" fontId="36" fillId="2" borderId="1" xfId="0" applyFont="1" applyFill="1" applyBorder="1" applyAlignment="1">
      <alignment horizontal="left" wrapText="1"/>
    </xf>
    <xf numFmtId="0" fontId="36" fillId="2" borderId="1" xfId="3" applyFont="1" applyFill="1" applyBorder="1" applyAlignment="1">
      <alignment horizontal="left"/>
    </xf>
    <xf numFmtId="0" fontId="29" fillId="2" borderId="1" xfId="0" applyFont="1" applyFill="1" applyBorder="1" applyAlignment="1">
      <alignment wrapText="1"/>
    </xf>
    <xf numFmtId="0" fontId="36" fillId="2" borderId="13" xfId="0" applyFont="1" applyFill="1" applyBorder="1"/>
    <xf numFmtId="1" fontId="36" fillId="2" borderId="1" xfId="0" applyNumberFormat="1" applyFont="1" applyFill="1" applyBorder="1" applyAlignment="1">
      <alignment horizontal="right" vertical="top"/>
    </xf>
    <xf numFmtId="0" fontId="29" fillId="2" borderId="13" xfId="0" applyFont="1" applyFill="1" applyBorder="1"/>
    <xf numFmtId="170" fontId="29" fillId="2" borderId="1" xfId="0" applyNumberFormat="1" applyFont="1" applyFill="1" applyBorder="1" applyAlignment="1">
      <alignment horizontal="right"/>
    </xf>
    <xf numFmtId="0" fontId="36" fillId="2" borderId="14" xfId="0" applyFont="1" applyFill="1" applyBorder="1" applyAlignment="1">
      <alignment horizontal="right" vertical="top" wrapText="1"/>
    </xf>
    <xf numFmtId="0" fontId="36" fillId="2" borderId="13" xfId="0" applyFont="1" applyFill="1" applyBorder="1" applyAlignment="1">
      <alignment horizontal="right"/>
    </xf>
    <xf numFmtId="3" fontId="36" fillId="2" borderId="1" xfId="0" applyNumberFormat="1" applyFont="1" applyFill="1" applyBorder="1" applyAlignment="1">
      <alignment horizontal="right"/>
    </xf>
    <xf numFmtId="0" fontId="29" fillId="2" borderId="14" xfId="0" applyFont="1" applyFill="1" applyBorder="1" applyAlignment="1">
      <alignment horizontal="left" vertical="top" wrapText="1"/>
    </xf>
    <xf numFmtId="1" fontId="29" fillId="2" borderId="1" xfId="0" applyNumberFormat="1" applyFont="1" applyFill="1" applyBorder="1" applyAlignment="1">
      <alignment horizontal="right"/>
    </xf>
    <xf numFmtId="0" fontId="29" fillId="2" borderId="0" xfId="0" applyFont="1" applyFill="1"/>
    <xf numFmtId="0" fontId="36" fillId="2" borderId="13" xfId="0" applyFont="1" applyFill="1" applyBorder="1" applyAlignment="1">
      <alignment wrapText="1"/>
    </xf>
    <xf numFmtId="1" fontId="36" fillId="2" borderId="1" xfId="0" applyNumberFormat="1" applyFont="1" applyFill="1" applyBorder="1" applyAlignment="1">
      <alignment horizontal="right" wrapText="1"/>
    </xf>
    <xf numFmtId="1" fontId="9" fillId="2" borderId="12" xfId="0" applyNumberFormat="1" applyFont="1" applyFill="1" applyBorder="1" applyAlignment="1">
      <alignment horizontal="center" vertical="top" wrapText="1"/>
    </xf>
    <xf numFmtId="1" fontId="9" fillId="2" borderId="13" xfId="0" applyNumberFormat="1" applyFont="1" applyFill="1" applyBorder="1" applyAlignment="1">
      <alignment horizontal="center" vertical="top" wrapText="1"/>
    </xf>
    <xf numFmtId="169" fontId="9" fillId="2" borderId="17" xfId="4" applyNumberFormat="1" applyFont="1" applyFill="1" applyBorder="1" applyAlignment="1">
      <alignment horizontal="right"/>
    </xf>
    <xf numFmtId="4" fontId="9" fillId="2" borderId="1" xfId="0" applyNumberFormat="1" applyFont="1" applyFill="1" applyBorder="1" applyAlignment="1">
      <alignment horizontal="left" vertical="top"/>
    </xf>
    <xf numFmtId="0" fontId="9" fillId="2" borderId="12" xfId="0" applyFont="1" applyFill="1" applyBorder="1" applyAlignment="1">
      <alignment horizontal="right" vertical="top"/>
    </xf>
    <xf numFmtId="4" fontId="9" fillId="2" borderId="12" xfId="0" applyNumberFormat="1" applyFont="1" applyFill="1" applyBorder="1" applyAlignment="1">
      <alignment vertical="top"/>
    </xf>
    <xf numFmtId="0" fontId="9" fillId="2" borderId="12" xfId="0" applyFont="1" applyFill="1" applyBorder="1" applyAlignment="1">
      <alignment vertical="top"/>
    </xf>
    <xf numFmtId="0" fontId="9" fillId="2" borderId="4" xfId="0" applyFont="1" applyFill="1" applyBorder="1" applyAlignment="1">
      <alignment vertical="top"/>
    </xf>
    <xf numFmtId="1" fontId="8" fillId="2" borderId="1" xfId="0" applyNumberFormat="1" applyFont="1" applyFill="1" applyBorder="1" applyAlignment="1">
      <alignment vertical="top" wrapText="1"/>
    </xf>
    <xf numFmtId="0" fontId="30" fillId="2" borderId="1" xfId="0" applyFont="1" applyFill="1" applyBorder="1" applyAlignment="1">
      <alignment horizontal="left"/>
    </xf>
    <xf numFmtId="0" fontId="31" fillId="2" borderId="1" xfId="0" applyFont="1" applyFill="1" applyBorder="1" applyAlignment="1">
      <alignment horizontal="left"/>
    </xf>
    <xf numFmtId="0" fontId="31" fillId="2" borderId="1" xfId="0" applyFont="1" applyFill="1" applyBorder="1" applyAlignment="1">
      <alignment horizontal="left" vertical="top"/>
    </xf>
    <xf numFmtId="4" fontId="31" fillId="2" borderId="1" xfId="0" applyNumberFormat="1" applyFont="1" applyFill="1" applyBorder="1" applyAlignment="1">
      <alignment horizontal="left" vertical="top"/>
    </xf>
    <xf numFmtId="4" fontId="9" fillId="2" borderId="1" xfId="0" applyNumberFormat="1" applyFont="1" applyFill="1" applyBorder="1" applyAlignment="1">
      <alignment horizontal="center" vertical="top"/>
    </xf>
    <xf numFmtId="4" fontId="9" fillId="2" borderId="2" xfId="0" applyNumberFormat="1" applyFont="1" applyFill="1" applyBorder="1" applyAlignment="1">
      <alignment horizontal="center" vertical="top"/>
    </xf>
    <xf numFmtId="1" fontId="8" fillId="2" borderId="1" xfId="0" applyNumberFormat="1" applyFont="1" applyFill="1" applyBorder="1"/>
    <xf numFmtId="2" fontId="31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 wrapText="1"/>
    </xf>
    <xf numFmtId="2" fontId="8" fillId="2" borderId="1" xfId="0" applyNumberFormat="1" applyFont="1" applyFill="1" applyBorder="1" applyAlignment="1">
      <alignment horizontal="left" vertical="top"/>
    </xf>
    <xf numFmtId="4" fontId="8" fillId="2" borderId="1" xfId="0" applyNumberFormat="1" applyFont="1" applyFill="1" applyBorder="1" applyAlignment="1">
      <alignment horizontal="left" vertical="top"/>
    </xf>
    <xf numFmtId="4" fontId="8" fillId="2" borderId="2" xfId="0" applyNumberFormat="1" applyFont="1" applyFill="1" applyBorder="1"/>
    <xf numFmtId="164" fontId="8" fillId="2" borderId="1" xfId="0" applyNumberFormat="1" applyFont="1" applyFill="1" applyBorder="1" applyAlignment="1">
      <alignment horizontal="left"/>
    </xf>
    <xf numFmtId="164" fontId="8" fillId="2" borderId="1" xfId="0" applyNumberFormat="1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left" wrapText="1"/>
    </xf>
    <xf numFmtId="0" fontId="8" fillId="2" borderId="2" xfId="0" applyFont="1" applyFill="1" applyBorder="1"/>
    <xf numFmtId="43" fontId="8" fillId="2" borderId="2" xfId="1" applyNumberFormat="1" applyFont="1" applyFill="1" applyBorder="1"/>
    <xf numFmtId="166" fontId="8" fillId="2" borderId="1" xfId="0" applyNumberFormat="1" applyFont="1" applyFill="1" applyBorder="1" applyAlignment="1">
      <alignment horizontal="left" vertical="top" wrapText="1"/>
    </xf>
    <xf numFmtId="1" fontId="8" fillId="2" borderId="1" xfId="0" applyNumberFormat="1" applyFont="1" applyFill="1" applyBorder="1" applyAlignment="1">
      <alignment horizontal="right"/>
    </xf>
    <xf numFmtId="1" fontId="9" fillId="2" borderId="1" xfId="0" applyNumberFormat="1" applyFont="1" applyFill="1" applyBorder="1" applyAlignment="1">
      <alignment vertical="top" wrapText="1"/>
    </xf>
    <xf numFmtId="0" fontId="8" fillId="2" borderId="1" xfId="3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3" fontId="8" fillId="2" borderId="2" xfId="1" applyNumberFormat="1" applyFont="1" applyFill="1" applyBorder="1" applyAlignment="1">
      <alignment horizontal="center" vertical="center"/>
    </xf>
    <xf numFmtId="0" fontId="9" fillId="2" borderId="1" xfId="6" applyFont="1" applyFill="1" applyBorder="1" applyAlignment="1">
      <alignment horizontal="center"/>
    </xf>
    <xf numFmtId="0" fontId="9" fillId="2" borderId="0" xfId="0" applyFont="1" applyFill="1" applyAlignment="1"/>
    <xf numFmtId="0" fontId="9" fillId="2" borderId="17" xfId="0" applyFont="1" applyFill="1" applyBorder="1" applyAlignment="1"/>
    <xf numFmtId="169" fontId="9" fillId="2" borderId="0" xfId="4" applyNumberFormat="1" applyFont="1" applyFill="1" applyAlignment="1">
      <alignment horizontal="right"/>
    </xf>
    <xf numFmtId="0" fontId="9" fillId="2" borderId="2" xfId="0" applyFont="1" applyFill="1" applyBorder="1" applyAlignment="1">
      <alignment wrapText="1"/>
    </xf>
    <xf numFmtId="1" fontId="30" fillId="2" borderId="1" xfId="0" applyNumberFormat="1" applyFont="1" applyFill="1" applyBorder="1" applyAlignment="1">
      <alignment horizontal="right"/>
    </xf>
    <xf numFmtId="1" fontId="9" fillId="2" borderId="1" xfId="0" applyNumberFormat="1" applyFont="1" applyFill="1" applyBorder="1" applyAlignment="1">
      <alignment horizontal="right"/>
    </xf>
    <xf numFmtId="164" fontId="8" fillId="2" borderId="1" xfId="0" applyNumberFormat="1" applyFont="1" applyFill="1" applyBorder="1"/>
    <xf numFmtId="4" fontId="9" fillId="2" borderId="1" xfId="0" applyNumberFormat="1" applyFont="1" applyFill="1" applyBorder="1" applyAlignment="1">
      <alignment vertical="top" wrapText="1"/>
    </xf>
    <xf numFmtId="4" fontId="9" fillId="2" borderId="2" xfId="0" applyNumberFormat="1" applyFont="1" applyFill="1" applyBorder="1" applyAlignment="1">
      <alignment vertical="top" wrapText="1"/>
    </xf>
    <xf numFmtId="43" fontId="9" fillId="2" borderId="2" xfId="1" applyNumberFormat="1" applyFont="1" applyFill="1" applyBorder="1"/>
    <xf numFmtId="43" fontId="9" fillId="2" borderId="1" xfId="0" applyNumberFormat="1" applyFont="1" applyFill="1" applyBorder="1"/>
    <xf numFmtId="4" fontId="8" fillId="2" borderId="2" xfId="0" applyNumberFormat="1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vertical="top" wrapText="1"/>
    </xf>
    <xf numFmtId="4" fontId="8" fillId="2" borderId="2" xfId="0" applyNumberFormat="1" applyFont="1" applyFill="1" applyBorder="1" applyAlignment="1">
      <alignment horizontal="right" vertical="top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vertical="top" wrapText="1"/>
    </xf>
    <xf numFmtId="169" fontId="39" fillId="2" borderId="0" xfId="4" applyNumberFormat="1" applyFont="1" applyFill="1" applyAlignment="1">
      <alignment horizontal="right"/>
    </xf>
    <xf numFmtId="0" fontId="30" fillId="2" borderId="18" xfId="0" applyFont="1" applyFill="1" applyBorder="1" applyAlignment="1">
      <alignment horizontal="left"/>
    </xf>
    <xf numFmtId="4" fontId="30" fillId="2" borderId="1" xfId="0" applyNumberFormat="1" applyFont="1" applyFill="1" applyBorder="1" applyAlignment="1">
      <alignment horizontal="left"/>
    </xf>
    <xf numFmtId="0" fontId="8" fillId="2" borderId="18" xfId="0" applyFont="1" applyFill="1" applyBorder="1" applyAlignment="1">
      <alignment vertical="top" wrapText="1"/>
    </xf>
    <xf numFmtId="164" fontId="8" fillId="2" borderId="1" xfId="0" applyNumberFormat="1" applyFont="1" applyFill="1" applyBorder="1" applyAlignment="1"/>
    <xf numFmtId="0" fontId="32" fillId="2" borderId="1" xfId="7" applyFont="1" applyFill="1" applyBorder="1" applyAlignment="1">
      <alignment horizontal="center"/>
    </xf>
    <xf numFmtId="165" fontId="8" fillId="2" borderId="18" xfId="1" applyFont="1" applyFill="1" applyBorder="1" applyAlignment="1">
      <alignment vertical="top" wrapText="1"/>
    </xf>
    <xf numFmtId="0" fontId="8" fillId="2" borderId="1" xfId="0" applyFont="1" applyFill="1" applyBorder="1" applyAlignment="1"/>
    <xf numFmtId="43" fontId="8" fillId="2" borderId="1" xfId="0" applyNumberFormat="1" applyFont="1" applyFill="1" applyBorder="1" applyAlignment="1"/>
    <xf numFmtId="43" fontId="8" fillId="2" borderId="2" xfId="1" applyNumberFormat="1" applyFont="1" applyFill="1" applyBorder="1" applyAlignment="1"/>
    <xf numFmtId="4" fontId="8" fillId="2" borderId="18" xfId="0" applyNumberFormat="1" applyFont="1" applyFill="1" applyBorder="1"/>
    <xf numFmtId="4" fontId="8" fillId="2" borderId="18" xfId="0" applyNumberFormat="1" applyFont="1" applyFill="1" applyBorder="1" applyAlignment="1"/>
    <xf numFmtId="0" fontId="8" fillId="2" borderId="18" xfId="0" applyFont="1" applyFill="1" applyBorder="1"/>
    <xf numFmtId="164" fontId="8" fillId="2" borderId="18" xfId="0" applyNumberFormat="1" applyFont="1" applyFill="1" applyBorder="1"/>
    <xf numFmtId="43" fontId="8" fillId="2" borderId="18" xfId="0" applyNumberFormat="1" applyFont="1" applyFill="1" applyBorder="1"/>
    <xf numFmtId="0" fontId="32" fillId="2" borderId="18" xfId="7" applyFont="1" applyFill="1" applyBorder="1" applyAlignment="1">
      <alignment horizontal="center"/>
    </xf>
    <xf numFmtId="43" fontId="8" fillId="2" borderId="18" xfId="1" applyNumberFormat="1" applyFont="1" applyFill="1" applyBorder="1"/>
    <xf numFmtId="43" fontId="8" fillId="2" borderId="16" xfId="1" applyNumberFormat="1" applyFont="1" applyFill="1" applyBorder="1"/>
    <xf numFmtId="164" fontId="9" fillId="2" borderId="1" xfId="0" applyNumberFormat="1" applyFont="1" applyFill="1" applyBorder="1" applyAlignment="1">
      <alignment vertical="top" wrapText="1"/>
    </xf>
    <xf numFmtId="0" fontId="9" fillId="2" borderId="18" xfId="0" applyFont="1" applyFill="1" applyBorder="1" applyAlignment="1">
      <alignment vertical="top" wrapText="1"/>
    </xf>
    <xf numFmtId="164" fontId="8" fillId="2" borderId="1" xfId="0" applyNumberFormat="1" applyFont="1" applyFill="1" applyBorder="1" applyAlignment="1">
      <alignment vertical="top" wrapText="1"/>
    </xf>
    <xf numFmtId="0" fontId="9" fillId="2" borderId="18" xfId="0" applyFont="1" applyFill="1" applyBorder="1"/>
    <xf numFmtId="0" fontId="9" fillId="2" borderId="18" xfId="0" applyFont="1" applyFill="1" applyBorder="1" applyAlignment="1">
      <alignment horizontal="right" vertical="top"/>
    </xf>
    <xf numFmtId="4" fontId="9" fillId="2" borderId="2" xfId="0" applyNumberFormat="1" applyFont="1" applyFill="1" applyBorder="1"/>
    <xf numFmtId="0" fontId="9" fillId="2" borderId="1" xfId="0" applyFont="1" applyFill="1" applyBorder="1" applyAlignment="1">
      <alignment horizontal="right"/>
    </xf>
    <xf numFmtId="4" fontId="12" fillId="2" borderId="1" xfId="0" applyNumberFormat="1" applyFont="1" applyFill="1" applyBorder="1"/>
    <xf numFmtId="0" fontId="12" fillId="0" borderId="0" xfId="0" applyFont="1"/>
    <xf numFmtId="0" fontId="40" fillId="2" borderId="1" xfId="0" applyFont="1" applyFill="1" applyBorder="1"/>
    <xf numFmtId="4" fontId="40" fillId="2" borderId="1" xfId="0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/>
    <xf numFmtId="0" fontId="40" fillId="0" borderId="0" xfId="0" applyFont="1"/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1" fontId="6" fillId="0" borderId="1" xfId="0" applyNumberFormat="1" applyFont="1" applyBorder="1"/>
    <xf numFmtId="0" fontId="12" fillId="0" borderId="1" xfId="0" applyFont="1" applyBorder="1"/>
    <xf numFmtId="1" fontId="12" fillId="0" borderId="1" xfId="0" applyNumberFormat="1" applyFont="1" applyBorder="1"/>
    <xf numFmtId="0" fontId="40" fillId="0" borderId="1" xfId="0" applyFont="1" applyBorder="1"/>
    <xf numFmtId="1" fontId="40" fillId="0" borderId="1" xfId="0" applyNumberFormat="1" applyFont="1" applyBorder="1"/>
    <xf numFmtId="1" fontId="7" fillId="0" borderId="1" xfId="0" applyNumberFormat="1" applyFont="1" applyBorder="1"/>
    <xf numFmtId="173" fontId="7" fillId="0" borderId="1" xfId="0" applyNumberFormat="1" applyFont="1" applyBorder="1"/>
    <xf numFmtId="166" fontId="6" fillId="0" borderId="1" xfId="0" applyNumberFormat="1" applyFont="1" applyBorder="1"/>
    <xf numFmtId="166" fontId="6" fillId="0" borderId="1" xfId="1" applyNumberFormat="1" applyFont="1" applyBorder="1"/>
    <xf numFmtId="166" fontId="12" fillId="0" borderId="1" xfId="0" applyNumberFormat="1" applyFont="1" applyBorder="1"/>
    <xf numFmtId="166" fontId="12" fillId="0" borderId="1" xfId="1" applyNumberFormat="1" applyFont="1" applyBorder="1"/>
    <xf numFmtId="166" fontId="40" fillId="0" borderId="1" xfId="0" applyNumberFormat="1" applyFont="1" applyBorder="1"/>
    <xf numFmtId="166" fontId="40" fillId="0" borderId="1" xfId="1" applyNumberFormat="1" applyFont="1" applyBorder="1"/>
    <xf numFmtId="4" fontId="36" fillId="2" borderId="1" xfId="0" applyNumberFormat="1" applyFont="1" applyFill="1" applyBorder="1" applyAlignment="1">
      <alignment horizontal="right"/>
    </xf>
    <xf numFmtId="0" fontId="29" fillId="2" borderId="0" xfId="0" applyFont="1" applyFill="1" applyAlignment="1">
      <alignment horizontal="left" vertical="top"/>
    </xf>
    <xf numFmtId="2" fontId="8" fillId="2" borderId="0" xfId="0" applyNumberFormat="1" applyFont="1" applyFill="1" applyAlignment="1">
      <alignment horizontal="right" vertical="top"/>
    </xf>
    <xf numFmtId="169" fontId="9" fillId="2" borderId="1" xfId="4" applyNumberFormat="1" applyFont="1" applyFill="1" applyBorder="1" applyAlignment="1">
      <alignment horizontal="right" vertical="top"/>
    </xf>
    <xf numFmtId="0" fontId="9" fillId="2" borderId="1" xfId="3" applyFont="1" applyFill="1" applyBorder="1" applyAlignment="1">
      <alignment vertical="top"/>
    </xf>
    <xf numFmtId="0" fontId="8" fillId="2" borderId="1" xfId="3" applyFont="1" applyFill="1" applyBorder="1" applyAlignment="1">
      <alignment horizontal="center" vertical="top"/>
    </xf>
    <xf numFmtId="0" fontId="30" fillId="2" borderId="1" xfId="0" applyFont="1" applyFill="1" applyBorder="1" applyAlignment="1">
      <alignment horizontal="right" vertical="top"/>
    </xf>
    <xf numFmtId="3" fontId="30" fillId="2" borderId="1" xfId="0" applyNumberFormat="1" applyFont="1" applyFill="1" applyBorder="1" applyAlignment="1">
      <alignment horizontal="right" vertical="top"/>
    </xf>
    <xf numFmtId="165" fontId="8" fillId="2" borderId="1" xfId="0" applyNumberFormat="1" applyFont="1" applyFill="1" applyBorder="1" applyAlignment="1">
      <alignment vertical="top"/>
    </xf>
    <xf numFmtId="0" fontId="9" fillId="2" borderId="1" xfId="3" applyFont="1" applyFill="1" applyBorder="1" applyAlignment="1">
      <alignment vertical="top" wrapText="1"/>
    </xf>
    <xf numFmtId="0" fontId="8" fillId="2" borderId="1" xfId="3" applyFont="1" applyFill="1" applyBorder="1" applyAlignment="1">
      <alignment vertical="top"/>
    </xf>
    <xf numFmtId="0" fontId="8" fillId="2" borderId="1" xfId="3" applyFont="1" applyFill="1" applyBorder="1" applyAlignment="1">
      <alignment horizontal="right" vertical="top"/>
    </xf>
    <xf numFmtId="171" fontId="8" fillId="2" borderId="1" xfId="0" applyNumberFormat="1" applyFont="1" applyFill="1" applyBorder="1" applyAlignment="1">
      <alignment horizontal="right" vertical="top"/>
    </xf>
    <xf numFmtId="4" fontId="8" fillId="2" borderId="0" xfId="0" applyNumberFormat="1" applyFont="1" applyFill="1" applyAlignment="1">
      <alignment vertical="top"/>
    </xf>
    <xf numFmtId="0" fontId="8" fillId="2" borderId="1" xfId="3" applyFont="1" applyFill="1" applyBorder="1" applyAlignment="1">
      <alignment vertical="top" wrapText="1"/>
    </xf>
    <xf numFmtId="3" fontId="8" fillId="2" borderId="1" xfId="3" applyNumberFormat="1" applyFont="1" applyFill="1" applyBorder="1" applyAlignment="1">
      <alignment horizontal="right" vertical="top"/>
    </xf>
    <xf numFmtId="0" fontId="9" fillId="2" borderId="1" xfId="3" applyFont="1" applyFill="1" applyBorder="1" applyAlignment="1">
      <alignment horizontal="center" vertical="top"/>
    </xf>
    <xf numFmtId="0" fontId="9" fillId="2" borderId="1" xfId="3" applyFont="1" applyFill="1" applyBorder="1" applyAlignment="1">
      <alignment horizontal="right" vertical="top"/>
    </xf>
    <xf numFmtId="4" fontId="9" fillId="2" borderId="0" xfId="0" applyNumberFormat="1" applyFont="1" applyFill="1" applyAlignment="1">
      <alignment vertical="top"/>
    </xf>
    <xf numFmtId="165" fontId="9" fillId="2" borderId="1" xfId="0" applyNumberFormat="1" applyFont="1" applyFill="1" applyBorder="1" applyAlignment="1">
      <alignment vertical="top"/>
    </xf>
    <xf numFmtId="172" fontId="8" fillId="2" borderId="1" xfId="0" applyNumberFormat="1" applyFont="1" applyFill="1" applyBorder="1" applyAlignment="1">
      <alignment horizontal="right" vertical="top"/>
    </xf>
    <xf numFmtId="0" fontId="8" fillId="2" borderId="1" xfId="5" applyFont="1" applyFill="1" applyBorder="1" applyAlignment="1">
      <alignment horizontal="center" vertical="top"/>
    </xf>
    <xf numFmtId="0" fontId="8" fillId="2" borderId="1" xfId="3" applyFont="1" applyFill="1" applyBorder="1" applyAlignment="1">
      <alignment horizontal="left" vertical="top"/>
    </xf>
    <xf numFmtId="0" fontId="32" fillId="2" borderId="1" xfId="3" applyFont="1" applyFill="1" applyBorder="1" applyAlignment="1">
      <alignment horizontal="left" vertical="top"/>
    </xf>
    <xf numFmtId="173" fontId="8" fillId="2" borderId="1" xfId="1" applyNumberFormat="1" applyFont="1" applyFill="1" applyBorder="1" applyAlignment="1">
      <alignment horizontal="right" vertical="top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4" fontId="9" fillId="2" borderId="1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right" vertical="top" wrapText="1"/>
    </xf>
    <xf numFmtId="3" fontId="9" fillId="2" borderId="1" xfId="0" applyNumberFormat="1" applyFont="1" applyFill="1" applyBorder="1" applyAlignment="1">
      <alignment horizontal="right" vertical="top"/>
    </xf>
    <xf numFmtId="4" fontId="9" fillId="2" borderId="1" xfId="0" applyNumberFormat="1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36" fillId="2" borderId="12" xfId="0" applyFont="1" applyFill="1" applyBorder="1" applyAlignment="1">
      <alignment horizontal="center" vertical="top" wrapText="1"/>
    </xf>
    <xf numFmtId="0" fontId="36" fillId="2" borderId="13" xfId="0" applyFont="1" applyFill="1" applyBorder="1" applyAlignment="1">
      <alignment horizontal="center" vertical="top" wrapText="1"/>
    </xf>
    <xf numFmtId="0" fontId="36" fillId="2" borderId="1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top"/>
    </xf>
    <xf numFmtId="0" fontId="36" fillId="2" borderId="0" xfId="0" applyFont="1" applyFill="1" applyAlignment="1">
      <alignment horizontal="left" vertical="top"/>
    </xf>
    <xf numFmtId="0" fontId="36" fillId="2" borderId="16" xfId="0" applyFont="1" applyFill="1" applyBorder="1" applyAlignment="1">
      <alignment horizontal="center" vertical="top"/>
    </xf>
    <xf numFmtId="0" fontId="36" fillId="2" borderId="12" xfId="0" applyFont="1" applyFill="1" applyBorder="1" applyAlignment="1">
      <alignment horizontal="left" vertical="top" wrapText="1"/>
    </xf>
    <xf numFmtId="0" fontId="36" fillId="2" borderId="15" xfId="0" applyFont="1" applyFill="1" applyBorder="1" applyAlignment="1">
      <alignment horizontal="left" vertical="top" wrapText="1"/>
    </xf>
    <xf numFmtId="0" fontId="36" fillId="2" borderId="14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6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left" vertical="center" wrapText="1"/>
    </xf>
    <xf numFmtId="0" fontId="5" fillId="3" borderId="0" xfId="0" applyFont="1" applyFill="1"/>
    <xf numFmtId="0" fontId="5" fillId="0" borderId="0" xfId="0" applyFont="1"/>
    <xf numFmtId="1" fontId="5" fillId="0" borderId="0" xfId="0" applyNumberFormat="1" applyFont="1"/>
    <xf numFmtId="1" fontId="15" fillId="0" borderId="0" xfId="0" applyNumberFormat="1" applyFont="1"/>
    <xf numFmtId="0" fontId="8" fillId="2" borderId="1" xfId="0" applyFont="1" applyFill="1" applyBorder="1" applyAlignment="1">
      <alignment horizontal="center" vertical="top"/>
    </xf>
    <xf numFmtId="0" fontId="36" fillId="2" borderId="0" xfId="0" applyFont="1" applyFill="1" applyAlignment="1">
      <alignment horizontal="center" vertical="top"/>
    </xf>
    <xf numFmtId="0" fontId="29" fillId="2" borderId="1" xfId="0" applyFont="1" applyFill="1" applyBorder="1" applyAlignment="1">
      <alignment horizontal="center" vertical="top"/>
    </xf>
    <xf numFmtId="0" fontId="36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left" vertical="center" wrapText="1"/>
    </xf>
    <xf numFmtId="4" fontId="9" fillId="2" borderId="12" xfId="0" applyNumberFormat="1" applyFont="1" applyFill="1" applyBorder="1" applyAlignment="1">
      <alignment horizontal="right" vertical="top" wrapText="1"/>
    </xf>
    <xf numFmtId="4" fontId="9" fillId="2" borderId="12" xfId="0" applyNumberFormat="1" applyFont="1" applyFill="1" applyBorder="1" applyAlignment="1">
      <alignment horizontal="center" vertical="top"/>
    </xf>
    <xf numFmtId="4" fontId="9" fillId="2" borderId="4" xfId="0" applyNumberFormat="1" applyFont="1" applyFill="1" applyBorder="1" applyAlignment="1">
      <alignment vertical="center" wrapText="1"/>
    </xf>
    <xf numFmtId="4" fontId="9" fillId="2" borderId="12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4" fontId="9" fillId="2" borderId="13" xfId="0" applyNumberFormat="1" applyFont="1" applyFill="1" applyBorder="1" applyAlignment="1">
      <alignment horizontal="center" vertical="top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vertical="center" wrapText="1"/>
    </xf>
    <xf numFmtId="4" fontId="9" fillId="2" borderId="1" xfId="4" applyNumberFormat="1" applyFont="1" applyFill="1" applyBorder="1" applyAlignment="1">
      <alignment horizontal="right"/>
    </xf>
    <xf numFmtId="3" fontId="9" fillId="2" borderId="1" xfId="0" applyNumberFormat="1" applyFont="1" applyFill="1" applyBorder="1"/>
    <xf numFmtId="3" fontId="8" fillId="2" borderId="1" xfId="0" applyNumberFormat="1" applyFont="1" applyFill="1" applyBorder="1"/>
    <xf numFmtId="165" fontId="8" fillId="2" borderId="1" xfId="1" applyFont="1" applyFill="1" applyBorder="1"/>
    <xf numFmtId="165" fontId="9" fillId="2" borderId="1" xfId="1" applyFont="1" applyFill="1" applyBorder="1"/>
    <xf numFmtId="4" fontId="9" fillId="2" borderId="0" xfId="0" applyNumberFormat="1" applyFont="1" applyFill="1"/>
    <xf numFmtId="164" fontId="8" fillId="2" borderId="1" xfId="1" applyNumberFormat="1" applyFont="1" applyFill="1" applyBorder="1" applyAlignment="1">
      <alignment vertical="top"/>
    </xf>
    <xf numFmtId="164" fontId="8" fillId="2" borderId="1" xfId="0" applyNumberFormat="1" applyFont="1" applyFill="1" applyBorder="1" applyAlignment="1">
      <alignment horizontal="right" vertical="center" wrapText="1"/>
    </xf>
    <xf numFmtId="167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43" fontId="8" fillId="2" borderId="1" xfId="1" applyNumberFormat="1" applyFont="1" applyFill="1" applyBorder="1" applyAlignment="1">
      <alignment horizontal="right" vertical="center"/>
    </xf>
    <xf numFmtId="43" fontId="8" fillId="2" borderId="1" xfId="0" applyNumberFormat="1" applyFont="1" applyFill="1" applyBorder="1" applyAlignment="1">
      <alignment horizontal="right" vertical="center"/>
    </xf>
    <xf numFmtId="4" fontId="9" fillId="2" borderId="0" xfId="0" applyNumberFormat="1" applyFont="1" applyFill="1" applyAlignment="1"/>
    <xf numFmtId="0" fontId="29" fillId="2" borderId="1" xfId="3" applyFont="1" applyFill="1" applyBorder="1" applyAlignment="1">
      <alignment horizontal="left" vertical="center"/>
    </xf>
    <xf numFmtId="164" fontId="29" fillId="2" borderId="1" xfId="0" applyNumberFormat="1" applyFont="1" applyFill="1" applyBorder="1" applyAlignment="1">
      <alignment vertical="top" wrapText="1"/>
    </xf>
    <xf numFmtId="0" fontId="29" fillId="2" borderId="1" xfId="3" applyFont="1" applyFill="1" applyBorder="1" applyAlignment="1">
      <alignment vertical="center" wrapText="1"/>
    </xf>
    <xf numFmtId="0" fontId="29" fillId="2" borderId="1" xfId="3" applyFont="1" applyFill="1" applyBorder="1" applyAlignment="1">
      <alignment horizontal="right" vertical="center"/>
    </xf>
    <xf numFmtId="164" fontId="29" fillId="2" borderId="0" xfId="0" applyNumberFormat="1" applyFont="1" applyFill="1" applyAlignment="1">
      <alignment horizontal="right" vertical="top"/>
    </xf>
    <xf numFmtId="43" fontId="29" fillId="2" borderId="0" xfId="0" applyNumberFormat="1" applyFont="1" applyFill="1" applyAlignment="1">
      <alignment horizontal="right" vertical="top"/>
    </xf>
    <xf numFmtId="43" fontId="29" fillId="2" borderId="0" xfId="0" applyNumberFormat="1" applyFont="1" applyFill="1" applyAlignment="1">
      <alignment vertical="top"/>
    </xf>
    <xf numFmtId="0" fontId="36" fillId="2" borderId="0" xfId="0" applyFont="1" applyFill="1" applyAlignment="1">
      <alignment horizontal="right" vertical="top"/>
    </xf>
    <xf numFmtId="4" fontId="29" fillId="2" borderId="0" xfId="0" applyNumberFormat="1" applyFont="1" applyFill="1" applyAlignment="1">
      <alignment horizontal="right" vertical="top"/>
    </xf>
    <xf numFmtId="3" fontId="29" fillId="2" borderId="0" xfId="0" applyNumberFormat="1" applyFont="1" applyFill="1" applyAlignment="1">
      <alignment horizontal="left" vertical="top"/>
    </xf>
    <xf numFmtId="4" fontId="29" fillId="2" borderId="0" xfId="0" applyNumberFormat="1" applyFont="1" applyFill="1" applyAlignment="1">
      <alignment horizontal="left" vertical="top"/>
    </xf>
    <xf numFmtId="1" fontId="29" fillId="2" borderId="0" xfId="0" applyNumberFormat="1" applyFont="1" applyFill="1" applyAlignment="1">
      <alignment vertical="top"/>
    </xf>
    <xf numFmtId="0" fontId="8" fillId="2" borderId="0" xfId="0" applyFont="1" applyFill="1" applyAlignment="1">
      <alignment wrapText="1"/>
    </xf>
    <xf numFmtId="1" fontId="8" fillId="2" borderId="0" xfId="0" applyNumberFormat="1" applyFont="1" applyFill="1"/>
    <xf numFmtId="3" fontId="9" fillId="2" borderId="0" xfId="0" applyNumberFormat="1" applyFont="1" applyFill="1" applyAlignment="1">
      <alignment vertical="top"/>
    </xf>
    <xf numFmtId="0" fontId="9" fillId="2" borderId="17" xfId="0" applyFont="1" applyFill="1" applyBorder="1" applyAlignment="1">
      <alignment vertical="top"/>
    </xf>
    <xf numFmtId="3" fontId="9" fillId="2" borderId="1" xfId="0" applyNumberFormat="1" applyFont="1" applyFill="1" applyBorder="1" applyAlignment="1">
      <alignment horizontal="center" vertical="top"/>
    </xf>
    <xf numFmtId="0" fontId="8" fillId="2" borderId="1" xfId="8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left" vertical="top"/>
    </xf>
    <xf numFmtId="0" fontId="42" fillId="2" borderId="1" xfId="3" applyFont="1" applyFill="1" applyBorder="1"/>
    <xf numFmtId="0" fontId="42" fillId="2" borderId="1" xfId="3" applyFont="1" applyFill="1" applyBorder="1" applyAlignment="1">
      <alignment horizontal="center"/>
    </xf>
    <xf numFmtId="164" fontId="36" fillId="2" borderId="1" xfId="0" applyNumberFormat="1" applyFont="1" applyFill="1" applyBorder="1" applyAlignment="1">
      <alignment vertical="top" wrapText="1"/>
    </xf>
    <xf numFmtId="2" fontId="8" fillId="2" borderId="0" xfId="0" applyNumberFormat="1" applyFont="1" applyFill="1" applyAlignment="1">
      <alignment horizontal="left" vertical="top"/>
    </xf>
    <xf numFmtId="4" fontId="8" fillId="2" borderId="0" xfId="0" applyNumberFormat="1" applyFont="1" applyFill="1" applyAlignment="1">
      <alignment horizontal="left" vertical="top"/>
    </xf>
    <xf numFmtId="3" fontId="8" fillId="2" borderId="0" xfId="0" applyNumberFormat="1" applyFont="1" applyFill="1" applyAlignment="1">
      <alignment horizontal="left" vertical="top"/>
    </xf>
    <xf numFmtId="3" fontId="8" fillId="2" borderId="0" xfId="0" applyNumberFormat="1" applyFont="1" applyFill="1" applyAlignment="1">
      <alignment vertical="top"/>
    </xf>
    <xf numFmtId="0" fontId="29" fillId="2" borderId="13" xfId="0" applyFont="1" applyFill="1" applyBorder="1" applyAlignment="1">
      <alignment vertical="top"/>
    </xf>
    <xf numFmtId="0" fontId="43" fillId="0" borderId="0" xfId="0" applyFont="1"/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164" fontId="8" fillId="3" borderId="1" xfId="0" applyNumberFormat="1" applyFont="1" applyFill="1" applyBorder="1" applyAlignment="1">
      <alignment horizontal="right" vertical="top" wrapText="1"/>
    </xf>
    <xf numFmtId="3" fontId="8" fillId="3" borderId="1" xfId="0" applyNumberFormat="1" applyFont="1" applyFill="1" applyBorder="1" applyAlignment="1">
      <alignment horizontal="right" vertical="top" wrapText="1"/>
    </xf>
    <xf numFmtId="164" fontId="8" fillId="3" borderId="1" xfId="0" applyNumberFormat="1" applyFont="1" applyFill="1" applyBorder="1" applyAlignment="1">
      <alignment horizontal="right" vertical="top"/>
    </xf>
    <xf numFmtId="3" fontId="8" fillId="3" borderId="1" xfId="0" applyNumberFormat="1" applyFont="1" applyFill="1" applyBorder="1" applyAlignment="1">
      <alignment horizontal="right" vertical="top"/>
    </xf>
    <xf numFmtId="4" fontId="8" fillId="3" borderId="1" xfId="0" applyNumberFormat="1" applyFont="1" applyFill="1" applyBorder="1" applyAlignment="1">
      <alignment horizontal="right" vertical="top"/>
    </xf>
    <xf numFmtId="170" fontId="8" fillId="3" borderId="1" xfId="0" applyNumberFormat="1" applyFont="1" applyFill="1" applyBorder="1" applyAlignment="1">
      <alignment horizontal="right" vertical="top"/>
    </xf>
    <xf numFmtId="0" fontId="8" fillId="3" borderId="1" xfId="5" applyFont="1" applyFill="1" applyBorder="1" applyAlignment="1">
      <alignment horizontal="center" vertical="top"/>
    </xf>
    <xf numFmtId="4" fontId="8" fillId="3" borderId="0" xfId="0" applyNumberFormat="1" applyFont="1" applyFill="1" applyAlignment="1">
      <alignment vertical="top"/>
    </xf>
    <xf numFmtId="43" fontId="8" fillId="3" borderId="1" xfId="1" applyNumberFormat="1" applyFont="1" applyFill="1" applyBorder="1" applyAlignment="1">
      <alignment vertical="top"/>
    </xf>
    <xf numFmtId="165" fontId="8" fillId="3" borderId="1" xfId="0" applyNumberFormat="1" applyFont="1" applyFill="1" applyBorder="1" applyAlignment="1">
      <alignment vertical="top"/>
    </xf>
    <xf numFmtId="0" fontId="8" fillId="3" borderId="0" xfId="0" applyFont="1" applyFill="1" applyAlignment="1">
      <alignment vertical="top"/>
    </xf>
    <xf numFmtId="0" fontId="8" fillId="3" borderId="1" xfId="3" applyFont="1" applyFill="1" applyBorder="1" applyAlignment="1">
      <alignment vertical="top"/>
    </xf>
    <xf numFmtId="0" fontId="8" fillId="3" borderId="1" xfId="3" applyFont="1" applyFill="1" applyBorder="1" applyAlignment="1">
      <alignment vertical="top" wrapText="1"/>
    </xf>
    <xf numFmtId="0" fontId="0" fillId="0" borderId="1" xfId="0" applyBorder="1"/>
    <xf numFmtId="0" fontId="43" fillId="0" borderId="1" xfId="0" applyFont="1" applyBorder="1"/>
    <xf numFmtId="0" fontId="43" fillId="0" borderId="0" xfId="0" applyFont="1" applyAlignment="1">
      <alignment horizontal="center"/>
    </xf>
    <xf numFmtId="173" fontId="0" fillId="0" borderId="1" xfId="1" applyNumberFormat="1" applyFont="1" applyBorder="1"/>
    <xf numFmtId="173" fontId="43" fillId="0" borderId="1" xfId="1" applyNumberFormat="1" applyFont="1" applyBorder="1"/>
    <xf numFmtId="0" fontId="43" fillId="0" borderId="0" xfId="0" applyFont="1" applyAlignment="1">
      <alignment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center"/>
    </xf>
    <xf numFmtId="173" fontId="46" fillId="0" borderId="1" xfId="1" applyNumberFormat="1" applyFont="1" applyBorder="1"/>
    <xf numFmtId="173" fontId="45" fillId="0" borderId="1" xfId="1" applyNumberFormat="1" applyFont="1" applyBorder="1"/>
    <xf numFmtId="173" fontId="46" fillId="2" borderId="1" xfId="1" applyNumberFormat="1" applyFont="1" applyFill="1" applyBorder="1"/>
    <xf numFmtId="0" fontId="46" fillId="0" borderId="1" xfId="0" applyFont="1" applyBorder="1" applyAlignment="1">
      <alignment wrapText="1"/>
    </xf>
    <xf numFmtId="0" fontId="45" fillId="0" borderId="0" xfId="0" applyFont="1" applyAlignment="1">
      <alignment horizontal="center"/>
    </xf>
    <xf numFmtId="173" fontId="46" fillId="0" borderId="0" xfId="1" applyNumberFormat="1" applyFont="1"/>
    <xf numFmtId="173" fontId="47" fillId="0" borderId="1" xfId="1" applyNumberFormat="1" applyFont="1" applyBorder="1"/>
    <xf numFmtId="0" fontId="45" fillId="0" borderId="1" xfId="0" applyFont="1" applyBorder="1" applyAlignment="1">
      <alignment wrapText="1"/>
    </xf>
    <xf numFmtId="0" fontId="46" fillId="0" borderId="0" xfId="0" applyFont="1" applyAlignment="1">
      <alignment wrapText="1"/>
    </xf>
    <xf numFmtId="0" fontId="47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3" fontId="0" fillId="0" borderId="1" xfId="0" applyNumberFormat="1" applyBorder="1"/>
    <xf numFmtId="3" fontId="43" fillId="0" borderId="1" xfId="0" applyNumberFormat="1" applyFont="1" applyBorder="1"/>
    <xf numFmtId="3" fontId="0" fillId="0" borderId="1" xfId="0" applyNumberFormat="1" applyBorder="1" applyAlignment="1">
      <alignment wrapText="1"/>
    </xf>
    <xf numFmtId="0" fontId="17" fillId="0" borderId="0" xfId="0" applyFont="1" applyAlignment="1">
      <alignment horizontal="center"/>
    </xf>
    <xf numFmtId="0" fontId="17" fillId="4" borderId="12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4" borderId="16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4" borderId="16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wrapText="1" readingOrder="1"/>
    </xf>
    <xf numFmtId="0" fontId="23" fillId="0" borderId="17" xfId="0" applyFont="1" applyBorder="1" applyAlignment="1">
      <alignment horizontal="center" wrapText="1" readingOrder="1"/>
    </xf>
    <xf numFmtId="0" fontId="23" fillId="0" borderId="2" xfId="0" applyFont="1" applyBorder="1" applyAlignment="1">
      <alignment horizontal="center" wrapText="1" readingOrder="1"/>
    </xf>
    <xf numFmtId="0" fontId="23" fillId="0" borderId="16" xfId="0" applyFont="1" applyBorder="1" applyAlignment="1">
      <alignment horizontal="center" wrapText="1" readingOrder="1"/>
    </xf>
    <xf numFmtId="0" fontId="23" fillId="0" borderId="18" xfId="0" applyFont="1" applyBorder="1" applyAlignment="1">
      <alignment horizontal="center" wrapText="1" readingOrder="1"/>
    </xf>
    <xf numFmtId="0" fontId="11" fillId="0" borderId="0" xfId="0" applyFont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right"/>
    </xf>
    <xf numFmtId="0" fontId="11" fillId="4" borderId="15" xfId="0" applyFont="1" applyFill="1" applyBorder="1" applyAlignment="1">
      <alignment horizontal="right"/>
    </xf>
    <xf numFmtId="0" fontId="11" fillId="4" borderId="13" xfId="0" applyFont="1" applyFill="1" applyBorder="1" applyAlignment="1">
      <alignment horizontal="right"/>
    </xf>
    <xf numFmtId="0" fontId="11" fillId="4" borderId="2" xfId="0" applyFont="1" applyFill="1" applyBorder="1" applyAlignment="1">
      <alignment horizontal="right"/>
    </xf>
    <xf numFmtId="0" fontId="11" fillId="4" borderId="16" xfId="0" applyFont="1" applyFill="1" applyBorder="1" applyAlignment="1">
      <alignment horizontal="right"/>
    </xf>
    <xf numFmtId="0" fontId="11" fillId="4" borderId="18" xfId="0" applyFont="1" applyFill="1" applyBorder="1" applyAlignment="1">
      <alignment horizontal="right"/>
    </xf>
    <xf numFmtId="4" fontId="9" fillId="8" borderId="2" xfId="0" applyNumberFormat="1" applyFont="1" applyFill="1" applyBorder="1" applyAlignment="1">
      <alignment horizontal="center" vertical="center" wrapText="1"/>
    </xf>
    <xf numFmtId="4" fontId="9" fillId="8" borderId="18" xfId="0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top" wrapText="1"/>
    </xf>
    <xf numFmtId="4" fontId="9" fillId="0" borderId="18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4" fontId="8" fillId="2" borderId="12" xfId="0" applyNumberFormat="1" applyFont="1" applyFill="1" applyBorder="1" applyAlignment="1">
      <alignment vertical="center" textRotation="90"/>
    </xf>
    <xf numFmtId="4" fontId="8" fillId="2" borderId="15" xfId="0" applyNumberFormat="1" applyFont="1" applyFill="1" applyBorder="1" applyAlignment="1">
      <alignment vertical="center" textRotation="90"/>
    </xf>
    <xf numFmtId="4" fontId="9" fillId="2" borderId="1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/>
    </xf>
    <xf numFmtId="4" fontId="9" fillId="2" borderId="2" xfId="0" applyNumberFormat="1" applyFont="1" applyFill="1" applyBorder="1" applyAlignment="1">
      <alignment vertical="center" wrapText="1"/>
    </xf>
    <xf numFmtId="4" fontId="9" fillId="2" borderId="18" xfId="0" applyNumberFormat="1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/>
    </xf>
    <xf numFmtId="4" fontId="9" fillId="2" borderId="16" xfId="0" applyNumberFormat="1" applyFont="1" applyFill="1" applyBorder="1" applyAlignment="1">
      <alignment vertical="center"/>
    </xf>
    <xf numFmtId="4" fontId="9" fillId="2" borderId="18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19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/>
    </xf>
    <xf numFmtId="4" fontId="9" fillId="2" borderId="2" xfId="0" applyNumberFormat="1" applyFont="1" applyFill="1" applyBorder="1" applyAlignment="1">
      <alignment horizontal="center" vertical="top"/>
    </xf>
    <xf numFmtId="4" fontId="9" fillId="2" borderId="16" xfId="0" applyNumberFormat="1" applyFont="1" applyFill="1" applyBorder="1" applyAlignment="1">
      <alignment horizontal="center" vertical="top"/>
    </xf>
    <xf numFmtId="4" fontId="9" fillId="2" borderId="18" xfId="0" applyNumberFormat="1" applyFont="1" applyFill="1" applyBorder="1" applyAlignment="1">
      <alignment horizontal="center" vertical="top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top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textRotation="90" wrapText="1"/>
    </xf>
    <xf numFmtId="0" fontId="8" fillId="2" borderId="15" xfId="0" applyFont="1" applyFill="1" applyBorder="1" applyAlignment="1">
      <alignment horizontal="center" vertical="top" textRotation="90" wrapText="1"/>
    </xf>
    <xf numFmtId="0" fontId="8" fillId="2" borderId="0" xfId="0" applyFont="1" applyFill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right" vertical="top"/>
    </xf>
    <xf numFmtId="10" fontId="9" fillId="2" borderId="2" xfId="0" applyNumberFormat="1" applyFont="1" applyFill="1" applyBorder="1" applyAlignment="1">
      <alignment horizontal="center" vertical="top"/>
    </xf>
    <xf numFmtId="10" fontId="9" fillId="2" borderId="16" xfId="0" applyNumberFormat="1" applyFont="1" applyFill="1" applyBorder="1" applyAlignment="1">
      <alignment horizontal="center" vertical="top"/>
    </xf>
    <xf numFmtId="10" fontId="9" fillId="2" borderId="18" xfId="0" applyNumberFormat="1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right" vertical="top" wrapText="1"/>
    </xf>
    <xf numFmtId="3" fontId="9" fillId="2" borderId="1" xfId="0" applyNumberFormat="1" applyFont="1" applyFill="1" applyBorder="1" applyAlignment="1">
      <alignment horizontal="right" vertical="top"/>
    </xf>
    <xf numFmtId="4" fontId="9" fillId="2" borderId="1" xfId="0" applyNumberFormat="1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3" fontId="9" fillId="2" borderId="4" xfId="0" applyNumberFormat="1" applyFont="1" applyFill="1" applyBorder="1" applyAlignment="1">
      <alignment horizontal="right" vertical="top"/>
    </xf>
    <xf numFmtId="3" fontId="9" fillId="2" borderId="5" xfId="0" applyNumberFormat="1" applyFont="1" applyFill="1" applyBorder="1" applyAlignment="1">
      <alignment horizontal="right" vertical="top"/>
    </xf>
    <xf numFmtId="3" fontId="9" fillId="2" borderId="6" xfId="0" applyNumberFormat="1" applyFont="1" applyFill="1" applyBorder="1" applyAlignment="1">
      <alignment horizontal="right" vertical="top"/>
    </xf>
    <xf numFmtId="3" fontId="9" fillId="2" borderId="3" xfId="0" applyNumberFormat="1" applyFont="1" applyFill="1" applyBorder="1" applyAlignment="1">
      <alignment horizontal="right" vertical="top"/>
    </xf>
    <xf numFmtId="3" fontId="9" fillId="2" borderId="17" xfId="0" applyNumberFormat="1" applyFont="1" applyFill="1" applyBorder="1" applyAlignment="1">
      <alignment horizontal="right" vertical="top"/>
    </xf>
    <xf numFmtId="3" fontId="9" fillId="2" borderId="19" xfId="0" applyNumberFormat="1" applyFont="1" applyFill="1" applyBorder="1" applyAlignment="1">
      <alignment horizontal="right" vertical="top"/>
    </xf>
    <xf numFmtId="4" fontId="9" fillId="2" borderId="4" xfId="0" applyNumberFormat="1" applyFont="1" applyFill="1" applyBorder="1" applyAlignment="1">
      <alignment horizontal="right" vertical="top"/>
    </xf>
    <xf numFmtId="4" fontId="9" fillId="2" borderId="5" xfId="0" applyNumberFormat="1" applyFont="1" applyFill="1" applyBorder="1" applyAlignment="1">
      <alignment horizontal="right" vertical="top"/>
    </xf>
    <xf numFmtId="4" fontId="9" fillId="2" borderId="3" xfId="0" applyNumberFormat="1" applyFont="1" applyFill="1" applyBorder="1" applyAlignment="1">
      <alignment horizontal="right" vertical="top"/>
    </xf>
    <xf numFmtId="4" fontId="9" fillId="2" borderId="17" xfId="0" applyNumberFormat="1" applyFont="1" applyFill="1" applyBorder="1" applyAlignment="1">
      <alignment horizontal="right" vertical="top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left" vertical="top"/>
    </xf>
    <xf numFmtId="0" fontId="29" fillId="2" borderId="1" xfId="0" applyFont="1" applyFill="1" applyBorder="1" applyAlignment="1">
      <alignment horizontal="center" vertical="top"/>
    </xf>
    <xf numFmtId="0" fontId="36" fillId="2" borderId="12" xfId="0" applyFont="1" applyFill="1" applyBorder="1" applyAlignment="1">
      <alignment horizontal="center" vertical="top" wrapText="1"/>
    </xf>
    <xf numFmtId="0" fontId="36" fillId="2" borderId="15" xfId="0" applyFont="1" applyFill="1" applyBorder="1" applyAlignment="1">
      <alignment horizontal="center" vertical="top" wrapText="1"/>
    </xf>
    <xf numFmtId="0" fontId="36" fillId="2" borderId="1" xfId="0" applyFont="1" applyFill="1" applyBorder="1" applyAlignment="1">
      <alignment horizontal="center" vertical="top" wrapText="1"/>
    </xf>
    <xf numFmtId="0" fontId="36" fillId="2" borderId="12" xfId="0" applyFont="1" applyFill="1" applyBorder="1" applyAlignment="1">
      <alignment horizontal="center" vertical="top"/>
    </xf>
    <xf numFmtId="0" fontId="36" fillId="2" borderId="13" xfId="0" applyFont="1" applyFill="1" applyBorder="1" applyAlignment="1">
      <alignment horizontal="center" vertical="top"/>
    </xf>
    <xf numFmtId="0" fontId="36" fillId="2" borderId="13" xfId="0" applyFont="1" applyFill="1" applyBorder="1" applyAlignment="1">
      <alignment horizontal="center" vertical="top" wrapText="1"/>
    </xf>
    <xf numFmtId="0" fontId="36" fillId="2" borderId="1" xfId="0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right" vertical="top" wrapText="1"/>
    </xf>
    <xf numFmtId="0" fontId="36" fillId="2" borderId="13" xfId="0" applyFont="1" applyFill="1" applyBorder="1" applyAlignment="1">
      <alignment horizontal="right" vertical="top" wrapText="1"/>
    </xf>
    <xf numFmtId="0" fontId="36" fillId="2" borderId="4" xfId="0" applyFont="1" applyFill="1" applyBorder="1" applyAlignment="1">
      <alignment horizontal="center" vertical="top" wrapText="1"/>
    </xf>
    <xf numFmtId="0" fontId="36" fillId="2" borderId="5" xfId="0" applyFont="1" applyFill="1" applyBorder="1" applyAlignment="1">
      <alignment horizontal="center" vertical="top" wrapText="1"/>
    </xf>
    <xf numFmtId="0" fontId="36" fillId="2" borderId="6" xfId="0" applyFont="1" applyFill="1" applyBorder="1" applyAlignment="1">
      <alignment horizontal="center" vertical="top" wrapText="1"/>
    </xf>
    <xf numFmtId="0" fontId="36" fillId="2" borderId="3" xfId="0" applyFont="1" applyFill="1" applyBorder="1" applyAlignment="1">
      <alignment horizontal="center" vertical="top" wrapText="1"/>
    </xf>
    <xf numFmtId="0" fontId="36" fillId="2" borderId="17" xfId="0" applyFont="1" applyFill="1" applyBorder="1" applyAlignment="1">
      <alignment horizontal="center" vertical="top" wrapText="1"/>
    </xf>
    <xf numFmtId="0" fontId="36" fillId="2" borderId="19" xfId="0" applyFont="1" applyFill="1" applyBorder="1" applyAlignment="1">
      <alignment horizontal="center" vertical="top" wrapText="1"/>
    </xf>
    <xf numFmtId="0" fontId="36" fillId="2" borderId="4" xfId="0" applyFont="1" applyFill="1" applyBorder="1" applyAlignment="1">
      <alignment horizontal="left" vertical="top" wrapText="1"/>
    </xf>
    <xf numFmtId="0" fontId="36" fillId="2" borderId="5" xfId="0" applyFont="1" applyFill="1" applyBorder="1" applyAlignment="1">
      <alignment horizontal="left" vertical="top" wrapText="1"/>
    </xf>
    <xf numFmtId="0" fontId="36" fillId="2" borderId="6" xfId="0" applyFont="1" applyFill="1" applyBorder="1" applyAlignment="1">
      <alignment horizontal="left" vertical="top" wrapText="1"/>
    </xf>
    <xf numFmtId="0" fontId="36" fillId="2" borderId="3" xfId="0" applyFont="1" applyFill="1" applyBorder="1" applyAlignment="1">
      <alignment horizontal="left" vertical="top" wrapText="1"/>
    </xf>
    <xf numFmtId="0" fontId="36" fillId="2" borderId="17" xfId="0" applyFont="1" applyFill="1" applyBorder="1" applyAlignment="1">
      <alignment horizontal="left" vertical="top" wrapText="1"/>
    </xf>
    <xf numFmtId="0" fontId="36" fillId="2" borderId="19" xfId="0" applyFont="1" applyFill="1" applyBorder="1" applyAlignment="1">
      <alignment horizontal="left" vertical="top" wrapText="1"/>
    </xf>
    <xf numFmtId="0" fontId="36" fillId="2" borderId="0" xfId="0" applyFont="1" applyFill="1" applyAlignment="1">
      <alignment horizontal="center" vertical="top"/>
    </xf>
    <xf numFmtId="0" fontId="36" fillId="2" borderId="0" xfId="0" applyFont="1" applyFill="1" applyAlignment="1">
      <alignment horizontal="left" vertical="top"/>
    </xf>
    <xf numFmtId="0" fontId="36" fillId="2" borderId="2" xfId="0" applyFont="1" applyFill="1" applyBorder="1" applyAlignment="1">
      <alignment horizontal="center" vertical="top"/>
    </xf>
    <xf numFmtId="0" fontId="36" fillId="2" borderId="16" xfId="0" applyFont="1" applyFill="1" applyBorder="1" applyAlignment="1">
      <alignment horizontal="center" vertical="top"/>
    </xf>
    <xf numFmtId="0" fontId="36" fillId="2" borderId="18" xfId="0" applyFont="1" applyFill="1" applyBorder="1" applyAlignment="1">
      <alignment horizontal="center" vertical="top"/>
    </xf>
    <xf numFmtId="10" fontId="36" fillId="2" borderId="2" xfId="0" applyNumberFormat="1" applyFont="1" applyFill="1" applyBorder="1" applyAlignment="1">
      <alignment horizontal="center" vertical="top"/>
    </xf>
    <xf numFmtId="10" fontId="36" fillId="2" borderId="16" xfId="0" applyNumberFormat="1" applyFont="1" applyFill="1" applyBorder="1" applyAlignment="1">
      <alignment horizontal="center" vertical="top"/>
    </xf>
    <xf numFmtId="10" fontId="36" fillId="2" borderId="18" xfId="0" applyNumberFormat="1" applyFont="1" applyFill="1" applyBorder="1" applyAlignment="1">
      <alignment horizontal="center" vertical="top"/>
    </xf>
    <xf numFmtId="0" fontId="36" fillId="2" borderId="12" xfId="0" applyFont="1" applyFill="1" applyBorder="1" applyAlignment="1">
      <alignment horizontal="left" vertical="top" wrapText="1"/>
    </xf>
    <xf numFmtId="0" fontId="36" fillId="2" borderId="15" xfId="0" applyFont="1" applyFill="1" applyBorder="1" applyAlignment="1">
      <alignment horizontal="left" vertical="top" wrapText="1"/>
    </xf>
    <xf numFmtId="0" fontId="36" fillId="2" borderId="14" xfId="0" applyFont="1" applyFill="1" applyBorder="1" applyAlignment="1">
      <alignment horizontal="left" vertical="top" wrapText="1"/>
    </xf>
    <xf numFmtId="0" fontId="29" fillId="2" borderId="12" xfId="0" applyFont="1" applyFill="1" applyBorder="1" applyAlignment="1">
      <alignment horizontal="center" vertical="top"/>
    </xf>
    <xf numFmtId="0" fontId="36" fillId="2" borderId="13" xfId="0" applyFont="1" applyFill="1" applyBorder="1" applyAlignment="1">
      <alignment horizontal="left" vertical="top" wrapText="1"/>
    </xf>
    <xf numFmtId="3" fontId="36" fillId="2" borderId="4" xfId="0" applyNumberFormat="1" applyFont="1" applyFill="1" applyBorder="1" applyAlignment="1">
      <alignment horizontal="center" vertical="top" wrapText="1"/>
    </xf>
    <xf numFmtId="3" fontId="36" fillId="2" borderId="5" xfId="0" applyNumberFormat="1" applyFont="1" applyFill="1" applyBorder="1" applyAlignment="1">
      <alignment horizontal="center" vertical="top" wrapText="1"/>
    </xf>
    <xf numFmtId="3" fontId="36" fillId="2" borderId="6" xfId="0" applyNumberFormat="1" applyFont="1" applyFill="1" applyBorder="1" applyAlignment="1">
      <alignment horizontal="center" vertical="top" wrapText="1"/>
    </xf>
    <xf numFmtId="3" fontId="36" fillId="2" borderId="3" xfId="0" applyNumberFormat="1" applyFont="1" applyFill="1" applyBorder="1" applyAlignment="1">
      <alignment horizontal="center" vertical="top" wrapText="1"/>
    </xf>
    <xf numFmtId="3" fontId="36" fillId="2" borderId="17" xfId="0" applyNumberFormat="1" applyFont="1" applyFill="1" applyBorder="1" applyAlignment="1">
      <alignment horizontal="center" vertical="top" wrapText="1"/>
    </xf>
    <xf numFmtId="3" fontId="36" fillId="2" borderId="19" xfId="0" applyNumberFormat="1" applyFont="1" applyFill="1" applyBorder="1" applyAlignment="1">
      <alignment horizontal="center" vertical="top" wrapText="1"/>
    </xf>
    <xf numFmtId="4" fontId="36" fillId="2" borderId="4" xfId="0" applyNumberFormat="1" applyFont="1" applyFill="1" applyBorder="1" applyAlignment="1">
      <alignment horizontal="left" vertical="top" wrapText="1"/>
    </xf>
    <xf numFmtId="4" fontId="36" fillId="2" borderId="5" xfId="0" applyNumberFormat="1" applyFont="1" applyFill="1" applyBorder="1" applyAlignment="1">
      <alignment horizontal="left" vertical="top" wrapText="1"/>
    </xf>
    <xf numFmtId="4" fontId="36" fillId="2" borderId="6" xfId="0" applyNumberFormat="1" applyFont="1" applyFill="1" applyBorder="1" applyAlignment="1">
      <alignment horizontal="left" vertical="top" wrapText="1"/>
    </xf>
    <xf numFmtId="4" fontId="36" fillId="2" borderId="3" xfId="0" applyNumberFormat="1" applyFont="1" applyFill="1" applyBorder="1" applyAlignment="1">
      <alignment horizontal="left" vertical="top" wrapText="1"/>
    </xf>
    <xf numFmtId="4" fontId="36" fillId="2" borderId="17" xfId="0" applyNumberFormat="1" applyFont="1" applyFill="1" applyBorder="1" applyAlignment="1">
      <alignment horizontal="left" vertical="top" wrapText="1"/>
    </xf>
    <xf numFmtId="4" fontId="36" fillId="2" borderId="19" xfId="0" applyNumberFormat="1" applyFont="1" applyFill="1" applyBorder="1" applyAlignment="1">
      <alignment horizontal="left" vertical="top" wrapText="1"/>
    </xf>
    <xf numFmtId="0" fontId="36" fillId="2" borderId="15" xfId="0" applyFont="1" applyFill="1" applyBorder="1" applyAlignment="1">
      <alignment horizontal="right" vertical="top" wrapText="1"/>
    </xf>
    <xf numFmtId="4" fontId="29" fillId="2" borderId="12" xfId="0" applyNumberFormat="1" applyFont="1" applyFill="1" applyBorder="1" applyAlignment="1">
      <alignment horizontal="right" vertical="top" wrapText="1"/>
    </xf>
    <xf numFmtId="4" fontId="29" fillId="2" borderId="15" xfId="0" applyNumberFormat="1" applyFont="1" applyFill="1" applyBorder="1" applyAlignment="1">
      <alignment horizontal="right" vertical="top" wrapText="1"/>
    </xf>
    <xf numFmtId="0" fontId="36" fillId="2" borderId="2" xfId="0" applyFont="1" applyFill="1" applyBorder="1" applyAlignment="1">
      <alignment horizontal="left" vertical="top"/>
    </xf>
    <xf numFmtId="0" fontId="36" fillId="2" borderId="16" xfId="0" applyFont="1" applyFill="1" applyBorder="1" applyAlignment="1">
      <alignment horizontal="left" vertical="top"/>
    </xf>
    <xf numFmtId="0" fontId="36" fillId="2" borderId="18" xfId="0" applyFont="1" applyFill="1" applyBorder="1" applyAlignment="1">
      <alignment horizontal="left" vertical="top"/>
    </xf>
    <xf numFmtId="0" fontId="36" fillId="2" borderId="2" xfId="0" applyFont="1" applyFill="1" applyBorder="1" applyAlignment="1">
      <alignment horizontal="right" vertical="top"/>
    </xf>
    <xf numFmtId="0" fontId="36" fillId="2" borderId="18" xfId="0" applyFont="1" applyFill="1" applyBorder="1" applyAlignment="1">
      <alignment horizontal="right" vertical="top"/>
    </xf>
    <xf numFmtId="0" fontId="9" fillId="2" borderId="4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19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9" fillId="2" borderId="17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center" vertical="top"/>
    </xf>
    <xf numFmtId="0" fontId="9" fillId="2" borderId="13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right" vertical="top" wrapText="1"/>
    </xf>
    <xf numFmtId="0" fontId="9" fillId="2" borderId="13" xfId="0" applyFont="1" applyFill="1" applyBorder="1" applyAlignment="1">
      <alignment horizontal="right" vertical="top" wrapText="1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top"/>
    </xf>
    <xf numFmtId="0" fontId="9" fillId="2" borderId="16" xfId="0" applyFont="1" applyFill="1" applyBorder="1" applyAlignment="1">
      <alignment horizontal="center" vertical="top"/>
    </xf>
    <xf numFmtId="0" fontId="9" fillId="2" borderId="18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39" fillId="2" borderId="1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vertical="center" wrapText="1"/>
    </xf>
    <xf numFmtId="0" fontId="39" fillId="2" borderId="2" xfId="0" applyFont="1" applyFill="1" applyBorder="1" applyAlignment="1">
      <alignment horizontal="center" vertical="top" wrapText="1"/>
    </xf>
    <xf numFmtId="4" fontId="9" fillId="2" borderId="12" xfId="0" applyNumberFormat="1" applyFont="1" applyFill="1" applyBorder="1" applyAlignment="1">
      <alignment horizontal="left" vertical="top" wrapText="1"/>
    </xf>
    <xf numFmtId="4" fontId="9" fillId="2" borderId="13" xfId="0" applyNumberFormat="1" applyFont="1" applyFill="1" applyBorder="1" applyAlignment="1">
      <alignment horizontal="left" vertical="top" wrapText="1"/>
    </xf>
    <xf numFmtId="3" fontId="9" fillId="2" borderId="4" xfId="0" applyNumberFormat="1" applyFont="1" applyFill="1" applyBorder="1" applyAlignment="1">
      <alignment horizontal="center" vertical="top"/>
    </xf>
    <xf numFmtId="3" fontId="9" fillId="2" borderId="5" xfId="0" applyNumberFormat="1" applyFont="1" applyFill="1" applyBorder="1" applyAlignment="1">
      <alignment horizontal="center" vertical="top"/>
    </xf>
    <xf numFmtId="3" fontId="9" fillId="2" borderId="6" xfId="0" applyNumberFormat="1" applyFont="1" applyFill="1" applyBorder="1" applyAlignment="1">
      <alignment horizontal="center" vertical="top"/>
    </xf>
    <xf numFmtId="3" fontId="9" fillId="2" borderId="3" xfId="0" applyNumberFormat="1" applyFont="1" applyFill="1" applyBorder="1" applyAlignment="1">
      <alignment horizontal="center" vertical="top"/>
    </xf>
    <xf numFmtId="3" fontId="9" fillId="2" borderId="17" xfId="0" applyNumberFormat="1" applyFont="1" applyFill="1" applyBorder="1" applyAlignment="1">
      <alignment horizontal="center" vertical="top"/>
    </xf>
    <xf numFmtId="3" fontId="9" fillId="2" borderId="19" xfId="0" applyNumberFormat="1" applyFont="1" applyFill="1" applyBorder="1" applyAlignment="1">
      <alignment horizontal="center" vertical="top"/>
    </xf>
    <xf numFmtId="4" fontId="9" fillId="2" borderId="12" xfId="0" applyNumberFormat="1" applyFont="1" applyFill="1" applyBorder="1" applyAlignment="1">
      <alignment horizontal="center" vertical="top" wrapText="1"/>
    </xf>
    <xf numFmtId="4" fontId="9" fillId="2" borderId="13" xfId="0" applyNumberFormat="1" applyFont="1" applyFill="1" applyBorder="1" applyAlignment="1">
      <alignment horizontal="center" vertical="top" wrapText="1"/>
    </xf>
    <xf numFmtId="4" fontId="9" fillId="2" borderId="4" xfId="0" applyNumberFormat="1" applyFont="1" applyFill="1" applyBorder="1" applyAlignment="1">
      <alignment horizontal="center" vertical="top"/>
    </xf>
    <xf numFmtId="4" fontId="9" fillId="2" borderId="5" xfId="0" applyNumberFormat="1" applyFont="1" applyFill="1" applyBorder="1" applyAlignment="1">
      <alignment horizontal="center" vertical="top"/>
    </xf>
    <xf numFmtId="4" fontId="9" fillId="2" borderId="6" xfId="0" applyNumberFormat="1" applyFont="1" applyFill="1" applyBorder="1" applyAlignment="1">
      <alignment horizontal="center" vertical="top"/>
    </xf>
    <xf numFmtId="4" fontId="9" fillId="2" borderId="3" xfId="0" applyNumberFormat="1" applyFont="1" applyFill="1" applyBorder="1" applyAlignment="1">
      <alignment horizontal="center" vertical="top"/>
    </xf>
    <xf numFmtId="4" fontId="9" fillId="2" borderId="17" xfId="0" applyNumberFormat="1" applyFont="1" applyFill="1" applyBorder="1" applyAlignment="1">
      <alignment horizontal="center" vertical="top"/>
    </xf>
    <xf numFmtId="4" fontId="9" fillId="2" borderId="19" xfId="0" applyNumberFormat="1" applyFont="1" applyFill="1" applyBorder="1" applyAlignment="1">
      <alignment horizontal="center" vertical="top"/>
    </xf>
    <xf numFmtId="0" fontId="43" fillId="0" borderId="1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8" fillId="0" borderId="1" xfId="0" applyFont="1" applyBorder="1" applyAlignment="1">
      <alignment horizontal="center"/>
    </xf>
  </cellXfs>
  <cellStyles count="9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_COMFIN" xfId="4" xr:uid="{00000000-0005-0000-0000-000004000000}"/>
    <cellStyle name="Normal_DT_2_1" xfId="5" xr:uid="{00000000-0005-0000-0000-000005000000}"/>
    <cellStyle name="Normal_DT_3_2" xfId="6" xr:uid="{00000000-0005-0000-0000-000006000000}"/>
    <cellStyle name="Normal_DT_4_2" xfId="7" xr:uid="{00000000-0005-0000-0000-000007000000}"/>
    <cellStyle name="Normal_DT_4_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0</xdr:rowOff>
    </xdr:from>
    <xdr:to>
      <xdr:col>10</xdr:col>
      <xdr:colOff>893679</xdr:colOff>
      <xdr:row>49</xdr:row>
      <xdr:rowOff>206619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E5B9E3-BE34-4582-B355-CF2EB9F8C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50536" y="11117036"/>
          <a:ext cx="2485714" cy="16761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60</xdr:row>
      <xdr:rowOff>0</xdr:rowOff>
    </xdr:from>
    <xdr:to>
      <xdr:col>4</xdr:col>
      <xdr:colOff>2485714</xdr:colOff>
      <xdr:row>70</xdr:row>
      <xdr:rowOff>88690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A2AC6B-EF2D-4DFB-9D78-4F55AEC77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0250" y="3608917"/>
          <a:ext cx="2485714" cy="16761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51</xdr:row>
      <xdr:rowOff>0</xdr:rowOff>
    </xdr:from>
    <xdr:to>
      <xdr:col>2</xdr:col>
      <xdr:colOff>2485714</xdr:colOff>
      <xdr:row>59</xdr:row>
      <xdr:rowOff>43333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18223B-68D0-4896-BA4A-FCEB5557A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7929" y="8450036"/>
          <a:ext cx="2485714" cy="16761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94</xdr:row>
      <xdr:rowOff>0</xdr:rowOff>
    </xdr:from>
    <xdr:to>
      <xdr:col>2</xdr:col>
      <xdr:colOff>2485714</xdr:colOff>
      <xdr:row>102</xdr:row>
      <xdr:rowOff>43333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9488A6-C04A-48E0-BB7D-4D055EE1A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0393" y="20941393"/>
          <a:ext cx="2485714" cy="16761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58</xdr:row>
      <xdr:rowOff>0</xdr:rowOff>
    </xdr:from>
    <xdr:to>
      <xdr:col>2</xdr:col>
      <xdr:colOff>1676089</xdr:colOff>
      <xdr:row>66</xdr:row>
      <xdr:rowOff>88690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122E92-50B8-41F6-A043-BA6DDE4A7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4216063"/>
          <a:ext cx="2485714" cy="167619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41</xdr:row>
      <xdr:rowOff>0</xdr:rowOff>
    </xdr:from>
    <xdr:to>
      <xdr:col>3</xdr:col>
      <xdr:colOff>806933</xdr:colOff>
      <xdr:row>49</xdr:row>
      <xdr:rowOff>56940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AB220C-54EA-434B-8531-B5D6892A5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9096375"/>
          <a:ext cx="2485714" cy="167619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86</xdr:row>
      <xdr:rowOff>0</xdr:rowOff>
    </xdr:from>
    <xdr:to>
      <xdr:col>2</xdr:col>
      <xdr:colOff>2485714</xdr:colOff>
      <xdr:row>94</xdr:row>
      <xdr:rowOff>152190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4F6F37-F30D-45D4-AAAD-D32E80A5A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21336000"/>
          <a:ext cx="2485714" cy="167619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61</xdr:row>
      <xdr:rowOff>0</xdr:rowOff>
    </xdr:from>
    <xdr:to>
      <xdr:col>2</xdr:col>
      <xdr:colOff>399739</xdr:colOff>
      <xdr:row>69</xdr:row>
      <xdr:rowOff>152190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C8CA01-9A04-4CBD-B630-B3B8B080E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7592675"/>
          <a:ext cx="2485714" cy="167619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6</xdr:col>
      <xdr:colOff>75889</xdr:colOff>
      <xdr:row>20</xdr:row>
      <xdr:rowOff>152190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B566E0-777A-4963-8D1F-64E0BF405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675" y="3810000"/>
          <a:ext cx="2485714" cy="16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33</xdr:row>
      <xdr:rowOff>0</xdr:rowOff>
    </xdr:from>
    <xdr:to>
      <xdr:col>6</xdr:col>
      <xdr:colOff>352114</xdr:colOff>
      <xdr:row>41</xdr:row>
      <xdr:rowOff>152190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BAECC1-C64F-4937-A120-E5555EA9C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05825" y="6781800"/>
          <a:ext cx="2485714" cy="167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2</xdr:col>
      <xdr:colOff>1766047</xdr:colOff>
      <xdr:row>44</xdr:row>
      <xdr:rowOff>67523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CE2A4B-F832-4E26-A1B8-117924463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333" y="8075083"/>
          <a:ext cx="2485714" cy="16761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30</xdr:row>
      <xdr:rowOff>0</xdr:rowOff>
    </xdr:from>
    <xdr:to>
      <xdr:col>10</xdr:col>
      <xdr:colOff>423832</xdr:colOff>
      <xdr:row>38</xdr:row>
      <xdr:rowOff>152190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DB7BAE-1ED9-4276-91F5-BFABBB599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54353" y="5950324"/>
          <a:ext cx="2485714" cy="16761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67</xdr:col>
      <xdr:colOff>0</xdr:colOff>
      <xdr:row>53</xdr:row>
      <xdr:rowOff>0</xdr:rowOff>
    </xdr:from>
    <xdr:to>
      <xdr:col>69</xdr:col>
      <xdr:colOff>92557</xdr:colOff>
      <xdr:row>61</xdr:row>
      <xdr:rowOff>56940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ED9D03-5C75-48DE-95CA-FC559E966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70906" y="14930438"/>
          <a:ext cx="2485714" cy="16761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0</xdr:colOff>
      <xdr:row>68</xdr:row>
      <xdr:rowOff>0</xdr:rowOff>
    </xdr:from>
    <xdr:to>
      <xdr:col>51</xdr:col>
      <xdr:colOff>640246</xdr:colOff>
      <xdr:row>76</xdr:row>
      <xdr:rowOff>56940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F816AF-A7AE-4968-808D-A2808D5AF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53438" y="16383000"/>
          <a:ext cx="2485714" cy="16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1</xdr:col>
      <xdr:colOff>1664183</xdr:colOff>
      <xdr:row>78</xdr:row>
      <xdr:rowOff>56940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D1451E-6E93-435F-8576-3FB86EAEA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787813"/>
          <a:ext cx="2485714" cy="16761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108</xdr:row>
      <xdr:rowOff>0</xdr:rowOff>
    </xdr:from>
    <xdr:to>
      <xdr:col>2</xdr:col>
      <xdr:colOff>1759432</xdr:colOff>
      <xdr:row>116</xdr:row>
      <xdr:rowOff>56940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0CD69B-D2EA-438C-8E15-ED443AFFD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031" y="26527125"/>
          <a:ext cx="2485714" cy="16761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96</xdr:row>
      <xdr:rowOff>0</xdr:rowOff>
    </xdr:from>
    <xdr:to>
      <xdr:col>6</xdr:col>
      <xdr:colOff>675964</xdr:colOff>
      <xdr:row>104</xdr:row>
      <xdr:rowOff>56940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83B0DE-BEE8-4930-A8FA-F134B4829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1094" y="25205531"/>
          <a:ext cx="2485714" cy="16761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71</xdr:row>
      <xdr:rowOff>0</xdr:rowOff>
    </xdr:from>
    <xdr:to>
      <xdr:col>6</xdr:col>
      <xdr:colOff>616433</xdr:colOff>
      <xdr:row>81</xdr:row>
      <xdr:rowOff>9315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63CB7B-F24E-4AD8-A4F5-18532197E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3375" y="19954875"/>
          <a:ext cx="2485714" cy="16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51"/>
  <sheetViews>
    <sheetView zoomScale="70" zoomScaleNormal="70" workbookViewId="0">
      <pane xSplit="4" ySplit="9" topLeftCell="E22" activePane="bottomRight" state="frozen"/>
      <selection pane="topRight" activeCell="E1" sqref="E1"/>
      <selection pane="bottomLeft" activeCell="A10" sqref="A10"/>
      <selection pane="bottomRight" activeCell="M37" sqref="M37"/>
    </sheetView>
  </sheetViews>
  <sheetFormatPr defaultColWidth="8.7109375" defaultRowHeight="18.75" x14ac:dyDescent="0.3"/>
  <cols>
    <col min="1" max="1" width="5.7109375" style="66" customWidth="1"/>
    <col min="2" max="2" width="9.5703125" style="66" customWidth="1"/>
    <col min="3" max="3" width="38" style="66" customWidth="1"/>
    <col min="4" max="4" width="23.140625" style="66" customWidth="1"/>
    <col min="5" max="5" width="20" style="66" customWidth="1"/>
    <col min="6" max="6" width="23.42578125" style="66" customWidth="1"/>
    <col min="7" max="7" width="21.28515625" style="66" bestFit="1" customWidth="1"/>
    <col min="8" max="8" width="22" style="66" bestFit="1" customWidth="1"/>
    <col min="9" max="9" width="23.5703125" style="66" customWidth="1"/>
    <col min="10" max="10" width="23.85546875" style="66" customWidth="1"/>
    <col min="11" max="11" width="18.28515625" style="66" customWidth="1"/>
    <col min="12" max="12" width="8.85546875" style="66" customWidth="1"/>
    <col min="13" max="13" width="21.28515625" style="66" customWidth="1"/>
    <col min="14" max="14" width="18" style="66" bestFit="1" customWidth="1"/>
    <col min="15" max="15" width="27.42578125" style="66" customWidth="1"/>
    <col min="16" max="16" width="22" style="66" bestFit="1" customWidth="1"/>
    <col min="17" max="17" width="38.42578125" style="66" customWidth="1"/>
    <col min="18" max="16384" width="8.7109375" style="66"/>
  </cols>
  <sheetData>
    <row r="1" spans="1:17" ht="13.5" customHeight="1" x14ac:dyDescent="0.3">
      <c r="A1" s="684"/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</row>
    <row r="2" spans="1:17" x14ac:dyDescent="0.3">
      <c r="A2" s="684" t="s">
        <v>154</v>
      </c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</row>
    <row r="3" spans="1:17" x14ac:dyDescent="0.3">
      <c r="A3" s="684" t="s">
        <v>952</v>
      </c>
      <c r="B3" s="684"/>
      <c r="C3" s="684"/>
      <c r="D3" s="684"/>
      <c r="E3" s="684"/>
      <c r="F3" s="684"/>
      <c r="G3" s="684"/>
      <c r="H3" s="684"/>
      <c r="I3" s="684"/>
      <c r="J3" s="684"/>
      <c r="K3" s="684"/>
      <c r="L3" s="684"/>
      <c r="M3" s="684"/>
      <c r="N3" s="684"/>
      <c r="O3" s="684"/>
    </row>
    <row r="4" spans="1:17" x14ac:dyDescent="0.3">
      <c r="A4" s="685" t="s">
        <v>5</v>
      </c>
      <c r="B4" s="685"/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685"/>
      <c r="N4" s="685"/>
      <c r="O4" s="685"/>
    </row>
    <row r="5" spans="1:17" ht="7.5" customHeight="1" x14ac:dyDescent="0.3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8"/>
      <c r="M5" s="67"/>
      <c r="N5" s="68"/>
      <c r="O5" s="67"/>
    </row>
    <row r="6" spans="1:17" s="69" customFormat="1" ht="22.9" customHeight="1" x14ac:dyDescent="0.25">
      <c r="A6" s="691" t="s">
        <v>58</v>
      </c>
      <c r="B6" s="691" t="s">
        <v>56</v>
      </c>
      <c r="C6" s="693" t="s">
        <v>13</v>
      </c>
      <c r="D6" s="691" t="s">
        <v>1017</v>
      </c>
      <c r="E6" s="102" t="s">
        <v>209</v>
      </c>
      <c r="F6" s="103"/>
      <c r="G6" s="103"/>
      <c r="H6" s="103"/>
      <c r="I6" s="103"/>
      <c r="J6" s="103"/>
      <c r="K6" s="103"/>
      <c r="L6" s="103"/>
      <c r="M6" s="103"/>
      <c r="N6" s="103"/>
      <c r="O6" s="104"/>
    </row>
    <row r="7" spans="1:17" s="69" customFormat="1" ht="33.75" customHeight="1" x14ac:dyDescent="0.3">
      <c r="A7" s="692"/>
      <c r="B7" s="692"/>
      <c r="C7" s="694"/>
      <c r="D7" s="692"/>
      <c r="E7" s="70" t="s">
        <v>200</v>
      </c>
      <c r="F7" s="70" t="s">
        <v>201</v>
      </c>
      <c r="G7" s="70" t="s">
        <v>202</v>
      </c>
      <c r="H7" s="70" t="s">
        <v>203</v>
      </c>
      <c r="I7" s="70" t="s">
        <v>204</v>
      </c>
      <c r="J7" s="70" t="s">
        <v>205</v>
      </c>
      <c r="K7" s="70" t="s">
        <v>919</v>
      </c>
      <c r="L7" s="70" t="s">
        <v>206</v>
      </c>
      <c r="M7" s="70" t="s">
        <v>207</v>
      </c>
      <c r="N7" s="70" t="s">
        <v>768</v>
      </c>
      <c r="O7" s="71" t="s">
        <v>37</v>
      </c>
      <c r="P7" s="69" t="str">
        <f>'Component wise'!D3</f>
        <v>Budget</v>
      </c>
    </row>
    <row r="8" spans="1:17" ht="9.75" customHeight="1" x14ac:dyDescent="0.3">
      <c r="A8" s="686"/>
      <c r="B8" s="687"/>
      <c r="C8" s="687"/>
      <c r="D8" s="72"/>
      <c r="E8" s="72"/>
      <c r="F8" s="72"/>
      <c r="G8" s="72"/>
      <c r="H8" s="72"/>
      <c r="I8" s="72"/>
      <c r="J8" s="72"/>
      <c r="K8" s="72"/>
      <c r="L8" s="67"/>
      <c r="M8" s="67"/>
      <c r="N8" s="67"/>
      <c r="O8" s="67"/>
    </row>
    <row r="9" spans="1:17" ht="18" customHeight="1" x14ac:dyDescent="0.3">
      <c r="A9" s="681">
        <v>1</v>
      </c>
      <c r="B9" s="73">
        <v>10000</v>
      </c>
      <c r="C9" s="74" t="s">
        <v>0</v>
      </c>
      <c r="D9" s="75"/>
      <c r="E9" s="75"/>
      <c r="F9" s="75"/>
      <c r="G9" s="75"/>
      <c r="H9" s="75"/>
      <c r="I9" s="75"/>
      <c r="J9" s="75"/>
      <c r="K9" s="75"/>
      <c r="L9" s="76"/>
      <c r="M9" s="76"/>
      <c r="N9" s="76"/>
      <c r="O9" s="76"/>
      <c r="Q9" s="66" t="s">
        <v>907</v>
      </c>
    </row>
    <row r="10" spans="1:17" ht="37.5" x14ac:dyDescent="0.3">
      <c r="A10" s="682"/>
      <c r="B10" s="77">
        <v>11000</v>
      </c>
      <c r="C10" s="78" t="s">
        <v>63</v>
      </c>
      <c r="D10" s="79">
        <f>O10</f>
        <v>236591114</v>
      </c>
      <c r="E10" s="79">
        <f>'1.1'!I51</f>
        <v>68878940</v>
      </c>
      <c r="F10" s="79">
        <f>'1.1'!J51</f>
        <v>167712174</v>
      </c>
      <c r="G10" s="79">
        <f>'1.1'!K51</f>
        <v>0</v>
      </c>
      <c r="H10" s="79">
        <f>'1.1'!L51</f>
        <v>0</v>
      </c>
      <c r="I10" s="79">
        <f>'1.1'!M51</f>
        <v>0</v>
      </c>
      <c r="J10" s="79">
        <f>'1.1'!N51</f>
        <v>0</v>
      </c>
      <c r="K10" s="79">
        <f>'1.1'!O51</f>
        <v>0</v>
      </c>
      <c r="L10" s="79">
        <f>'1.1'!P51</f>
        <v>0</v>
      </c>
      <c r="M10" s="79">
        <f>'1.1'!Q51</f>
        <v>0</v>
      </c>
      <c r="N10" s="79">
        <f>'1.1'!R51</f>
        <v>0</v>
      </c>
      <c r="O10" s="80">
        <f>SUM(E10:N10)</f>
        <v>236591114</v>
      </c>
      <c r="P10" s="92">
        <f>'Component wise'!D5</f>
        <v>236591114</v>
      </c>
      <c r="Q10" s="92">
        <f>O10-P10</f>
        <v>0</v>
      </c>
    </row>
    <row r="11" spans="1:17" ht="30.75" customHeight="1" x14ac:dyDescent="0.3">
      <c r="A11" s="682"/>
      <c r="B11" s="77">
        <v>12000</v>
      </c>
      <c r="C11" s="78" t="s">
        <v>68</v>
      </c>
      <c r="D11" s="79">
        <f>O11</f>
        <v>66984625</v>
      </c>
      <c r="E11" s="79">
        <f>'1.2'!G66</f>
        <v>3060925</v>
      </c>
      <c r="F11" s="79">
        <f>'1.2'!H66</f>
        <v>63923700</v>
      </c>
      <c r="G11" s="79">
        <f>'1.2'!I66</f>
        <v>0</v>
      </c>
      <c r="H11" s="79">
        <f>'1.2'!J66</f>
        <v>0</v>
      </c>
      <c r="I11" s="79">
        <f>'1.2'!K66</f>
        <v>0</v>
      </c>
      <c r="J11" s="79">
        <f>'1.2'!L66</f>
        <v>0</v>
      </c>
      <c r="K11" s="79">
        <f>'1.2'!M66</f>
        <v>0</v>
      </c>
      <c r="L11" s="79">
        <f>'1.2'!N66</f>
        <v>0</v>
      </c>
      <c r="M11" s="79">
        <f>'1.2'!O66</f>
        <v>0</v>
      </c>
      <c r="N11" s="79">
        <f>'1.2'!P66</f>
        <v>0</v>
      </c>
      <c r="O11" s="80">
        <f>SUM(E11:N11)</f>
        <v>66984625</v>
      </c>
      <c r="P11" s="92">
        <f>'Component wise'!D6</f>
        <v>66984625</v>
      </c>
      <c r="Q11" s="92">
        <f t="shared" ref="Q11:Q12" si="0">O11-P11</f>
        <v>0</v>
      </c>
    </row>
    <row r="12" spans="1:17" ht="27.75" customHeight="1" x14ac:dyDescent="0.3">
      <c r="A12" s="683"/>
      <c r="B12" s="81"/>
      <c r="C12" s="82" t="s">
        <v>3</v>
      </c>
      <c r="D12" s="83">
        <f>O12</f>
        <v>303575739</v>
      </c>
      <c r="E12" s="84">
        <f>SUM(E10:E11)</f>
        <v>71939865</v>
      </c>
      <c r="F12" s="84">
        <f t="shared" ref="F12:O12" si="1">SUM(F10:F11)</f>
        <v>231635874</v>
      </c>
      <c r="G12" s="84">
        <f t="shared" si="1"/>
        <v>0</v>
      </c>
      <c r="H12" s="84">
        <f t="shared" si="1"/>
        <v>0</v>
      </c>
      <c r="I12" s="84">
        <f t="shared" si="1"/>
        <v>0</v>
      </c>
      <c r="J12" s="84">
        <f t="shared" si="1"/>
        <v>0</v>
      </c>
      <c r="K12" s="84">
        <f t="shared" si="1"/>
        <v>0</v>
      </c>
      <c r="L12" s="84">
        <f t="shared" si="1"/>
        <v>0</v>
      </c>
      <c r="M12" s="84">
        <f t="shared" si="1"/>
        <v>0</v>
      </c>
      <c r="N12" s="84">
        <f t="shared" si="1"/>
        <v>0</v>
      </c>
      <c r="O12" s="84">
        <f t="shared" si="1"/>
        <v>303575739</v>
      </c>
      <c r="P12" s="92">
        <f>SUM(P10:P11)</f>
        <v>303575739</v>
      </c>
      <c r="Q12" s="92">
        <f t="shared" si="0"/>
        <v>0</v>
      </c>
    </row>
    <row r="13" spans="1:17" x14ac:dyDescent="0.3">
      <c r="A13" s="67"/>
      <c r="B13" s="85"/>
      <c r="C13" s="86"/>
      <c r="D13" s="87"/>
      <c r="E13" s="87"/>
      <c r="F13" s="87"/>
      <c r="G13" s="87"/>
      <c r="H13" s="87"/>
      <c r="I13" s="87"/>
      <c r="J13" s="87"/>
      <c r="K13" s="87"/>
      <c r="L13" s="80"/>
      <c r="M13" s="80"/>
      <c r="N13" s="80"/>
      <c r="O13" s="80"/>
    </row>
    <row r="14" spans="1:17" x14ac:dyDescent="0.3">
      <c r="A14" s="681">
        <v>2</v>
      </c>
      <c r="B14" s="73">
        <v>20000</v>
      </c>
      <c r="C14" s="88" t="s">
        <v>89</v>
      </c>
      <c r="D14" s="89"/>
      <c r="E14" s="89"/>
      <c r="F14" s="89"/>
      <c r="G14" s="89"/>
      <c r="H14" s="89"/>
      <c r="I14" s="89"/>
      <c r="J14" s="89"/>
      <c r="K14" s="89"/>
      <c r="L14" s="80"/>
      <c r="M14" s="80"/>
      <c r="N14" s="80"/>
      <c r="O14" s="80"/>
    </row>
    <row r="15" spans="1:17" x14ac:dyDescent="0.3">
      <c r="A15" s="682"/>
      <c r="B15" s="90">
        <v>21000</v>
      </c>
      <c r="C15" s="91" t="s">
        <v>176</v>
      </c>
      <c r="D15" s="79">
        <f>O15</f>
        <v>311534500</v>
      </c>
      <c r="E15" s="79">
        <f>'2.1'!H102</f>
        <v>5702300</v>
      </c>
      <c r="F15" s="79">
        <f>'2.1'!I102</f>
        <v>24959000</v>
      </c>
      <c r="G15" s="79">
        <f>'2.1'!J102</f>
        <v>0</v>
      </c>
      <c r="H15" s="79">
        <f>'2.1'!K102</f>
        <v>0</v>
      </c>
      <c r="I15" s="79">
        <f>'2.1'!L102</f>
        <v>29540000</v>
      </c>
      <c r="J15" s="79">
        <f>'2.1'!M102</f>
        <v>249900000</v>
      </c>
      <c r="K15" s="79">
        <f>'2.1'!N102</f>
        <v>0</v>
      </c>
      <c r="L15" s="79">
        <f>'2.1'!O102</f>
        <v>0</v>
      </c>
      <c r="M15" s="79">
        <f>'2.1'!P102</f>
        <v>1433200</v>
      </c>
      <c r="N15" s="79">
        <f>'2.1'!Q102</f>
        <v>0</v>
      </c>
      <c r="O15" s="80">
        <f>SUM(E15:N15)</f>
        <v>311534500</v>
      </c>
      <c r="P15" s="92">
        <f>'Component wise'!D9</f>
        <v>311534500</v>
      </c>
      <c r="Q15" s="92">
        <f t="shared" ref="Q15:Q30" si="2">O15-P15</f>
        <v>0</v>
      </c>
    </row>
    <row r="16" spans="1:17" x14ac:dyDescent="0.3">
      <c r="A16" s="682"/>
      <c r="B16" s="90">
        <v>22000</v>
      </c>
      <c r="C16" s="91" t="s">
        <v>522</v>
      </c>
      <c r="D16" s="79">
        <f>O16</f>
        <v>191315582</v>
      </c>
      <c r="E16" s="79">
        <f>'2.2'!I92</f>
        <v>10381064.699999999</v>
      </c>
      <c r="F16" s="79">
        <f>'2.2'!J92</f>
        <v>82340517.599999994</v>
      </c>
      <c r="G16" s="79">
        <f>'2.2'!K92</f>
        <v>0</v>
      </c>
      <c r="H16" s="79">
        <f>'2.2'!L92</f>
        <v>0</v>
      </c>
      <c r="I16" s="79">
        <f>'2.2'!M92</f>
        <v>87389935</v>
      </c>
      <c r="J16" s="79">
        <f>'2.2'!N92</f>
        <v>1000000</v>
      </c>
      <c r="K16" s="79">
        <f>'2.2'!O92</f>
        <v>0</v>
      </c>
      <c r="L16" s="79">
        <f>'2.2'!P92</f>
        <v>0</v>
      </c>
      <c r="M16" s="79">
        <f>'2.2'!Q92</f>
        <v>10204064.699999999</v>
      </c>
      <c r="N16" s="79">
        <f>'2.2'!R92</f>
        <v>0</v>
      </c>
      <c r="O16" s="80">
        <f>SUM(E16:N16)</f>
        <v>191315582</v>
      </c>
      <c r="P16" s="92">
        <f>'Component wise'!D10</f>
        <v>191315582</v>
      </c>
      <c r="Q16" s="92">
        <f t="shared" si="2"/>
        <v>0</v>
      </c>
    </row>
    <row r="17" spans="1:17" x14ac:dyDescent="0.3">
      <c r="A17" s="682"/>
      <c r="B17" s="90">
        <v>23000</v>
      </c>
      <c r="C17" s="91" t="s">
        <v>521</v>
      </c>
      <c r="D17" s="79">
        <f>O17</f>
        <v>215697810</v>
      </c>
      <c r="E17" s="79">
        <f>'2.3'!I65</f>
        <v>9941440</v>
      </c>
      <c r="F17" s="79">
        <f>'2.3'!J65</f>
        <v>113290448</v>
      </c>
      <c r="G17" s="79">
        <f>'2.3'!K65</f>
        <v>0</v>
      </c>
      <c r="H17" s="79">
        <f>'2.3'!L65</f>
        <v>0</v>
      </c>
      <c r="I17" s="79">
        <f>'2.3'!M65</f>
        <v>17250000</v>
      </c>
      <c r="J17" s="79">
        <f>'2.3'!N65</f>
        <v>0</v>
      </c>
      <c r="K17" s="79">
        <f>'2.3'!O65</f>
        <v>56838750</v>
      </c>
      <c r="L17" s="79">
        <f>'2.3'!P65</f>
        <v>0</v>
      </c>
      <c r="M17" s="79">
        <f>'2.3'!Q65</f>
        <v>18377172</v>
      </c>
      <c r="N17" s="79">
        <f>'2.3'!R65</f>
        <v>0</v>
      </c>
      <c r="O17" s="80">
        <f>SUM(E17:N17)</f>
        <v>215697810</v>
      </c>
      <c r="P17" s="92">
        <f>'Component wise'!D11</f>
        <v>215697810</v>
      </c>
      <c r="Q17" s="92">
        <f t="shared" si="2"/>
        <v>0</v>
      </c>
    </row>
    <row r="18" spans="1:17" x14ac:dyDescent="0.3">
      <c r="A18" s="683"/>
      <c r="B18" s="81"/>
      <c r="C18" s="82" t="s">
        <v>3</v>
      </c>
      <c r="D18" s="83">
        <f>O18</f>
        <v>718547892</v>
      </c>
      <c r="E18" s="84">
        <f>SUM(E15:E17)</f>
        <v>26024804.699999999</v>
      </c>
      <c r="F18" s="84">
        <f t="shared" ref="F18:O18" si="3">SUM(F15:F17)</f>
        <v>220589965.59999999</v>
      </c>
      <c r="G18" s="84">
        <f t="shared" si="3"/>
        <v>0</v>
      </c>
      <c r="H18" s="84">
        <f t="shared" si="3"/>
        <v>0</v>
      </c>
      <c r="I18" s="84">
        <f t="shared" si="3"/>
        <v>134179935</v>
      </c>
      <c r="J18" s="84">
        <f t="shared" si="3"/>
        <v>250900000</v>
      </c>
      <c r="K18" s="84">
        <f t="shared" si="3"/>
        <v>56838750</v>
      </c>
      <c r="L18" s="84">
        <f t="shared" si="3"/>
        <v>0</v>
      </c>
      <c r="M18" s="84">
        <f t="shared" si="3"/>
        <v>30014436.699999999</v>
      </c>
      <c r="N18" s="84">
        <f t="shared" si="3"/>
        <v>0</v>
      </c>
      <c r="O18" s="84">
        <f t="shared" si="3"/>
        <v>718547892</v>
      </c>
      <c r="P18" s="92">
        <f>SUM(P15:P17)</f>
        <v>718547892</v>
      </c>
      <c r="Q18" s="92">
        <f t="shared" si="2"/>
        <v>0</v>
      </c>
    </row>
    <row r="19" spans="1:17" ht="13.5" customHeight="1" x14ac:dyDescent="0.3">
      <c r="A19" s="67"/>
      <c r="B19" s="85"/>
      <c r="C19" s="86"/>
      <c r="D19" s="87"/>
      <c r="E19" s="87"/>
      <c r="F19" s="87"/>
      <c r="G19" s="87"/>
      <c r="H19" s="87"/>
      <c r="I19" s="87"/>
      <c r="J19" s="87"/>
      <c r="K19" s="87"/>
      <c r="L19" s="80"/>
      <c r="M19" s="80"/>
      <c r="N19" s="80"/>
      <c r="O19" s="80"/>
      <c r="Q19" s="92">
        <f t="shared" si="2"/>
        <v>0</v>
      </c>
    </row>
    <row r="20" spans="1:17" ht="37.5" x14ac:dyDescent="0.3">
      <c r="A20" s="681">
        <v>3</v>
      </c>
      <c r="B20" s="73">
        <v>30000</v>
      </c>
      <c r="C20" s="74" t="s">
        <v>91</v>
      </c>
      <c r="D20" s="89"/>
      <c r="E20" s="89"/>
      <c r="F20" s="89"/>
      <c r="G20" s="89"/>
      <c r="H20" s="89"/>
      <c r="I20" s="89"/>
      <c r="J20" s="89"/>
      <c r="K20" s="89"/>
      <c r="L20" s="80"/>
      <c r="M20" s="80"/>
      <c r="N20" s="80"/>
      <c r="O20" s="80"/>
      <c r="Q20" s="92">
        <f t="shared" si="2"/>
        <v>0</v>
      </c>
    </row>
    <row r="21" spans="1:17" x14ac:dyDescent="0.3">
      <c r="A21" s="682"/>
      <c r="B21" s="90">
        <v>31000</v>
      </c>
      <c r="C21" s="91" t="s">
        <v>168</v>
      </c>
      <c r="D21" s="79">
        <f>O21</f>
        <v>142625000</v>
      </c>
      <c r="E21" s="79">
        <f>'3.1'!J53</f>
        <v>11535000</v>
      </c>
      <c r="F21" s="79">
        <f>'3.1'!K53</f>
        <v>50780000</v>
      </c>
      <c r="G21" s="79">
        <f>'3.1'!L53</f>
        <v>0</v>
      </c>
      <c r="H21" s="79">
        <f>'3.1'!M53</f>
        <v>10900000</v>
      </c>
      <c r="I21" s="79">
        <f>'3.1'!N53</f>
        <v>68250000</v>
      </c>
      <c r="J21" s="79">
        <f>'3.1'!O53</f>
        <v>0</v>
      </c>
      <c r="K21" s="79">
        <f>'3.1'!P53</f>
        <v>0</v>
      </c>
      <c r="L21" s="79">
        <f>'3.1'!Q53</f>
        <v>0</v>
      </c>
      <c r="M21" s="79">
        <f>'3.1'!R53</f>
        <v>1160000</v>
      </c>
      <c r="N21" s="79">
        <f>'3.1'!S53</f>
        <v>0</v>
      </c>
      <c r="O21" s="80">
        <f>SUM(E21:N21)</f>
        <v>142625000</v>
      </c>
      <c r="P21" s="92">
        <f>'Component wise'!D14</f>
        <v>142625000</v>
      </c>
      <c r="Q21" s="92">
        <f t="shared" si="2"/>
        <v>0</v>
      </c>
    </row>
    <row r="22" spans="1:17" x14ac:dyDescent="0.3">
      <c r="A22" s="682"/>
      <c r="B22" s="90">
        <v>32000</v>
      </c>
      <c r="C22" s="91" t="s">
        <v>99</v>
      </c>
      <c r="D22" s="79">
        <f>O22</f>
        <v>106920000</v>
      </c>
      <c r="E22" s="79">
        <f>'3.2'!H46</f>
        <v>4942000</v>
      </c>
      <c r="F22" s="79">
        <f>'3.2'!I46</f>
        <v>81136000</v>
      </c>
      <c r="G22" s="79">
        <f>'3.2'!J46</f>
        <v>0</v>
      </c>
      <c r="H22" s="79">
        <f>'3.2'!K46</f>
        <v>0</v>
      </c>
      <c r="I22" s="79">
        <f>'3.2'!L46</f>
        <v>5500000</v>
      </c>
      <c r="J22" s="79">
        <f>'3.2'!M46</f>
        <v>0</v>
      </c>
      <c r="K22" s="79">
        <f>'3.2'!N46</f>
        <v>0</v>
      </c>
      <c r="L22" s="79">
        <f>'3.2'!O46</f>
        <v>0</v>
      </c>
      <c r="M22" s="79">
        <f>'3.2'!P46</f>
        <v>15342000</v>
      </c>
      <c r="N22" s="79">
        <f>'3.2'!Q46</f>
        <v>0</v>
      </c>
      <c r="O22" s="80">
        <f>SUM(E22:N22)</f>
        <v>106920000</v>
      </c>
      <c r="P22" s="92">
        <f>'Component wise'!D15</f>
        <v>106920000</v>
      </c>
      <c r="Q22" s="92">
        <f t="shared" si="2"/>
        <v>0</v>
      </c>
    </row>
    <row r="23" spans="1:17" x14ac:dyDescent="0.3">
      <c r="A23" s="683"/>
      <c r="B23" s="81"/>
      <c r="C23" s="82" t="s">
        <v>3</v>
      </c>
      <c r="D23" s="83">
        <f>O23</f>
        <v>249545000</v>
      </c>
      <c r="E23" s="84">
        <f>SUM(E21:E22)</f>
        <v>16477000</v>
      </c>
      <c r="F23" s="84">
        <f t="shared" ref="F23:O23" si="4">SUM(F21:F22)</f>
        <v>131916000</v>
      </c>
      <c r="G23" s="84">
        <f t="shared" si="4"/>
        <v>0</v>
      </c>
      <c r="H23" s="84">
        <f t="shared" si="4"/>
        <v>10900000</v>
      </c>
      <c r="I23" s="84">
        <f t="shared" si="4"/>
        <v>73750000</v>
      </c>
      <c r="J23" s="84">
        <f t="shared" si="4"/>
        <v>0</v>
      </c>
      <c r="K23" s="84">
        <f t="shared" si="4"/>
        <v>0</v>
      </c>
      <c r="L23" s="84">
        <f t="shared" si="4"/>
        <v>0</v>
      </c>
      <c r="M23" s="84">
        <f t="shared" si="4"/>
        <v>16502000</v>
      </c>
      <c r="N23" s="84">
        <f t="shared" si="4"/>
        <v>0</v>
      </c>
      <c r="O23" s="84">
        <f t="shared" si="4"/>
        <v>249545000</v>
      </c>
      <c r="P23" s="92">
        <f>SUM(P21:P22)</f>
        <v>249545000</v>
      </c>
      <c r="Q23" s="92">
        <f t="shared" si="2"/>
        <v>0</v>
      </c>
    </row>
    <row r="24" spans="1:17" x14ac:dyDescent="0.3">
      <c r="A24" s="67"/>
      <c r="B24" s="85"/>
      <c r="C24" s="86"/>
      <c r="D24" s="87"/>
      <c r="E24" s="87"/>
      <c r="F24" s="87"/>
      <c r="G24" s="87"/>
      <c r="H24" s="87"/>
      <c r="I24" s="87"/>
      <c r="J24" s="87"/>
      <c r="K24" s="87"/>
      <c r="L24" s="80"/>
      <c r="M24" s="80"/>
      <c r="N24" s="80"/>
      <c r="O24" s="80"/>
      <c r="Q24" s="92">
        <f t="shared" si="2"/>
        <v>0</v>
      </c>
    </row>
    <row r="25" spans="1:17" x14ac:dyDescent="0.3">
      <c r="A25" s="681">
        <v>4</v>
      </c>
      <c r="B25" s="73">
        <v>40000</v>
      </c>
      <c r="C25" s="74" t="s">
        <v>160</v>
      </c>
      <c r="D25" s="89"/>
      <c r="E25" s="89"/>
      <c r="F25" s="89"/>
      <c r="G25" s="89"/>
      <c r="H25" s="89"/>
      <c r="I25" s="89"/>
      <c r="J25" s="89"/>
      <c r="K25" s="89"/>
      <c r="L25" s="93"/>
      <c r="M25" s="93"/>
      <c r="N25" s="93"/>
      <c r="O25" s="94"/>
      <c r="Q25" s="92">
        <f t="shared" si="2"/>
        <v>0</v>
      </c>
    </row>
    <row r="26" spans="1:17" ht="15.75" customHeight="1" x14ac:dyDescent="0.3">
      <c r="A26" s="682"/>
      <c r="B26" s="90">
        <v>41000</v>
      </c>
      <c r="C26" s="78" t="s">
        <v>523</v>
      </c>
      <c r="D26" s="80">
        <f>O26</f>
        <v>85536700</v>
      </c>
      <c r="E26" s="80">
        <f>'4.1 '!H89</f>
        <v>36962740</v>
      </c>
      <c r="F26" s="80">
        <f>'4.1 '!I89</f>
        <v>48573960</v>
      </c>
      <c r="G26" s="80">
        <f>'4.1 '!J89</f>
        <v>0</v>
      </c>
      <c r="H26" s="80">
        <f>'4.1 '!K89</f>
        <v>0</v>
      </c>
      <c r="I26" s="80">
        <f>'4.1 '!L89</f>
        <v>0</v>
      </c>
      <c r="J26" s="80">
        <f>'4.1 '!M89</f>
        <v>0</v>
      </c>
      <c r="K26" s="80">
        <f>'4.1 '!N89</f>
        <v>0</v>
      </c>
      <c r="L26" s="80">
        <f>'4.1 '!O89</f>
        <v>0</v>
      </c>
      <c r="M26" s="80">
        <f>'4.1 '!P89</f>
        <v>0</v>
      </c>
      <c r="N26" s="80">
        <f>'4.1 '!Q89</f>
        <v>0</v>
      </c>
      <c r="O26" s="80">
        <f>SUM(E26:N26)</f>
        <v>85536700</v>
      </c>
      <c r="P26" s="92">
        <f>'Component wise'!D18</f>
        <v>85536700</v>
      </c>
      <c r="Q26" s="92">
        <f t="shared" si="2"/>
        <v>0</v>
      </c>
    </row>
    <row r="27" spans="1:17" ht="15.75" customHeight="1" x14ac:dyDescent="0.3">
      <c r="A27" s="682"/>
      <c r="B27" s="90">
        <v>42000</v>
      </c>
      <c r="C27" s="78" t="s">
        <v>524</v>
      </c>
      <c r="D27" s="80">
        <f>O27</f>
        <v>74173000</v>
      </c>
      <c r="E27" s="80">
        <f>'4.2'!H56</f>
        <v>36741500</v>
      </c>
      <c r="F27" s="80">
        <f>'4.2'!I56</f>
        <v>37431500</v>
      </c>
      <c r="G27" s="80">
        <f>'4.2'!J56</f>
        <v>0</v>
      </c>
      <c r="H27" s="80">
        <f>'4.2'!K56</f>
        <v>0</v>
      </c>
      <c r="I27" s="80">
        <f>'4.2'!L56</f>
        <v>0</v>
      </c>
      <c r="J27" s="80">
        <f>'4.2'!M56</f>
        <v>0</v>
      </c>
      <c r="K27" s="80">
        <f>'4.2'!N56</f>
        <v>0</v>
      </c>
      <c r="L27" s="80">
        <f>'4.2'!O56</f>
        <v>0</v>
      </c>
      <c r="M27" s="80">
        <f>'4.2'!P56</f>
        <v>0</v>
      </c>
      <c r="N27" s="80">
        <f>'4.2'!Q56</f>
        <v>0</v>
      </c>
      <c r="O27" s="80">
        <f>SUM(E27:N27)</f>
        <v>74173000</v>
      </c>
      <c r="P27" s="92">
        <f>'Component wise'!D19</f>
        <v>74173000</v>
      </c>
      <c r="Q27" s="92">
        <f t="shared" si="2"/>
        <v>0</v>
      </c>
    </row>
    <row r="28" spans="1:17" x14ac:dyDescent="0.3">
      <c r="A28" s="682"/>
      <c r="B28" s="90">
        <v>43000</v>
      </c>
      <c r="C28" s="78" t="s">
        <v>525</v>
      </c>
      <c r="D28" s="80">
        <f>O28</f>
        <v>4570000</v>
      </c>
      <c r="E28" s="80">
        <f>'4.3 '!I35</f>
        <v>914000</v>
      </c>
      <c r="F28" s="80">
        <f>'4.3 '!J35</f>
        <v>3656000</v>
      </c>
      <c r="G28" s="80">
        <f>'4.3 '!K35</f>
        <v>0</v>
      </c>
      <c r="H28" s="80">
        <f>'4.3 '!L35</f>
        <v>0</v>
      </c>
      <c r="I28" s="80">
        <f>'4.3 '!M35</f>
        <v>0</v>
      </c>
      <c r="J28" s="80">
        <f>'4.3 '!N35</f>
        <v>0</v>
      </c>
      <c r="K28" s="80">
        <f>'4.3 '!O35</f>
        <v>0</v>
      </c>
      <c r="L28" s="80">
        <f>'4.3 '!P35</f>
        <v>0</v>
      </c>
      <c r="M28" s="80">
        <f>'4.3 '!Q35</f>
        <v>0</v>
      </c>
      <c r="N28" s="80">
        <f>'4.3 '!R35</f>
        <v>0</v>
      </c>
      <c r="O28" s="80">
        <f>SUM(E28:N28)</f>
        <v>4570000</v>
      </c>
      <c r="P28" s="92">
        <f>'Component wise'!D20</f>
        <v>4570000</v>
      </c>
      <c r="Q28" s="92">
        <f t="shared" si="2"/>
        <v>0</v>
      </c>
    </row>
    <row r="29" spans="1:17" x14ac:dyDescent="0.3">
      <c r="A29" s="683"/>
      <c r="B29" s="81"/>
      <c r="C29" s="82" t="s">
        <v>3</v>
      </c>
      <c r="D29" s="80">
        <f>O29</f>
        <v>164279700</v>
      </c>
      <c r="E29" s="93">
        <f>SUM(E26:E28)</f>
        <v>74618240</v>
      </c>
      <c r="F29" s="93">
        <f t="shared" ref="F29:N29" si="5">SUM(F26:F28)</f>
        <v>89661460</v>
      </c>
      <c r="G29" s="93">
        <f t="shared" si="5"/>
        <v>0</v>
      </c>
      <c r="H29" s="93">
        <f t="shared" si="5"/>
        <v>0</v>
      </c>
      <c r="I29" s="93">
        <f t="shared" si="5"/>
        <v>0</v>
      </c>
      <c r="J29" s="93">
        <f t="shared" si="5"/>
        <v>0</v>
      </c>
      <c r="K29" s="93">
        <f t="shared" si="5"/>
        <v>0</v>
      </c>
      <c r="L29" s="93">
        <f t="shared" si="5"/>
        <v>0</v>
      </c>
      <c r="M29" s="93">
        <f t="shared" si="5"/>
        <v>0</v>
      </c>
      <c r="N29" s="93">
        <f t="shared" si="5"/>
        <v>0</v>
      </c>
      <c r="O29" s="80">
        <f>SUM(E29:N29)</f>
        <v>164279700</v>
      </c>
      <c r="P29" s="92">
        <f>SUM(P26:P28)</f>
        <v>164279700</v>
      </c>
      <c r="Q29" s="92">
        <f t="shared" si="2"/>
        <v>0</v>
      </c>
    </row>
    <row r="30" spans="1:17" x14ac:dyDescent="0.3">
      <c r="A30" s="688" t="s">
        <v>4</v>
      </c>
      <c r="B30" s="689"/>
      <c r="C30" s="690"/>
      <c r="D30" s="93">
        <f>O30</f>
        <v>1435948331</v>
      </c>
      <c r="E30" s="93">
        <f>E29+E23+E18+E12</f>
        <v>189059909.69999999</v>
      </c>
      <c r="F30" s="93">
        <f t="shared" ref="F30:P30" si="6">F29+F23+F18+F12</f>
        <v>673803299.60000002</v>
      </c>
      <c r="G30" s="93">
        <f t="shared" si="6"/>
        <v>0</v>
      </c>
      <c r="H30" s="93">
        <f t="shared" si="6"/>
        <v>10900000</v>
      </c>
      <c r="I30" s="93">
        <f t="shared" si="6"/>
        <v>207929935</v>
      </c>
      <c r="J30" s="93">
        <f t="shared" si="6"/>
        <v>250900000</v>
      </c>
      <c r="K30" s="93">
        <f t="shared" si="6"/>
        <v>56838750</v>
      </c>
      <c r="L30" s="93">
        <f t="shared" si="6"/>
        <v>0</v>
      </c>
      <c r="M30" s="93">
        <f t="shared" si="6"/>
        <v>46516436.700000003</v>
      </c>
      <c r="N30" s="93">
        <f t="shared" si="6"/>
        <v>0</v>
      </c>
      <c r="O30" s="93">
        <f t="shared" si="6"/>
        <v>1435948331</v>
      </c>
      <c r="P30" s="93">
        <f t="shared" si="6"/>
        <v>1435948331</v>
      </c>
      <c r="Q30" s="92">
        <f t="shared" si="2"/>
        <v>0</v>
      </c>
    </row>
    <row r="31" spans="1:17" x14ac:dyDescent="0.3">
      <c r="A31" s="67"/>
      <c r="B31" s="67"/>
      <c r="C31" s="67"/>
      <c r="D31" s="68"/>
      <c r="E31" s="68"/>
      <c r="F31" s="68"/>
      <c r="G31" s="68"/>
      <c r="H31" s="68"/>
      <c r="I31" s="68"/>
      <c r="J31" s="68"/>
      <c r="K31" s="68"/>
      <c r="L31" s="67"/>
      <c r="M31" s="67"/>
      <c r="N31" s="67"/>
      <c r="O31" s="67"/>
    </row>
    <row r="32" spans="1:17" ht="30" customHeight="1" x14ac:dyDescent="0.3">
      <c r="A32" s="1" t="s">
        <v>199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6"/>
      <c r="M32" s="97"/>
      <c r="N32" s="96"/>
      <c r="O32" s="96"/>
    </row>
    <row r="33" spans="1:15" ht="19.5" thickBot="1" x14ac:dyDescent="0.35">
      <c r="A33" s="98"/>
      <c r="B33" s="680"/>
      <c r="C33" s="680"/>
      <c r="D33" s="680"/>
      <c r="E33" s="128" t="s">
        <v>1018</v>
      </c>
      <c r="F33" s="99"/>
      <c r="G33" s="99"/>
      <c r="H33" s="99"/>
      <c r="I33" s="99"/>
      <c r="J33" s="99"/>
      <c r="K33" s="99"/>
      <c r="L33" s="98"/>
      <c r="M33" s="98"/>
      <c r="N33" s="98"/>
      <c r="O33" s="98"/>
    </row>
    <row r="34" spans="1:15" x14ac:dyDescent="0.3">
      <c r="A34" s="98"/>
      <c r="B34" s="98"/>
      <c r="C34" s="98"/>
      <c r="D34" s="101" t="s">
        <v>962</v>
      </c>
      <c r="E34" s="101"/>
      <c r="F34" s="115">
        <f>E30+F30</f>
        <v>862863209.29999995</v>
      </c>
      <c r="G34" s="116"/>
      <c r="H34" s="117"/>
      <c r="I34" s="121"/>
      <c r="J34" s="98"/>
      <c r="K34" s="98"/>
      <c r="L34" s="98"/>
      <c r="M34" s="98"/>
      <c r="N34" s="100"/>
      <c r="O34" s="98"/>
    </row>
    <row r="35" spans="1:15" x14ac:dyDescent="0.3">
      <c r="G35" s="118"/>
      <c r="H35" s="119"/>
      <c r="I35" s="120"/>
    </row>
    <row r="37" spans="1:15" x14ac:dyDescent="0.3">
      <c r="D37" s="66" t="s">
        <v>617</v>
      </c>
      <c r="F37" s="92">
        <f>G30+H30+I30+J30+N30+K30</f>
        <v>526568685</v>
      </c>
    </row>
    <row r="38" spans="1:15" x14ac:dyDescent="0.3">
      <c r="D38" s="66" t="s">
        <v>616</v>
      </c>
      <c r="F38" s="92">
        <f>M30</f>
        <v>46516436.700000003</v>
      </c>
    </row>
    <row r="39" spans="1:15" x14ac:dyDescent="0.3">
      <c r="F39" s="92">
        <f>F38+F37+F34</f>
        <v>1435948331</v>
      </c>
    </row>
    <row r="40" spans="1:15" x14ac:dyDescent="0.3">
      <c r="C40" s="580" t="s">
        <v>903</v>
      </c>
      <c r="F40" s="92"/>
    </row>
    <row r="41" spans="1:15" x14ac:dyDescent="0.3">
      <c r="F41" s="92"/>
    </row>
    <row r="42" spans="1:15" x14ac:dyDescent="0.3">
      <c r="C42" s="581" t="s">
        <v>902</v>
      </c>
      <c r="D42" s="581" t="s">
        <v>7</v>
      </c>
      <c r="E42" s="581" t="s">
        <v>8</v>
      </c>
      <c r="F42" s="581" t="s">
        <v>9</v>
      </c>
      <c r="G42" s="581" t="s">
        <v>10</v>
      </c>
      <c r="H42" s="581" t="s">
        <v>17</v>
      </c>
    </row>
    <row r="43" spans="1:15" x14ac:dyDescent="0.3">
      <c r="C43" s="66" t="s">
        <v>227</v>
      </c>
      <c r="D43" s="582">
        <f>F30*0.3</f>
        <v>202140989.88</v>
      </c>
      <c r="E43" s="582">
        <f>F30*0.25</f>
        <v>168450824.90000001</v>
      </c>
      <c r="F43" s="582">
        <f>F30*0.25</f>
        <v>168450824.90000001</v>
      </c>
      <c r="G43" s="582">
        <f>F30*0.2</f>
        <v>134760659.92000002</v>
      </c>
      <c r="H43" s="582">
        <f>SUM(D43:G43)</f>
        <v>673803299.5999999</v>
      </c>
    </row>
    <row r="44" spans="1:15" x14ac:dyDescent="0.3">
      <c r="D44" s="582">
        <f>D43/H43*100</f>
        <v>30.000000000000004</v>
      </c>
      <c r="E44" s="582">
        <f>E43/H43*100</f>
        <v>25.000000000000007</v>
      </c>
      <c r="F44" s="582">
        <f>F43/H43*100</f>
        <v>25.000000000000007</v>
      </c>
      <c r="G44" s="582">
        <f>G43/H43*100</f>
        <v>20.000000000000007</v>
      </c>
      <c r="H44" s="582"/>
    </row>
    <row r="45" spans="1:15" x14ac:dyDescent="0.3">
      <c r="C45" s="66" t="s">
        <v>303</v>
      </c>
      <c r="D45" s="583">
        <f>E30*0.3</f>
        <v>56717972.909999996</v>
      </c>
      <c r="E45" s="583">
        <f>E30*0.25</f>
        <v>47264977.424999997</v>
      </c>
      <c r="F45" s="583">
        <f>E30*0.25</f>
        <v>47264977.424999997</v>
      </c>
      <c r="G45" s="583">
        <f>E30*0.2</f>
        <v>37811981.939999998</v>
      </c>
      <c r="H45" s="583">
        <f>SUM(D45:G45)</f>
        <v>189059909.69999999</v>
      </c>
    </row>
    <row r="46" spans="1:15" x14ac:dyDescent="0.3">
      <c r="C46" s="66" t="s">
        <v>615</v>
      </c>
      <c r="D46" s="583">
        <f>F37*0.33</f>
        <v>173767666.05000001</v>
      </c>
      <c r="E46" s="583">
        <f>F37*0.25</f>
        <v>131642171.25</v>
      </c>
      <c r="F46" s="583">
        <f>F37*0.22</f>
        <v>115845110.7</v>
      </c>
      <c r="G46" s="583">
        <f>F37*0.2</f>
        <v>105313737</v>
      </c>
      <c r="H46" s="583">
        <f>SUM(D46:G46)</f>
        <v>526568685</v>
      </c>
    </row>
    <row r="47" spans="1:15" x14ac:dyDescent="0.3">
      <c r="C47" s="581" t="s">
        <v>901</v>
      </c>
      <c r="D47" s="582">
        <f>D46+D45</f>
        <v>230485638.96000001</v>
      </c>
      <c r="E47" s="582">
        <f>E46+E45</f>
        <v>178907148.67500001</v>
      </c>
      <c r="F47" s="582">
        <f>F46+F45</f>
        <v>163110088.125</v>
      </c>
      <c r="G47" s="582">
        <f>G46+G45</f>
        <v>143125718.94</v>
      </c>
      <c r="H47" s="582">
        <f>H46+H45</f>
        <v>715628594.70000005</v>
      </c>
    </row>
    <row r="48" spans="1:15" x14ac:dyDescent="0.3">
      <c r="C48" s="581"/>
      <c r="D48" s="582">
        <f>D47/H47*100</f>
        <v>32.207438420850451</v>
      </c>
      <c r="E48" s="582">
        <f>E47/H47*100</f>
        <v>25</v>
      </c>
      <c r="F48" s="582">
        <f>F47/H47*100</f>
        <v>22.792561579149542</v>
      </c>
      <c r="G48" s="582">
        <f>G47/H47*100</f>
        <v>20</v>
      </c>
      <c r="H48" s="582"/>
    </row>
    <row r="49" spans="3:8" x14ac:dyDescent="0.3">
      <c r="C49" s="581" t="s">
        <v>616</v>
      </c>
      <c r="D49" s="582">
        <f>F38*0.25</f>
        <v>11629109.175000001</v>
      </c>
      <c r="E49" s="582">
        <f>F38*0.25</f>
        <v>11629109.175000001</v>
      </c>
      <c r="F49" s="582">
        <f>F38*0.3</f>
        <v>13954931.01</v>
      </c>
      <c r="G49" s="582">
        <f>F38*0.2</f>
        <v>9303287.3400000017</v>
      </c>
      <c r="H49" s="581">
        <f>SUM(D49:G49)</f>
        <v>46516436.700000003</v>
      </c>
    </row>
    <row r="50" spans="3:8" x14ac:dyDescent="0.3">
      <c r="C50" s="581"/>
      <c r="D50" s="582">
        <f>D49/H49*100</f>
        <v>25</v>
      </c>
      <c r="E50" s="582">
        <f>E49/H49*100</f>
        <v>25</v>
      </c>
      <c r="F50" s="582">
        <f>F49/H49*100</f>
        <v>30</v>
      </c>
      <c r="G50" s="582">
        <f>G49/H49*100</f>
        <v>20</v>
      </c>
      <c r="H50" s="581"/>
    </row>
    <row r="51" spans="3:8" x14ac:dyDescent="0.3">
      <c r="C51" s="581" t="s">
        <v>17</v>
      </c>
      <c r="D51" s="582">
        <f>D49+D47+D43</f>
        <v>444255738.01499999</v>
      </c>
      <c r="E51" s="582">
        <f>E49+E47+E43</f>
        <v>358987082.75</v>
      </c>
      <c r="F51" s="582">
        <f>F49+F47+F43</f>
        <v>345515844.03499997</v>
      </c>
      <c r="G51" s="582">
        <f>G49+G47+G43</f>
        <v>287189666.20000005</v>
      </c>
      <c r="H51" s="582">
        <f>H49+H47+H43</f>
        <v>1435948331</v>
      </c>
    </row>
  </sheetData>
  <mergeCells count="15">
    <mergeCell ref="B33:D33"/>
    <mergeCell ref="A14:A18"/>
    <mergeCell ref="A20:A23"/>
    <mergeCell ref="A25:A29"/>
    <mergeCell ref="A1:O1"/>
    <mergeCell ref="A2:O2"/>
    <mergeCell ref="A3:O3"/>
    <mergeCell ref="A4:O4"/>
    <mergeCell ref="A8:C8"/>
    <mergeCell ref="A9:A12"/>
    <mergeCell ref="A30:C30"/>
    <mergeCell ref="A6:A7"/>
    <mergeCell ref="C6:C7"/>
    <mergeCell ref="B6:B7"/>
    <mergeCell ref="D6:D7"/>
  </mergeCells>
  <pageMargins left="0.26" right="0.3" top="0.53" bottom="0.18" header="0.17" footer="0.16"/>
  <pageSetup scale="3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 filterMode="1">
    <pageSetUpPr fitToPage="1"/>
  </sheetPr>
  <dimension ref="A1:FE56"/>
  <sheetViews>
    <sheetView topLeftCell="B1" zoomScale="90" zoomScaleNormal="90" workbookViewId="0">
      <pane xSplit="8" ySplit="8" topLeftCell="J9" activePane="bottomRight" state="frozen"/>
      <selection activeCell="B1" sqref="B1"/>
      <selection pane="topRight" activeCell="H1" sqref="H1"/>
      <selection pane="bottomLeft" activeCell="B9" sqref="B9"/>
      <selection pane="bottomRight" activeCell="E61" sqref="E61"/>
    </sheetView>
  </sheetViews>
  <sheetFormatPr defaultColWidth="14.42578125" defaultRowHeight="12.75" x14ac:dyDescent="0.25"/>
  <cols>
    <col min="1" max="1" width="43.42578125" style="523" bestFit="1" customWidth="1"/>
    <col min="2" max="2" width="6.42578125" style="523" customWidth="1"/>
    <col min="3" max="3" width="9" style="523" bestFit="1" customWidth="1"/>
    <col min="4" max="4" width="9" style="523" customWidth="1"/>
    <col min="5" max="5" width="44" style="523" bestFit="1" customWidth="1"/>
    <col min="6" max="6" width="5.140625" style="523" bestFit="1" customWidth="1"/>
    <col min="7" max="7" width="8.85546875" style="300" bestFit="1" customWidth="1"/>
    <col min="8" max="8" width="9.7109375" style="300" bestFit="1" customWidth="1"/>
    <col min="9" max="9" width="12.42578125" style="620" bestFit="1" customWidth="1"/>
    <col min="10" max="10" width="13.42578125" style="620" bestFit="1" customWidth="1"/>
    <col min="11" max="11" width="12.28515625" style="620" bestFit="1" customWidth="1"/>
    <col min="12" max="12" width="9.42578125" style="620" bestFit="1" customWidth="1"/>
    <col min="13" max="13" width="11.42578125" style="620" bestFit="1" customWidth="1"/>
    <col min="14" max="14" width="12.28515625" style="620" bestFit="1" customWidth="1"/>
    <col min="15" max="15" width="10.85546875" style="620" bestFit="1" customWidth="1"/>
    <col min="16" max="16" width="6.5703125" style="620" bestFit="1" customWidth="1"/>
    <col min="17" max="17" width="6.42578125" style="300" bestFit="1" customWidth="1"/>
    <col min="18" max="18" width="10.85546875" style="300" bestFit="1" customWidth="1"/>
    <col min="19" max="19" width="7" style="300" bestFit="1" customWidth="1"/>
    <col min="20" max="20" width="8" style="621" bestFit="1" customWidth="1"/>
    <col min="21" max="23" width="6" style="621" bestFit="1" customWidth="1"/>
    <col min="24" max="27" width="13.42578125" style="622" bestFit="1" customWidth="1"/>
    <col min="28" max="28" width="6.42578125" style="300" bestFit="1" customWidth="1"/>
    <col min="29" max="29" width="11.28515625" style="523" bestFit="1" customWidth="1"/>
    <col min="30" max="30" width="4.42578125" style="523" bestFit="1" customWidth="1"/>
    <col min="31" max="31" width="11.28515625" style="523" bestFit="1" customWidth="1"/>
    <col min="32" max="32" width="4.42578125" style="523" bestFit="1" customWidth="1"/>
    <col min="33" max="33" width="11.28515625" style="523" bestFit="1" customWidth="1"/>
    <col min="34" max="34" width="4.42578125" style="523" bestFit="1" customWidth="1"/>
    <col min="35" max="35" width="11.28515625" style="523" bestFit="1" customWidth="1"/>
    <col min="36" max="36" width="4.42578125" style="523" bestFit="1" customWidth="1"/>
    <col min="37" max="37" width="11.28515625" style="523" bestFit="1" customWidth="1"/>
    <col min="38" max="38" width="4.42578125" style="523" bestFit="1" customWidth="1"/>
    <col min="39" max="39" width="11.28515625" style="523" bestFit="1" customWidth="1"/>
    <col min="40" max="40" width="4.42578125" style="523" bestFit="1" customWidth="1"/>
    <col min="41" max="41" width="11.28515625" style="523" bestFit="1" customWidth="1"/>
    <col min="42" max="42" width="4.42578125" style="523" bestFit="1" customWidth="1"/>
    <col min="43" max="43" width="11.28515625" style="523" bestFit="1" customWidth="1"/>
    <col min="44" max="44" width="4.42578125" style="523" bestFit="1" customWidth="1"/>
    <col min="45" max="45" width="11.28515625" style="523" bestFit="1" customWidth="1"/>
    <col min="46" max="46" width="4.42578125" style="523" bestFit="1" customWidth="1"/>
    <col min="47" max="47" width="11.28515625" style="523" bestFit="1" customWidth="1"/>
    <col min="48" max="48" width="4.42578125" style="523" bestFit="1" customWidth="1"/>
    <col min="49" max="49" width="11.28515625" style="523" bestFit="1" customWidth="1"/>
    <col min="50" max="50" width="4.42578125" style="523" bestFit="1" customWidth="1"/>
    <col min="51" max="51" width="11.28515625" style="523" bestFit="1" customWidth="1"/>
    <col min="52" max="52" width="4.42578125" style="523" bestFit="1" customWidth="1"/>
    <col min="53" max="53" width="11.28515625" style="523" bestFit="1" customWidth="1"/>
    <col min="54" max="54" width="4.42578125" style="523" bestFit="1" customWidth="1"/>
    <col min="55" max="55" width="9.85546875" style="523" bestFit="1" customWidth="1"/>
    <col min="56" max="56" width="4.42578125" style="523" bestFit="1" customWidth="1"/>
    <col min="57" max="57" width="11.28515625" style="523" bestFit="1" customWidth="1"/>
    <col min="58" max="58" width="4.42578125" style="523" bestFit="1" customWidth="1"/>
    <col min="59" max="59" width="11.28515625" style="523" bestFit="1" customWidth="1"/>
    <col min="60" max="60" width="4.42578125" style="298" bestFit="1" customWidth="1"/>
    <col min="61" max="61" width="11.28515625" style="298" bestFit="1" customWidth="1"/>
    <col min="62" max="62" width="2" style="298" bestFit="1" customWidth="1"/>
    <col min="63" max="63" width="11.28515625" style="298" bestFit="1" customWidth="1"/>
    <col min="64" max="64" width="5" style="298" bestFit="1" customWidth="1"/>
    <col min="65" max="65" width="12.28515625" style="298" bestFit="1" customWidth="1"/>
    <col min="66" max="66" width="20.5703125" style="385" bestFit="1" customWidth="1"/>
    <col min="67" max="67" width="2" style="298" bestFit="1" customWidth="1"/>
    <col min="68" max="68" width="13.5703125" style="298" bestFit="1" customWidth="1"/>
    <col min="69" max="69" width="14.140625" style="298" bestFit="1" customWidth="1"/>
    <col min="70" max="70" width="13.5703125" style="298" bestFit="1" customWidth="1"/>
    <col min="71" max="71" width="6.28515625" style="298" bestFit="1" customWidth="1"/>
    <col min="72" max="72" width="14.85546875" style="298" bestFit="1" customWidth="1"/>
    <col min="73" max="73" width="10" style="298" bestFit="1" customWidth="1"/>
    <col min="74" max="74" width="13" style="298" bestFit="1" customWidth="1"/>
    <col min="75" max="75" width="13.42578125" style="298" bestFit="1" customWidth="1"/>
    <col min="76" max="76" width="13.5703125" style="298" bestFit="1" customWidth="1"/>
    <col min="77" max="161" width="14.42578125" style="298" customWidth="1"/>
    <col min="162" max="16384" width="14.42578125" style="523"/>
  </cols>
  <sheetData>
    <row r="1" spans="1:76" s="298" customFormat="1" x14ac:dyDescent="0.25">
      <c r="A1" s="807" t="s">
        <v>159</v>
      </c>
      <c r="B1" s="807"/>
      <c r="C1" s="807"/>
      <c r="D1" s="585"/>
      <c r="E1" s="808" t="s">
        <v>153</v>
      </c>
      <c r="F1" s="808"/>
      <c r="G1" s="808"/>
      <c r="H1" s="808"/>
      <c r="I1" s="808"/>
      <c r="J1" s="808"/>
      <c r="K1" s="808"/>
      <c r="L1" s="808"/>
      <c r="M1" s="808"/>
      <c r="N1" s="808"/>
      <c r="O1" s="808"/>
      <c r="P1" s="808"/>
      <c r="Q1" s="808"/>
      <c r="R1" s="808"/>
      <c r="S1" s="808"/>
      <c r="T1" s="383" t="s">
        <v>576</v>
      </c>
      <c r="U1" s="383"/>
      <c r="V1" s="383"/>
      <c r="W1" s="383"/>
      <c r="X1" s="384"/>
      <c r="Y1" s="384"/>
      <c r="Z1" s="384"/>
      <c r="AA1" s="384"/>
      <c r="AB1" s="300"/>
      <c r="BN1" s="385"/>
    </row>
    <row r="2" spans="1:76" s="298" customFormat="1" x14ac:dyDescent="0.2">
      <c r="A2" s="807" t="s">
        <v>155</v>
      </c>
      <c r="B2" s="807"/>
      <c r="C2" s="807"/>
      <c r="D2" s="585"/>
      <c r="E2" s="808" t="s">
        <v>154</v>
      </c>
      <c r="F2" s="808"/>
      <c r="G2" s="808"/>
      <c r="H2" s="808"/>
      <c r="I2" s="808"/>
      <c r="J2" s="808"/>
      <c r="K2" s="808"/>
      <c r="L2" s="808"/>
      <c r="M2" s="808"/>
      <c r="N2" s="808"/>
      <c r="O2" s="808"/>
      <c r="P2" s="808"/>
      <c r="Q2" s="808"/>
      <c r="R2" s="808"/>
      <c r="S2" s="808"/>
      <c r="T2" s="383"/>
      <c r="U2" s="383"/>
      <c r="V2" s="383"/>
      <c r="W2" s="383"/>
      <c r="X2" s="384"/>
      <c r="Y2" s="384"/>
      <c r="Z2" s="384"/>
      <c r="AA2" s="384"/>
      <c r="AB2" s="302" t="s">
        <v>288</v>
      </c>
      <c r="AC2" s="302">
        <v>8.34</v>
      </c>
      <c r="AD2" s="302"/>
      <c r="AE2" s="302">
        <v>2.85</v>
      </c>
      <c r="AF2" s="302"/>
      <c r="AG2" s="302">
        <v>8.3800000000000008</v>
      </c>
      <c r="AH2" s="302"/>
      <c r="AI2" s="302">
        <v>7.49</v>
      </c>
      <c r="AJ2" s="302"/>
      <c r="AK2" s="302">
        <v>3.33</v>
      </c>
      <c r="AL2" s="302"/>
      <c r="AM2" s="302">
        <v>6.64</v>
      </c>
      <c r="AN2" s="302"/>
      <c r="AO2" s="302">
        <v>3.67</v>
      </c>
      <c r="AP2" s="302"/>
      <c r="AQ2" s="302">
        <v>5.0599999999999996</v>
      </c>
      <c r="AR2" s="302"/>
      <c r="AS2" s="302">
        <v>5.94</v>
      </c>
      <c r="AT2" s="302"/>
      <c r="AU2" s="302">
        <v>6.85</v>
      </c>
      <c r="AV2" s="302"/>
      <c r="AW2" s="302">
        <v>7.45</v>
      </c>
      <c r="AX2" s="302"/>
      <c r="AY2" s="302">
        <v>5.13</v>
      </c>
      <c r="AZ2" s="302"/>
      <c r="BA2" s="302">
        <v>4.8600000000000003</v>
      </c>
      <c r="BB2" s="302"/>
      <c r="BC2" s="302">
        <v>5.79</v>
      </c>
      <c r="BD2" s="302"/>
      <c r="BE2" s="302">
        <v>5.3</v>
      </c>
      <c r="BF2" s="302"/>
      <c r="BG2" s="302">
        <v>3.47</v>
      </c>
      <c r="BH2" s="302"/>
      <c r="BI2" s="302">
        <v>9.42</v>
      </c>
      <c r="BJ2" s="302"/>
      <c r="BK2" s="302"/>
      <c r="BL2" s="302"/>
      <c r="BM2" s="302"/>
      <c r="BN2" s="385"/>
    </row>
    <row r="3" spans="1:76" s="298" customFormat="1" x14ac:dyDescent="0.2">
      <c r="A3" s="807" t="s">
        <v>156</v>
      </c>
      <c r="B3" s="807"/>
      <c r="C3" s="807"/>
      <c r="D3" s="585"/>
      <c r="E3" s="808" t="s">
        <v>950</v>
      </c>
      <c r="F3" s="808"/>
      <c r="G3" s="808"/>
      <c r="H3" s="808"/>
      <c r="I3" s="808"/>
      <c r="J3" s="808"/>
      <c r="K3" s="808"/>
      <c r="L3" s="808"/>
      <c r="M3" s="808"/>
      <c r="N3" s="808"/>
      <c r="O3" s="808"/>
      <c r="P3" s="808"/>
      <c r="Q3" s="808"/>
      <c r="R3" s="808"/>
      <c r="S3" s="808"/>
      <c r="T3" s="383"/>
      <c r="U3" s="383"/>
      <c r="V3" s="383"/>
      <c r="W3" s="383"/>
      <c r="X3" s="384"/>
      <c r="Y3" s="384"/>
      <c r="Z3" s="384"/>
      <c r="AA3" s="384"/>
      <c r="AB3" s="302" t="s">
        <v>286</v>
      </c>
      <c r="AC3" s="302">
        <v>48</v>
      </c>
      <c r="AD3" s="302"/>
      <c r="AE3" s="302">
        <v>23</v>
      </c>
      <c r="AF3" s="302"/>
      <c r="AG3" s="302">
        <v>80</v>
      </c>
      <c r="AH3" s="302"/>
      <c r="AI3" s="302">
        <v>105</v>
      </c>
      <c r="AJ3" s="302"/>
      <c r="AK3" s="302">
        <v>43</v>
      </c>
      <c r="AL3" s="302"/>
      <c r="AM3" s="302">
        <v>75</v>
      </c>
      <c r="AN3" s="302"/>
      <c r="AO3" s="302">
        <v>41</v>
      </c>
      <c r="AP3" s="302"/>
      <c r="AQ3" s="302">
        <v>101</v>
      </c>
      <c r="AR3" s="302"/>
      <c r="AS3" s="302">
        <v>8</v>
      </c>
      <c r="AT3" s="302"/>
      <c r="AU3" s="302">
        <v>33</v>
      </c>
      <c r="AV3" s="302"/>
      <c r="AW3" s="302">
        <v>53</v>
      </c>
      <c r="AX3" s="302"/>
      <c r="AY3" s="302">
        <v>52</v>
      </c>
      <c r="AZ3" s="302"/>
      <c r="BA3" s="302">
        <v>76</v>
      </c>
      <c r="BB3" s="302"/>
      <c r="BC3" s="302">
        <v>82</v>
      </c>
      <c r="BD3" s="302"/>
      <c r="BE3" s="302">
        <v>104</v>
      </c>
      <c r="BF3" s="302"/>
      <c r="BG3" s="302">
        <v>147</v>
      </c>
      <c r="BH3" s="302"/>
      <c r="BI3" s="302">
        <v>54</v>
      </c>
      <c r="BJ3" s="302"/>
      <c r="BK3" s="302"/>
      <c r="BL3" s="302"/>
      <c r="BM3" s="302"/>
      <c r="BN3" s="385"/>
    </row>
    <row r="4" spans="1:76" s="298" customFormat="1" ht="16.5" customHeight="1" x14ac:dyDescent="0.2">
      <c r="A4" s="807" t="s">
        <v>166</v>
      </c>
      <c r="B4" s="807"/>
      <c r="C4" s="807"/>
      <c r="D4" s="585"/>
      <c r="E4" s="808" t="s">
        <v>91</v>
      </c>
      <c r="F4" s="808"/>
      <c r="G4" s="808"/>
      <c r="H4" s="808"/>
      <c r="I4" s="808"/>
      <c r="J4" s="808"/>
      <c r="K4" s="808"/>
      <c r="L4" s="808"/>
      <c r="M4" s="808"/>
      <c r="N4" s="808"/>
      <c r="O4" s="808"/>
      <c r="P4" s="808"/>
      <c r="Q4" s="808"/>
      <c r="R4" s="808"/>
      <c r="S4" s="808"/>
      <c r="T4" s="383"/>
      <c r="U4" s="383"/>
      <c r="V4" s="383"/>
      <c r="W4" s="383"/>
      <c r="X4" s="384"/>
      <c r="Y4" s="384"/>
      <c r="Z4" s="384"/>
      <c r="AA4" s="384"/>
      <c r="AB4" s="302" t="s">
        <v>287</v>
      </c>
      <c r="AC4" s="303">
        <f>AC3/1125*100</f>
        <v>4.2666666666666666</v>
      </c>
      <c r="AD4" s="303">
        <f t="shared" ref="AD4:BI4" si="0">AD3/1125*100</f>
        <v>0</v>
      </c>
      <c r="AE4" s="303">
        <f t="shared" si="0"/>
        <v>2.0444444444444447</v>
      </c>
      <c r="AF4" s="303">
        <f t="shared" si="0"/>
        <v>0</v>
      </c>
      <c r="AG4" s="303">
        <f t="shared" si="0"/>
        <v>7.1111111111111107</v>
      </c>
      <c r="AH4" s="303">
        <f t="shared" si="0"/>
        <v>0</v>
      </c>
      <c r="AI4" s="303">
        <f t="shared" si="0"/>
        <v>9.3333333333333339</v>
      </c>
      <c r="AJ4" s="303">
        <f t="shared" si="0"/>
        <v>0</v>
      </c>
      <c r="AK4" s="303">
        <f t="shared" si="0"/>
        <v>3.822222222222222</v>
      </c>
      <c r="AL4" s="303">
        <f t="shared" si="0"/>
        <v>0</v>
      </c>
      <c r="AM4" s="303">
        <f t="shared" si="0"/>
        <v>6.666666666666667</v>
      </c>
      <c r="AN4" s="303">
        <f t="shared" si="0"/>
        <v>0</v>
      </c>
      <c r="AO4" s="303">
        <f t="shared" si="0"/>
        <v>3.6444444444444448</v>
      </c>
      <c r="AP4" s="303">
        <f t="shared" si="0"/>
        <v>0</v>
      </c>
      <c r="AQ4" s="303">
        <f t="shared" si="0"/>
        <v>8.9777777777777779</v>
      </c>
      <c r="AR4" s="303">
        <f t="shared" si="0"/>
        <v>0</v>
      </c>
      <c r="AS4" s="303">
        <f t="shared" si="0"/>
        <v>0.71111111111111114</v>
      </c>
      <c r="AT4" s="303">
        <f t="shared" si="0"/>
        <v>0</v>
      </c>
      <c r="AU4" s="303">
        <f t="shared" si="0"/>
        <v>2.9333333333333331</v>
      </c>
      <c r="AV4" s="303">
        <f t="shared" si="0"/>
        <v>0</v>
      </c>
      <c r="AW4" s="303">
        <f t="shared" si="0"/>
        <v>4.7111111111111112</v>
      </c>
      <c r="AX4" s="303">
        <f t="shared" si="0"/>
        <v>0</v>
      </c>
      <c r="AY4" s="303">
        <f t="shared" si="0"/>
        <v>4.6222222222222218</v>
      </c>
      <c r="AZ4" s="303">
        <f t="shared" si="0"/>
        <v>0</v>
      </c>
      <c r="BA4" s="303">
        <f t="shared" si="0"/>
        <v>6.7555555555555546</v>
      </c>
      <c r="BB4" s="303">
        <f t="shared" si="0"/>
        <v>0</v>
      </c>
      <c r="BC4" s="303">
        <f t="shared" si="0"/>
        <v>7.2888888888888896</v>
      </c>
      <c r="BD4" s="303">
        <f t="shared" si="0"/>
        <v>0</v>
      </c>
      <c r="BE4" s="303">
        <f t="shared" si="0"/>
        <v>9.2444444444444436</v>
      </c>
      <c r="BF4" s="303">
        <f t="shared" si="0"/>
        <v>0</v>
      </c>
      <c r="BG4" s="303">
        <f t="shared" si="0"/>
        <v>13.066666666666665</v>
      </c>
      <c r="BH4" s="303">
        <f t="shared" si="0"/>
        <v>0</v>
      </c>
      <c r="BI4" s="303">
        <f t="shared" si="0"/>
        <v>4.8</v>
      </c>
      <c r="BJ4" s="302"/>
      <c r="BK4" s="302"/>
      <c r="BL4" s="302"/>
      <c r="BM4" s="302"/>
      <c r="BN4" s="385"/>
    </row>
    <row r="5" spans="1:76" s="298" customFormat="1" hidden="1" x14ac:dyDescent="0.2">
      <c r="A5" s="807" t="s">
        <v>167</v>
      </c>
      <c r="B5" s="807"/>
      <c r="C5" s="807"/>
      <c r="D5" s="585"/>
      <c r="E5" s="808" t="s">
        <v>168</v>
      </c>
      <c r="F5" s="808"/>
      <c r="G5" s="808"/>
      <c r="H5" s="808"/>
      <c r="I5" s="808"/>
      <c r="J5" s="808"/>
      <c r="K5" s="808"/>
      <c r="L5" s="808"/>
      <c r="M5" s="808"/>
      <c r="N5" s="808"/>
      <c r="O5" s="808"/>
      <c r="P5" s="808"/>
      <c r="Q5" s="808"/>
      <c r="R5" s="808"/>
      <c r="S5" s="808"/>
      <c r="T5" s="383"/>
      <c r="U5" s="383"/>
      <c r="V5" s="383"/>
      <c r="W5" s="383"/>
      <c r="X5" s="384"/>
      <c r="Y5" s="384"/>
      <c r="Z5" s="384"/>
      <c r="AA5" s="384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85"/>
    </row>
    <row r="6" spans="1:76" ht="16.5" hidden="1" customHeight="1" x14ac:dyDescent="0.25">
      <c r="A6" s="835"/>
      <c r="B6" s="836"/>
      <c r="C6" s="836"/>
      <c r="D6" s="836"/>
      <c r="E6" s="836"/>
      <c r="F6" s="837"/>
      <c r="G6" s="386"/>
      <c r="H6" s="838" t="s">
        <v>21</v>
      </c>
      <c r="I6" s="839"/>
      <c r="J6" s="812" t="s">
        <v>152</v>
      </c>
      <c r="K6" s="813"/>
      <c r="L6" s="813"/>
      <c r="M6" s="813"/>
      <c r="N6" s="813"/>
      <c r="O6" s="813"/>
      <c r="P6" s="813"/>
      <c r="Q6" s="813"/>
      <c r="R6" s="813"/>
      <c r="S6" s="814"/>
      <c r="T6" s="820" t="s">
        <v>60</v>
      </c>
      <c r="U6" s="821"/>
      <c r="V6" s="821"/>
      <c r="W6" s="822"/>
      <c r="X6" s="826" t="s">
        <v>6</v>
      </c>
      <c r="Y6" s="827"/>
      <c r="Z6" s="827"/>
      <c r="AA6" s="828"/>
      <c r="AB6" s="788" t="s">
        <v>180</v>
      </c>
      <c r="AC6" s="788"/>
      <c r="AD6" s="788" t="s">
        <v>181</v>
      </c>
      <c r="AE6" s="788"/>
      <c r="AF6" s="788" t="s">
        <v>182</v>
      </c>
      <c r="AG6" s="788"/>
      <c r="AH6" s="788" t="s">
        <v>183</v>
      </c>
      <c r="AI6" s="788"/>
      <c r="AJ6" s="788" t="s">
        <v>184</v>
      </c>
      <c r="AK6" s="788"/>
      <c r="AL6" s="788" t="s">
        <v>185</v>
      </c>
      <c r="AM6" s="788"/>
      <c r="AN6" s="788" t="s">
        <v>186</v>
      </c>
      <c r="AO6" s="788"/>
      <c r="AP6" s="788" t="s">
        <v>187</v>
      </c>
      <c r="AQ6" s="788"/>
      <c r="AR6" s="788" t="s">
        <v>188</v>
      </c>
      <c r="AS6" s="788"/>
      <c r="AT6" s="788" t="s">
        <v>189</v>
      </c>
      <c r="AU6" s="788"/>
      <c r="AV6" s="788" t="s">
        <v>190</v>
      </c>
      <c r="AW6" s="788"/>
      <c r="AX6" s="788" t="s">
        <v>191</v>
      </c>
      <c r="AY6" s="788"/>
      <c r="AZ6" s="788" t="s">
        <v>192</v>
      </c>
      <c r="BA6" s="788"/>
      <c r="BB6" s="788" t="s">
        <v>193</v>
      </c>
      <c r="BC6" s="788"/>
      <c r="BD6" s="788" t="s">
        <v>194</v>
      </c>
      <c r="BE6" s="788"/>
      <c r="BF6" s="788" t="s">
        <v>195</v>
      </c>
      <c r="BG6" s="788"/>
      <c r="BH6" s="788" t="s">
        <v>196</v>
      </c>
      <c r="BI6" s="788"/>
      <c r="BJ6" s="788" t="s">
        <v>197</v>
      </c>
      <c r="BK6" s="788"/>
      <c r="BL6" s="788" t="s">
        <v>17</v>
      </c>
      <c r="BM6" s="788"/>
      <c r="BN6" s="785" t="s">
        <v>230</v>
      </c>
    </row>
    <row r="7" spans="1:76" ht="26.25" customHeight="1" x14ac:dyDescent="0.2">
      <c r="A7" s="387" t="s">
        <v>13</v>
      </c>
      <c r="B7" s="387"/>
      <c r="C7" s="815" t="s">
        <v>56</v>
      </c>
      <c r="D7" s="587"/>
      <c r="E7" s="815" t="s">
        <v>12</v>
      </c>
      <c r="F7" s="815" t="s">
        <v>14</v>
      </c>
      <c r="G7" s="793" t="s">
        <v>33</v>
      </c>
      <c r="H7" s="793" t="s">
        <v>42</v>
      </c>
      <c r="I7" s="833" t="s">
        <v>15</v>
      </c>
      <c r="J7" s="305" t="s">
        <v>200</v>
      </c>
      <c r="K7" s="305" t="s">
        <v>201</v>
      </c>
      <c r="L7" s="305" t="s">
        <v>202</v>
      </c>
      <c r="M7" s="305" t="s">
        <v>203</v>
      </c>
      <c r="N7" s="305" t="s">
        <v>204</v>
      </c>
      <c r="O7" s="305" t="s">
        <v>205</v>
      </c>
      <c r="P7" s="305" t="s">
        <v>919</v>
      </c>
      <c r="Q7" s="305" t="s">
        <v>206</v>
      </c>
      <c r="R7" s="305" t="s">
        <v>207</v>
      </c>
      <c r="S7" s="305" t="s">
        <v>768</v>
      </c>
      <c r="T7" s="823"/>
      <c r="U7" s="824"/>
      <c r="V7" s="824"/>
      <c r="W7" s="825"/>
      <c r="X7" s="829"/>
      <c r="Y7" s="830"/>
      <c r="Z7" s="830"/>
      <c r="AA7" s="831"/>
      <c r="AB7" s="788"/>
      <c r="AC7" s="788"/>
      <c r="AD7" s="788" t="s">
        <v>43</v>
      </c>
      <c r="AE7" s="788"/>
      <c r="AF7" s="788" t="s">
        <v>44</v>
      </c>
      <c r="AG7" s="788"/>
      <c r="AH7" s="788" t="s">
        <v>45</v>
      </c>
      <c r="AI7" s="788"/>
      <c r="AJ7" s="788" t="s">
        <v>46</v>
      </c>
      <c r="AK7" s="788"/>
      <c r="AL7" s="788" t="s">
        <v>47</v>
      </c>
      <c r="AM7" s="788"/>
      <c r="AN7" s="788" t="s">
        <v>48</v>
      </c>
      <c r="AO7" s="788"/>
      <c r="AP7" s="788" t="s">
        <v>49</v>
      </c>
      <c r="AQ7" s="788"/>
      <c r="AR7" s="788" t="s">
        <v>50</v>
      </c>
      <c r="AS7" s="788"/>
      <c r="AT7" s="788" t="s">
        <v>51</v>
      </c>
      <c r="AU7" s="788"/>
      <c r="AV7" s="788" t="s">
        <v>52</v>
      </c>
      <c r="AW7" s="788"/>
      <c r="AX7" s="788" t="s">
        <v>53</v>
      </c>
      <c r="AY7" s="788"/>
      <c r="AZ7" s="788" t="s">
        <v>54</v>
      </c>
      <c r="BA7" s="788"/>
      <c r="BB7" s="788" t="s">
        <v>55</v>
      </c>
      <c r="BC7" s="788"/>
      <c r="BD7" s="788" t="s">
        <v>40</v>
      </c>
      <c r="BE7" s="788"/>
      <c r="BF7" s="788" t="s">
        <v>37</v>
      </c>
      <c r="BG7" s="788"/>
      <c r="BH7" s="788"/>
      <c r="BI7" s="788"/>
      <c r="BJ7" s="788"/>
      <c r="BK7" s="788"/>
      <c r="BL7" s="788"/>
      <c r="BM7" s="788"/>
      <c r="BN7" s="785"/>
      <c r="BP7" s="792" t="s">
        <v>228</v>
      </c>
      <c r="BQ7" s="792"/>
      <c r="BR7" s="792"/>
      <c r="BS7" s="792"/>
      <c r="BT7" s="792"/>
      <c r="BU7" s="792" t="s">
        <v>229</v>
      </c>
      <c r="BV7" s="792"/>
      <c r="BW7" s="792"/>
      <c r="BX7" s="785" t="s">
        <v>17</v>
      </c>
    </row>
    <row r="8" spans="1:76" ht="40.5" customHeight="1" x14ac:dyDescent="0.2">
      <c r="A8" s="388"/>
      <c r="B8" s="388"/>
      <c r="C8" s="819"/>
      <c r="D8" s="815" t="s">
        <v>56</v>
      </c>
      <c r="E8" s="816"/>
      <c r="F8" s="816"/>
      <c r="G8" s="832"/>
      <c r="H8" s="832"/>
      <c r="I8" s="834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90" t="s">
        <v>7</v>
      </c>
      <c r="U8" s="390" t="s">
        <v>8</v>
      </c>
      <c r="V8" s="390" t="s">
        <v>9</v>
      </c>
      <c r="W8" s="390" t="s">
        <v>10</v>
      </c>
      <c r="X8" s="391" t="s">
        <v>7</v>
      </c>
      <c r="Y8" s="391" t="s">
        <v>8</v>
      </c>
      <c r="Z8" s="391" t="s">
        <v>9</v>
      </c>
      <c r="AA8" s="391" t="s">
        <v>10</v>
      </c>
      <c r="AB8" s="392" t="s">
        <v>14</v>
      </c>
      <c r="AC8" s="393" t="s">
        <v>15</v>
      </c>
      <c r="AD8" s="393" t="s">
        <v>14</v>
      </c>
      <c r="AE8" s="393" t="s">
        <v>15</v>
      </c>
      <c r="AF8" s="393" t="s">
        <v>14</v>
      </c>
      <c r="AG8" s="393" t="s">
        <v>15</v>
      </c>
      <c r="AH8" s="393" t="s">
        <v>14</v>
      </c>
      <c r="AI8" s="393" t="s">
        <v>15</v>
      </c>
      <c r="AJ8" s="393" t="s">
        <v>14</v>
      </c>
      <c r="AK8" s="393" t="s">
        <v>15</v>
      </c>
      <c r="AL8" s="393" t="s">
        <v>14</v>
      </c>
      <c r="AM8" s="393" t="s">
        <v>15</v>
      </c>
      <c r="AN8" s="393" t="s">
        <v>14</v>
      </c>
      <c r="AO8" s="393" t="s">
        <v>15</v>
      </c>
      <c r="AP8" s="393" t="s">
        <v>14</v>
      </c>
      <c r="AQ8" s="393" t="s">
        <v>15</v>
      </c>
      <c r="AR8" s="393" t="s">
        <v>14</v>
      </c>
      <c r="AS8" s="393" t="s">
        <v>15</v>
      </c>
      <c r="AT8" s="393" t="s">
        <v>14</v>
      </c>
      <c r="AU8" s="393" t="s">
        <v>15</v>
      </c>
      <c r="AV8" s="393" t="s">
        <v>14</v>
      </c>
      <c r="AW8" s="393" t="s">
        <v>15</v>
      </c>
      <c r="AX8" s="393" t="s">
        <v>14</v>
      </c>
      <c r="AY8" s="393" t="s">
        <v>15</v>
      </c>
      <c r="AZ8" s="393" t="s">
        <v>14</v>
      </c>
      <c r="BA8" s="393" t="s">
        <v>15</v>
      </c>
      <c r="BB8" s="393" t="s">
        <v>14</v>
      </c>
      <c r="BC8" s="393" t="s">
        <v>15</v>
      </c>
      <c r="BD8" s="393" t="s">
        <v>14</v>
      </c>
      <c r="BE8" s="393" t="s">
        <v>15</v>
      </c>
      <c r="BF8" s="393" t="s">
        <v>14</v>
      </c>
      <c r="BG8" s="393" t="s">
        <v>15</v>
      </c>
      <c r="BH8" s="393" t="s">
        <v>14</v>
      </c>
      <c r="BI8" s="393" t="s">
        <v>15</v>
      </c>
      <c r="BJ8" s="393" t="s">
        <v>36</v>
      </c>
      <c r="BK8" s="393" t="s">
        <v>15</v>
      </c>
      <c r="BL8" s="393" t="s">
        <v>14</v>
      </c>
      <c r="BM8" s="393" t="s">
        <v>15</v>
      </c>
      <c r="BN8" s="818"/>
      <c r="BP8" s="313" t="s">
        <v>219</v>
      </c>
      <c r="BQ8" s="314" t="s">
        <v>220</v>
      </c>
      <c r="BR8" s="314" t="s">
        <v>221</v>
      </c>
      <c r="BS8" s="569" t="s">
        <v>222</v>
      </c>
      <c r="BT8" s="314" t="s">
        <v>223</v>
      </c>
      <c r="BU8" s="314" t="s">
        <v>224</v>
      </c>
      <c r="BV8" s="314" t="s">
        <v>225</v>
      </c>
      <c r="BW8" s="314" t="s">
        <v>226</v>
      </c>
      <c r="BX8" s="785"/>
    </row>
    <row r="9" spans="1:76" hidden="1" x14ac:dyDescent="0.2">
      <c r="A9" s="815" t="s">
        <v>91</v>
      </c>
      <c r="B9" s="573"/>
      <c r="C9" s="313">
        <v>31000</v>
      </c>
      <c r="D9" s="819"/>
      <c r="E9" s="316" t="s">
        <v>316</v>
      </c>
      <c r="F9" s="317"/>
      <c r="G9" s="336"/>
      <c r="H9" s="294"/>
      <c r="I9" s="394"/>
      <c r="J9" s="394"/>
      <c r="K9" s="394"/>
      <c r="L9" s="394"/>
      <c r="M9" s="394"/>
      <c r="N9" s="394"/>
      <c r="O9" s="394"/>
      <c r="P9" s="394"/>
      <c r="Q9" s="395"/>
      <c r="R9" s="395"/>
      <c r="S9" s="395"/>
      <c r="T9" s="396"/>
      <c r="U9" s="396"/>
      <c r="V9" s="397"/>
      <c r="W9" s="397"/>
      <c r="X9" s="398"/>
      <c r="Y9" s="398"/>
      <c r="Z9" s="398"/>
      <c r="AA9" s="398"/>
      <c r="AB9" s="399"/>
      <c r="AC9" s="399"/>
      <c r="AD9" s="399"/>
      <c r="AE9" s="399"/>
      <c r="AF9" s="399"/>
      <c r="AG9" s="399"/>
      <c r="AH9" s="399"/>
      <c r="AI9" s="399"/>
      <c r="AJ9" s="399"/>
      <c r="AK9" s="399"/>
      <c r="AL9" s="399"/>
      <c r="AM9" s="399"/>
      <c r="AN9" s="399"/>
      <c r="AO9" s="399"/>
      <c r="AP9" s="399"/>
      <c r="AQ9" s="399"/>
      <c r="AR9" s="399"/>
      <c r="AS9" s="399"/>
      <c r="AT9" s="399"/>
      <c r="AU9" s="399"/>
      <c r="AV9" s="399"/>
      <c r="AW9" s="399"/>
      <c r="AX9" s="399"/>
      <c r="AY9" s="399"/>
      <c r="AZ9" s="399"/>
      <c r="BA9" s="399"/>
      <c r="BB9" s="399"/>
      <c r="BC9" s="399"/>
      <c r="BD9" s="399"/>
      <c r="BE9" s="399"/>
      <c r="BF9" s="399"/>
      <c r="BG9" s="399"/>
      <c r="BH9" s="399"/>
      <c r="BI9" s="399"/>
      <c r="BJ9" s="399"/>
      <c r="BK9" s="399"/>
      <c r="BL9" s="399"/>
      <c r="BM9" s="399"/>
      <c r="BN9" s="317"/>
      <c r="BP9" s="321"/>
      <c r="BQ9" s="321"/>
      <c r="BR9" s="321"/>
      <c r="BS9" s="321"/>
      <c r="BT9" s="321"/>
      <c r="BU9" s="321"/>
      <c r="BV9" s="321"/>
      <c r="BW9" s="321"/>
      <c r="BX9" s="318"/>
    </row>
    <row r="10" spans="1:76" hidden="1" x14ac:dyDescent="0.2">
      <c r="A10" s="816"/>
      <c r="B10" s="574"/>
      <c r="C10" s="314">
        <v>31100</v>
      </c>
      <c r="D10" s="314"/>
      <c r="E10" s="316" t="s">
        <v>400</v>
      </c>
      <c r="F10" s="317"/>
      <c r="G10" s="336"/>
      <c r="H10" s="294"/>
      <c r="I10" s="394"/>
      <c r="J10" s="394"/>
      <c r="K10" s="394"/>
      <c r="L10" s="394"/>
      <c r="M10" s="394"/>
      <c r="N10" s="394"/>
      <c r="O10" s="394"/>
      <c r="P10" s="394"/>
      <c r="Q10" s="400"/>
      <c r="R10" s="400"/>
      <c r="S10" s="400"/>
      <c r="T10" s="397"/>
      <c r="U10" s="397"/>
      <c r="V10" s="397"/>
      <c r="W10" s="397"/>
      <c r="X10" s="398"/>
      <c r="Y10" s="398"/>
      <c r="Z10" s="398"/>
      <c r="AA10" s="398"/>
      <c r="AB10" s="373"/>
      <c r="AC10" s="373"/>
      <c r="AD10" s="373"/>
      <c r="AE10" s="373"/>
      <c r="AF10" s="373"/>
      <c r="AG10" s="373"/>
      <c r="AH10" s="373"/>
      <c r="AI10" s="373"/>
      <c r="AJ10" s="373"/>
      <c r="AK10" s="373"/>
      <c r="AL10" s="373"/>
      <c r="AM10" s="373"/>
      <c r="AN10" s="373"/>
      <c r="AO10" s="373"/>
      <c r="AP10" s="373"/>
      <c r="AQ10" s="373"/>
      <c r="AR10" s="373"/>
      <c r="AS10" s="373"/>
      <c r="AT10" s="373"/>
      <c r="AU10" s="373"/>
      <c r="AV10" s="373"/>
      <c r="AW10" s="373"/>
      <c r="AX10" s="373"/>
      <c r="AY10" s="373"/>
      <c r="AZ10" s="373"/>
      <c r="BA10" s="373"/>
      <c r="BB10" s="373"/>
      <c r="BC10" s="373"/>
      <c r="BD10" s="373"/>
      <c r="BE10" s="373"/>
      <c r="BF10" s="373"/>
      <c r="BG10" s="373"/>
      <c r="BH10" s="373"/>
      <c r="BI10" s="373"/>
      <c r="BJ10" s="373"/>
      <c r="BK10" s="373"/>
      <c r="BL10" s="373"/>
      <c r="BM10" s="373"/>
      <c r="BN10" s="317"/>
      <c r="BP10" s="321"/>
      <c r="BQ10" s="321"/>
      <c r="BR10" s="321"/>
      <c r="BS10" s="321"/>
      <c r="BT10" s="321"/>
      <c r="BU10" s="321"/>
      <c r="BV10" s="321"/>
      <c r="BW10" s="321"/>
      <c r="BX10" s="318"/>
    </row>
    <row r="11" spans="1:76" hidden="1" x14ac:dyDescent="0.2">
      <c r="A11" s="816"/>
      <c r="B11" s="574"/>
      <c r="C11" s="314"/>
      <c r="D11" s="314"/>
      <c r="E11" s="342" t="s">
        <v>572</v>
      </c>
      <c r="F11" s="317" t="s">
        <v>93</v>
      </c>
      <c r="G11" s="401">
        <v>500000</v>
      </c>
      <c r="H11" s="294">
        <f>BL11</f>
        <v>17</v>
      </c>
      <c r="I11" s="394">
        <f>H11*G11</f>
        <v>8500000</v>
      </c>
      <c r="J11" s="394"/>
      <c r="K11" s="394"/>
      <c r="L11" s="394"/>
      <c r="M11" s="394"/>
      <c r="N11" s="402">
        <f>I11</f>
        <v>8500000</v>
      </c>
      <c r="O11" s="394"/>
      <c r="P11" s="394"/>
      <c r="Q11" s="394"/>
      <c r="R11" s="394"/>
      <c r="S11" s="394"/>
      <c r="T11" s="397">
        <f>H11*0.25</f>
        <v>4.25</v>
      </c>
      <c r="U11" s="397">
        <f>H11*0.25</f>
        <v>4.25</v>
      </c>
      <c r="V11" s="397">
        <f>H11*0.25</f>
        <v>4.25</v>
      </c>
      <c r="W11" s="397">
        <f>H11*0.25</f>
        <v>4.25</v>
      </c>
      <c r="X11" s="394">
        <f>T11*I11</f>
        <v>36125000</v>
      </c>
      <c r="Y11" s="394">
        <f>U11*I11</f>
        <v>36125000</v>
      </c>
      <c r="Z11" s="394">
        <f>V11*I11</f>
        <v>36125000</v>
      </c>
      <c r="AA11" s="394">
        <f>W11*I11</f>
        <v>36125000</v>
      </c>
      <c r="AB11" s="373">
        <v>1</v>
      </c>
      <c r="AC11" s="295">
        <f>AB11*G11</f>
        <v>500000</v>
      </c>
      <c r="AD11" s="373">
        <v>1</v>
      </c>
      <c r="AE11" s="295">
        <f>AD11*G11</f>
        <v>500000</v>
      </c>
      <c r="AF11" s="373">
        <v>1</v>
      </c>
      <c r="AG11" s="295">
        <f>AF11*G11</f>
        <v>500000</v>
      </c>
      <c r="AH11" s="373">
        <v>1</v>
      </c>
      <c r="AI11" s="295">
        <f>AH11*G11</f>
        <v>500000</v>
      </c>
      <c r="AJ11" s="373">
        <v>1</v>
      </c>
      <c r="AK11" s="295">
        <f>AJ11*G11</f>
        <v>500000</v>
      </c>
      <c r="AL11" s="373">
        <v>1</v>
      </c>
      <c r="AM11" s="295">
        <f>AL11*G11</f>
        <v>500000</v>
      </c>
      <c r="AN11" s="373">
        <v>1</v>
      </c>
      <c r="AO11" s="295">
        <f>AN11*G11</f>
        <v>500000</v>
      </c>
      <c r="AP11" s="373">
        <v>1</v>
      </c>
      <c r="AQ11" s="295">
        <f>AP11*G11</f>
        <v>500000</v>
      </c>
      <c r="AR11" s="373">
        <v>1</v>
      </c>
      <c r="AS11" s="295">
        <f>AR11*G11</f>
        <v>500000</v>
      </c>
      <c r="AT11" s="373">
        <v>1</v>
      </c>
      <c r="AU11" s="295">
        <f>AT11*G11</f>
        <v>500000</v>
      </c>
      <c r="AV11" s="373">
        <v>1</v>
      </c>
      <c r="AW11" s="295">
        <f>AV11*G11</f>
        <v>500000</v>
      </c>
      <c r="AX11" s="373">
        <v>1</v>
      </c>
      <c r="AY11" s="295">
        <f>AX11*G11</f>
        <v>500000</v>
      </c>
      <c r="AZ11" s="373">
        <v>1</v>
      </c>
      <c r="BA11" s="295">
        <f>AZ11*G11</f>
        <v>500000</v>
      </c>
      <c r="BB11" s="373">
        <v>1</v>
      </c>
      <c r="BC11" s="295">
        <f>BB11*G11</f>
        <v>500000</v>
      </c>
      <c r="BD11" s="373">
        <v>1</v>
      </c>
      <c r="BE11" s="295">
        <f>BD11*G11</f>
        <v>500000</v>
      </c>
      <c r="BF11" s="373">
        <v>1</v>
      </c>
      <c r="BG11" s="295">
        <f>BF11*G11</f>
        <v>500000</v>
      </c>
      <c r="BH11" s="373">
        <v>1</v>
      </c>
      <c r="BI11" s="295">
        <f>BH11*G11</f>
        <v>500000</v>
      </c>
      <c r="BJ11" s="373"/>
      <c r="BK11" s="295">
        <f>BJ11*G11</f>
        <v>0</v>
      </c>
      <c r="BL11" s="373">
        <f t="shared" ref="BL11:BM14" si="1">AB11+AD11+AF11+AH11+AJ11+AL11+AN11+AP11+AR11+AT11+AV11+AX11+AZ11+BB11+BD11+BF11+BH11+BJ11</f>
        <v>17</v>
      </c>
      <c r="BM11" s="373">
        <f t="shared" si="1"/>
        <v>8500000</v>
      </c>
      <c r="BN11" s="317" t="s">
        <v>291</v>
      </c>
      <c r="BP11" s="321">
        <f>BM11</f>
        <v>8500000</v>
      </c>
      <c r="BQ11" s="321"/>
      <c r="BR11" s="321"/>
      <c r="BS11" s="321"/>
      <c r="BT11" s="321">
        <f>BP11+BQ11+BR11+BS11</f>
        <v>8500000</v>
      </c>
      <c r="BU11" s="321"/>
      <c r="BV11" s="321"/>
      <c r="BW11" s="321">
        <f>BU11+BV11</f>
        <v>0</v>
      </c>
      <c r="BX11" s="322">
        <f>BT11+BW11</f>
        <v>8500000</v>
      </c>
    </row>
    <row r="12" spans="1:76" hidden="1" x14ac:dyDescent="0.2">
      <c r="A12" s="816"/>
      <c r="B12" s="574"/>
      <c r="C12" s="403"/>
      <c r="D12" s="403"/>
      <c r="E12" s="342" t="s">
        <v>92</v>
      </c>
      <c r="F12" s="317" t="s">
        <v>93</v>
      </c>
      <c r="G12" s="336" t="s">
        <v>398</v>
      </c>
      <c r="H12" s="294">
        <f>BL12</f>
        <v>0</v>
      </c>
      <c r="I12" s="394">
        <f>H12*G12</f>
        <v>0</v>
      </c>
      <c r="J12" s="394"/>
      <c r="K12" s="394"/>
      <c r="L12" s="394"/>
      <c r="M12" s="394"/>
      <c r="N12" s="402"/>
      <c r="O12" s="394"/>
      <c r="P12" s="394"/>
      <c r="Q12" s="394"/>
      <c r="R12" s="394"/>
      <c r="S12" s="394">
        <f>I12</f>
        <v>0</v>
      </c>
      <c r="T12" s="397">
        <f>H12*0.25</f>
        <v>0</v>
      </c>
      <c r="U12" s="397">
        <f>H12*0.25</f>
        <v>0</v>
      </c>
      <c r="V12" s="397">
        <f>H12*0.25</f>
        <v>0</v>
      </c>
      <c r="W12" s="397">
        <f>H12*0.25</f>
        <v>0</v>
      </c>
      <c r="X12" s="394">
        <f>T12*I12</f>
        <v>0</v>
      </c>
      <c r="Y12" s="394">
        <f>U12*I12</f>
        <v>0</v>
      </c>
      <c r="Z12" s="394">
        <f>V12*I12</f>
        <v>0</v>
      </c>
      <c r="AA12" s="394">
        <f>W12*I12</f>
        <v>0</v>
      </c>
      <c r="AB12" s="373">
        <v>0</v>
      </c>
      <c r="AC12" s="295">
        <f t="shared" ref="AC12:AC51" si="2">AB12*G12</f>
        <v>0</v>
      </c>
      <c r="AD12" s="373">
        <v>0</v>
      </c>
      <c r="AE12" s="295">
        <f t="shared" ref="AE12:AE51" si="3">AD12*G12</f>
        <v>0</v>
      </c>
      <c r="AF12" s="373">
        <v>0</v>
      </c>
      <c r="AG12" s="295">
        <f t="shared" ref="AG12:AG51" si="4">AF12*G12</f>
        <v>0</v>
      </c>
      <c r="AH12" s="373">
        <v>0</v>
      </c>
      <c r="AI12" s="295">
        <f t="shared" ref="AI12:AI51" si="5">AH12*G12</f>
        <v>0</v>
      </c>
      <c r="AJ12" s="373">
        <v>0</v>
      </c>
      <c r="AK12" s="295">
        <f t="shared" ref="AK12:AK51" si="6">AJ12*G12</f>
        <v>0</v>
      </c>
      <c r="AL12" s="373">
        <v>0</v>
      </c>
      <c r="AM12" s="295">
        <f t="shared" ref="AM12:AM51" si="7">AL12*G12</f>
        <v>0</v>
      </c>
      <c r="AN12" s="373">
        <v>0</v>
      </c>
      <c r="AO12" s="295">
        <f t="shared" ref="AO12:AO51" si="8">AN12*G12</f>
        <v>0</v>
      </c>
      <c r="AP12" s="373">
        <v>0</v>
      </c>
      <c r="AQ12" s="295">
        <f t="shared" ref="AQ12:AQ51" si="9">AP12*G12</f>
        <v>0</v>
      </c>
      <c r="AR12" s="373">
        <v>0</v>
      </c>
      <c r="AS12" s="295">
        <f t="shared" ref="AS12:AS51" si="10">AR12*G12</f>
        <v>0</v>
      </c>
      <c r="AT12" s="373">
        <v>0</v>
      </c>
      <c r="AU12" s="295">
        <f t="shared" ref="AU12:AU51" si="11">AT12*G12</f>
        <v>0</v>
      </c>
      <c r="AV12" s="373">
        <v>0</v>
      </c>
      <c r="AW12" s="295">
        <f t="shared" ref="AW12:AW51" si="12">AV12*G12</f>
        <v>0</v>
      </c>
      <c r="AX12" s="373">
        <v>0</v>
      </c>
      <c r="AY12" s="295">
        <f t="shared" ref="AY12:AY51" si="13">AX12*G12</f>
        <v>0</v>
      </c>
      <c r="AZ12" s="373">
        <v>0</v>
      </c>
      <c r="BA12" s="295">
        <f t="shared" ref="BA12:BA51" si="14">AZ12*G12</f>
        <v>0</v>
      </c>
      <c r="BB12" s="373">
        <v>0</v>
      </c>
      <c r="BC12" s="295">
        <f t="shared" ref="BC12:BC51" si="15">BB12*G12</f>
        <v>0</v>
      </c>
      <c r="BD12" s="373">
        <v>0</v>
      </c>
      <c r="BE12" s="295">
        <f t="shared" ref="BE12:BE51" si="16">BD12*G12</f>
        <v>0</v>
      </c>
      <c r="BF12" s="373">
        <v>0</v>
      </c>
      <c r="BG12" s="295">
        <f t="shared" ref="BG12:BG51" si="17">BF12*G12</f>
        <v>0</v>
      </c>
      <c r="BH12" s="373">
        <v>0</v>
      </c>
      <c r="BI12" s="295">
        <f>BH12*G12</f>
        <v>0</v>
      </c>
      <c r="BJ12" s="373"/>
      <c r="BK12" s="295">
        <f>BJ12*G12</f>
        <v>0</v>
      </c>
      <c r="BL12" s="373">
        <f t="shared" si="1"/>
        <v>0</v>
      </c>
      <c r="BM12" s="295">
        <f t="shared" si="1"/>
        <v>0</v>
      </c>
      <c r="BN12" s="317" t="s">
        <v>573</v>
      </c>
      <c r="BP12" s="321">
        <f>BM12</f>
        <v>0</v>
      </c>
      <c r="BQ12" s="321"/>
      <c r="BR12" s="321"/>
      <c r="BS12" s="321"/>
      <c r="BT12" s="321">
        <f t="shared" ref="BT12:BT27" si="18">BP12+BQ12+BR12+BS12</f>
        <v>0</v>
      </c>
      <c r="BU12" s="321"/>
      <c r="BV12" s="321"/>
      <c r="BW12" s="321">
        <f t="shared" ref="BW12:BW20" si="19">BU12+BV12</f>
        <v>0</v>
      </c>
      <c r="BX12" s="322">
        <f>BT12+BW12</f>
        <v>0</v>
      </c>
    </row>
    <row r="13" spans="1:76" hidden="1" x14ac:dyDescent="0.2">
      <c r="A13" s="816"/>
      <c r="B13" s="574"/>
      <c r="C13" s="403"/>
      <c r="D13" s="403"/>
      <c r="E13" s="342" t="s">
        <v>633</v>
      </c>
      <c r="F13" s="317" t="s">
        <v>634</v>
      </c>
      <c r="G13" s="336">
        <v>0</v>
      </c>
      <c r="H13" s="294">
        <f>BL13</f>
        <v>0</v>
      </c>
      <c r="I13" s="394">
        <f>H13*G13</f>
        <v>0</v>
      </c>
      <c r="J13" s="394"/>
      <c r="K13" s="394"/>
      <c r="L13" s="394"/>
      <c r="M13" s="394"/>
      <c r="N13" s="402">
        <f>I13</f>
        <v>0</v>
      </c>
      <c r="O13" s="394"/>
      <c r="P13" s="394"/>
      <c r="Q13" s="394"/>
      <c r="R13" s="394"/>
      <c r="S13" s="394"/>
      <c r="T13" s="397">
        <f>H13*0.25</f>
        <v>0</v>
      </c>
      <c r="U13" s="397">
        <f>H13*0.25</f>
        <v>0</v>
      </c>
      <c r="V13" s="397">
        <f>H13*0.25</f>
        <v>0</v>
      </c>
      <c r="W13" s="397">
        <f>H13*0.25</f>
        <v>0</v>
      </c>
      <c r="X13" s="394">
        <f>T13*I13</f>
        <v>0</v>
      </c>
      <c r="Y13" s="394">
        <f>U13*I13</f>
        <v>0</v>
      </c>
      <c r="Z13" s="394">
        <f>V13*I13</f>
        <v>0</v>
      </c>
      <c r="AA13" s="394">
        <f>W13*I13</f>
        <v>0</v>
      </c>
      <c r="AB13" s="373"/>
      <c r="AC13" s="295"/>
      <c r="AD13" s="373">
        <v>0</v>
      </c>
      <c r="AE13" s="295">
        <f t="shared" si="3"/>
        <v>0</v>
      </c>
      <c r="AF13" s="373">
        <v>0</v>
      </c>
      <c r="AG13" s="295"/>
      <c r="AH13" s="373">
        <v>0</v>
      </c>
      <c r="AI13" s="295"/>
      <c r="AJ13" s="373"/>
      <c r="AK13" s="295"/>
      <c r="AL13" s="373"/>
      <c r="AM13" s="295"/>
      <c r="AN13" s="373">
        <v>0</v>
      </c>
      <c r="AO13" s="295">
        <f t="shared" si="8"/>
        <v>0</v>
      </c>
      <c r="AP13" s="373"/>
      <c r="AQ13" s="295"/>
      <c r="AR13" s="373"/>
      <c r="AS13" s="295"/>
      <c r="AT13" s="373">
        <v>0</v>
      </c>
      <c r="AU13" s="295">
        <f t="shared" si="11"/>
        <v>0</v>
      </c>
      <c r="AV13" s="373"/>
      <c r="AW13" s="295"/>
      <c r="AX13" s="373">
        <v>0</v>
      </c>
      <c r="AY13" s="295">
        <f t="shared" si="13"/>
        <v>0</v>
      </c>
      <c r="AZ13" s="373"/>
      <c r="BA13" s="295"/>
      <c r="BB13" s="373">
        <v>0</v>
      </c>
      <c r="BC13" s="295"/>
      <c r="BD13" s="373"/>
      <c r="BE13" s="295"/>
      <c r="BF13" s="373"/>
      <c r="BG13" s="295"/>
      <c r="BH13" s="373"/>
      <c r="BI13" s="295"/>
      <c r="BJ13" s="373"/>
      <c r="BK13" s="295"/>
      <c r="BL13" s="373">
        <f t="shared" si="1"/>
        <v>0</v>
      </c>
      <c r="BM13" s="295">
        <f t="shared" si="1"/>
        <v>0</v>
      </c>
      <c r="BN13" s="317" t="s">
        <v>291</v>
      </c>
      <c r="BP13" s="321"/>
      <c r="BQ13" s="321"/>
      <c r="BR13" s="321"/>
      <c r="BS13" s="321"/>
      <c r="BT13" s="321"/>
      <c r="BU13" s="321"/>
      <c r="BV13" s="321"/>
      <c r="BW13" s="321"/>
      <c r="BX13" s="322"/>
    </row>
    <row r="14" spans="1:76" x14ac:dyDescent="0.2">
      <c r="A14" s="816"/>
      <c r="B14" s="574"/>
      <c r="C14" s="403"/>
      <c r="D14" s="586" t="s">
        <v>1032</v>
      </c>
      <c r="E14" s="342" t="s">
        <v>1000</v>
      </c>
      <c r="F14" s="317" t="s">
        <v>16</v>
      </c>
      <c r="G14" s="401">
        <v>1000000</v>
      </c>
      <c r="H14" s="294">
        <f>BL14</f>
        <v>1</v>
      </c>
      <c r="I14" s="394">
        <f>H14*G14</f>
        <v>1000000</v>
      </c>
      <c r="J14" s="522"/>
      <c r="K14" s="295">
        <f>I14*0.8</f>
        <v>800000</v>
      </c>
      <c r="L14" s="522"/>
      <c r="M14" s="522"/>
      <c r="N14" s="522"/>
      <c r="O14" s="522"/>
      <c r="P14" s="522"/>
      <c r="Q14" s="522"/>
      <c r="R14" s="295">
        <f>I14*0.2</f>
        <v>200000</v>
      </c>
      <c r="S14" s="522"/>
      <c r="T14" s="373">
        <f>H14*0.25</f>
        <v>0.25</v>
      </c>
      <c r="U14" s="374">
        <f>H14*0.25</f>
        <v>0.25</v>
      </c>
      <c r="V14" s="373">
        <f>H14*0.25</f>
        <v>0.25</v>
      </c>
      <c r="W14" s="373">
        <f>H14*0.25</f>
        <v>0.25</v>
      </c>
      <c r="X14" s="295">
        <f>T14*G14</f>
        <v>250000</v>
      </c>
      <c r="Y14" s="295">
        <f>U14*G14</f>
        <v>250000</v>
      </c>
      <c r="Z14" s="295">
        <f>V14*G14</f>
        <v>250000</v>
      </c>
      <c r="AA14" s="295">
        <f>W14*G14</f>
        <v>250000</v>
      </c>
      <c r="AB14" s="373">
        <v>0</v>
      </c>
      <c r="AC14" s="373">
        <f t="shared" si="2"/>
        <v>0</v>
      </c>
      <c r="AD14" s="373">
        <v>0</v>
      </c>
      <c r="AE14" s="373">
        <f t="shared" si="3"/>
        <v>0</v>
      </c>
      <c r="AF14" s="373">
        <v>0</v>
      </c>
      <c r="AG14" s="373">
        <f t="shared" si="4"/>
        <v>0</v>
      </c>
      <c r="AH14" s="373">
        <v>0</v>
      </c>
      <c r="AI14" s="373">
        <f t="shared" si="5"/>
        <v>0</v>
      </c>
      <c r="AJ14" s="373">
        <v>0</v>
      </c>
      <c r="AK14" s="373">
        <f t="shared" si="6"/>
        <v>0</v>
      </c>
      <c r="AL14" s="373">
        <v>0</v>
      </c>
      <c r="AM14" s="373">
        <f t="shared" si="7"/>
        <v>0</v>
      </c>
      <c r="AN14" s="373">
        <v>0</v>
      </c>
      <c r="AO14" s="373">
        <f t="shared" si="8"/>
        <v>0</v>
      </c>
      <c r="AP14" s="373">
        <v>0</v>
      </c>
      <c r="AQ14" s="373">
        <f t="shared" si="9"/>
        <v>0</v>
      </c>
      <c r="AR14" s="373">
        <v>0</v>
      </c>
      <c r="AS14" s="373">
        <f t="shared" si="10"/>
        <v>0</v>
      </c>
      <c r="AT14" s="373">
        <v>0</v>
      </c>
      <c r="AU14" s="373">
        <f t="shared" si="11"/>
        <v>0</v>
      </c>
      <c r="AV14" s="373">
        <v>0</v>
      </c>
      <c r="AW14" s="373">
        <f t="shared" si="12"/>
        <v>0</v>
      </c>
      <c r="AX14" s="373">
        <v>0</v>
      </c>
      <c r="AY14" s="373">
        <f t="shared" si="13"/>
        <v>0</v>
      </c>
      <c r="AZ14" s="373">
        <v>0</v>
      </c>
      <c r="BA14" s="373">
        <f t="shared" si="14"/>
        <v>0</v>
      </c>
      <c r="BB14" s="373">
        <v>0</v>
      </c>
      <c r="BC14" s="373">
        <f t="shared" si="15"/>
        <v>0</v>
      </c>
      <c r="BD14" s="373">
        <v>0</v>
      </c>
      <c r="BE14" s="373">
        <f t="shared" si="16"/>
        <v>0</v>
      </c>
      <c r="BF14" s="373">
        <v>0</v>
      </c>
      <c r="BG14" s="373">
        <f t="shared" si="17"/>
        <v>0</v>
      </c>
      <c r="BH14" s="373">
        <v>0</v>
      </c>
      <c r="BI14" s="373">
        <f>BH14*G14</f>
        <v>0</v>
      </c>
      <c r="BJ14" s="373">
        <v>1</v>
      </c>
      <c r="BK14" s="295">
        <f>BJ14*G14</f>
        <v>1000000</v>
      </c>
      <c r="BL14" s="373">
        <f t="shared" si="1"/>
        <v>1</v>
      </c>
      <c r="BM14" s="373">
        <f t="shared" si="1"/>
        <v>1000000</v>
      </c>
      <c r="BN14" s="317" t="s">
        <v>412</v>
      </c>
      <c r="BP14" s="321">
        <f>BM14</f>
        <v>1000000</v>
      </c>
      <c r="BQ14" s="321"/>
      <c r="BR14" s="321"/>
      <c r="BS14" s="321"/>
      <c r="BT14" s="321">
        <f t="shared" si="18"/>
        <v>1000000</v>
      </c>
      <c r="BU14" s="321"/>
      <c r="BV14" s="321"/>
      <c r="BW14" s="321">
        <f t="shared" si="19"/>
        <v>0</v>
      </c>
      <c r="BX14" s="322">
        <f>BT14+BW14</f>
        <v>1000000</v>
      </c>
    </row>
    <row r="15" spans="1:76" s="571" customFormat="1" hidden="1" x14ac:dyDescent="0.2">
      <c r="A15" s="816"/>
      <c r="B15" s="574"/>
      <c r="C15" s="404">
        <v>31200</v>
      </c>
      <c r="D15" s="404"/>
      <c r="E15" s="405" t="s">
        <v>401</v>
      </c>
      <c r="F15" s="405" t="s">
        <v>111</v>
      </c>
      <c r="G15" s="344"/>
      <c r="H15" s="312">
        <f>SUM(H11:H14)</f>
        <v>18</v>
      </c>
      <c r="I15" s="312">
        <f t="shared" ref="I15:BM15" si="20">SUM(I11:I14)</f>
        <v>9500000</v>
      </c>
      <c r="J15" s="312">
        <f t="shared" si="20"/>
        <v>0</v>
      </c>
      <c r="K15" s="312">
        <f t="shared" si="20"/>
        <v>800000</v>
      </c>
      <c r="L15" s="312">
        <f t="shared" si="20"/>
        <v>0</v>
      </c>
      <c r="M15" s="312">
        <f t="shared" si="20"/>
        <v>0</v>
      </c>
      <c r="N15" s="312">
        <f t="shared" si="20"/>
        <v>8500000</v>
      </c>
      <c r="O15" s="312">
        <f t="shared" si="20"/>
        <v>0</v>
      </c>
      <c r="P15" s="312">
        <f t="shared" si="20"/>
        <v>0</v>
      </c>
      <c r="Q15" s="312">
        <f t="shared" si="20"/>
        <v>0</v>
      </c>
      <c r="R15" s="312">
        <f t="shared" si="20"/>
        <v>200000</v>
      </c>
      <c r="S15" s="312">
        <f t="shared" si="20"/>
        <v>0</v>
      </c>
      <c r="T15" s="312">
        <f t="shared" si="20"/>
        <v>4.5</v>
      </c>
      <c r="U15" s="312">
        <f t="shared" si="20"/>
        <v>4.5</v>
      </c>
      <c r="V15" s="312">
        <f t="shared" si="20"/>
        <v>4.5</v>
      </c>
      <c r="W15" s="312">
        <f t="shared" si="20"/>
        <v>4.5</v>
      </c>
      <c r="X15" s="312">
        <f t="shared" si="20"/>
        <v>36375000</v>
      </c>
      <c r="Y15" s="312">
        <f t="shared" si="20"/>
        <v>36375000</v>
      </c>
      <c r="Z15" s="312">
        <f t="shared" si="20"/>
        <v>36375000</v>
      </c>
      <c r="AA15" s="312">
        <f t="shared" si="20"/>
        <v>36375000</v>
      </c>
      <c r="AB15" s="312">
        <f t="shared" si="20"/>
        <v>1</v>
      </c>
      <c r="AC15" s="312">
        <f t="shared" si="20"/>
        <v>500000</v>
      </c>
      <c r="AD15" s="312">
        <f t="shared" si="20"/>
        <v>1</v>
      </c>
      <c r="AE15" s="312">
        <f t="shared" si="20"/>
        <v>500000</v>
      </c>
      <c r="AF15" s="312">
        <f t="shared" si="20"/>
        <v>1</v>
      </c>
      <c r="AG15" s="312">
        <f t="shared" si="20"/>
        <v>500000</v>
      </c>
      <c r="AH15" s="312">
        <f t="shared" si="20"/>
        <v>1</v>
      </c>
      <c r="AI15" s="312">
        <f t="shared" si="20"/>
        <v>500000</v>
      </c>
      <c r="AJ15" s="312">
        <f t="shared" si="20"/>
        <v>1</v>
      </c>
      <c r="AK15" s="312">
        <f t="shared" si="20"/>
        <v>500000</v>
      </c>
      <c r="AL15" s="312">
        <f t="shared" si="20"/>
        <v>1</v>
      </c>
      <c r="AM15" s="312">
        <f t="shared" si="20"/>
        <v>500000</v>
      </c>
      <c r="AN15" s="312">
        <f t="shared" si="20"/>
        <v>1</v>
      </c>
      <c r="AO15" s="312">
        <f t="shared" si="20"/>
        <v>500000</v>
      </c>
      <c r="AP15" s="312">
        <f t="shared" si="20"/>
        <v>1</v>
      </c>
      <c r="AQ15" s="312">
        <f t="shared" si="20"/>
        <v>500000</v>
      </c>
      <c r="AR15" s="312">
        <f t="shared" si="20"/>
        <v>1</v>
      </c>
      <c r="AS15" s="312">
        <f t="shared" si="20"/>
        <v>500000</v>
      </c>
      <c r="AT15" s="312">
        <f t="shared" si="20"/>
        <v>1</v>
      </c>
      <c r="AU15" s="312">
        <f t="shared" si="20"/>
        <v>500000</v>
      </c>
      <c r="AV15" s="312">
        <f t="shared" si="20"/>
        <v>1</v>
      </c>
      <c r="AW15" s="312">
        <f t="shared" si="20"/>
        <v>500000</v>
      </c>
      <c r="AX15" s="312">
        <f t="shared" si="20"/>
        <v>1</v>
      </c>
      <c r="AY15" s="312">
        <f t="shared" si="20"/>
        <v>500000</v>
      </c>
      <c r="AZ15" s="312">
        <f t="shared" si="20"/>
        <v>1</v>
      </c>
      <c r="BA15" s="312">
        <f t="shared" si="20"/>
        <v>500000</v>
      </c>
      <c r="BB15" s="312">
        <f t="shared" si="20"/>
        <v>1</v>
      </c>
      <c r="BC15" s="312">
        <f t="shared" si="20"/>
        <v>500000</v>
      </c>
      <c r="BD15" s="312">
        <f t="shared" si="20"/>
        <v>1</v>
      </c>
      <c r="BE15" s="312">
        <f t="shared" si="20"/>
        <v>500000</v>
      </c>
      <c r="BF15" s="312">
        <f t="shared" si="20"/>
        <v>1</v>
      </c>
      <c r="BG15" s="312">
        <f t="shared" si="20"/>
        <v>500000</v>
      </c>
      <c r="BH15" s="312">
        <f t="shared" si="20"/>
        <v>1</v>
      </c>
      <c r="BI15" s="312">
        <f t="shared" si="20"/>
        <v>500000</v>
      </c>
      <c r="BJ15" s="312">
        <v>1</v>
      </c>
      <c r="BK15" s="312">
        <f t="shared" si="20"/>
        <v>1000000</v>
      </c>
      <c r="BL15" s="312">
        <f t="shared" si="20"/>
        <v>18</v>
      </c>
      <c r="BM15" s="312">
        <f t="shared" si="20"/>
        <v>9500000</v>
      </c>
      <c r="BN15" s="312">
        <f t="shared" ref="BN15:BX15" si="21">SUM(BN11:BN14)</f>
        <v>0</v>
      </c>
      <c r="BO15" s="312">
        <f t="shared" si="21"/>
        <v>0</v>
      </c>
      <c r="BP15" s="312">
        <f t="shared" si="21"/>
        <v>9500000</v>
      </c>
      <c r="BQ15" s="312">
        <f t="shared" si="21"/>
        <v>0</v>
      </c>
      <c r="BR15" s="312">
        <f t="shared" si="21"/>
        <v>0</v>
      </c>
      <c r="BS15" s="312">
        <f t="shared" si="21"/>
        <v>0</v>
      </c>
      <c r="BT15" s="312">
        <f t="shared" si="21"/>
        <v>9500000</v>
      </c>
      <c r="BU15" s="312">
        <f t="shared" si="21"/>
        <v>0</v>
      </c>
      <c r="BV15" s="312">
        <f t="shared" si="21"/>
        <v>0</v>
      </c>
      <c r="BW15" s="312">
        <f t="shared" si="21"/>
        <v>0</v>
      </c>
      <c r="BX15" s="312">
        <f t="shared" si="21"/>
        <v>9500000</v>
      </c>
    </row>
    <row r="16" spans="1:76" hidden="1" x14ac:dyDescent="0.2">
      <c r="A16" s="816"/>
      <c r="B16" s="574"/>
      <c r="C16" s="406">
        <v>31210</v>
      </c>
      <c r="D16" s="406"/>
      <c r="E16" s="316" t="s">
        <v>402</v>
      </c>
      <c r="F16" s="317"/>
      <c r="G16" s="336"/>
      <c r="H16" s="294"/>
      <c r="I16" s="394"/>
      <c r="J16" s="394"/>
      <c r="K16" s="394"/>
      <c r="L16" s="394"/>
      <c r="M16" s="394"/>
      <c r="N16" s="394"/>
      <c r="O16" s="394"/>
      <c r="P16" s="394"/>
      <c r="Q16" s="394"/>
      <c r="R16" s="394"/>
      <c r="S16" s="394"/>
      <c r="T16" s="374"/>
      <c r="U16" s="374"/>
      <c r="V16" s="374"/>
      <c r="W16" s="374"/>
      <c r="X16" s="394"/>
      <c r="Y16" s="394"/>
      <c r="Z16" s="394"/>
      <c r="AA16" s="394"/>
      <c r="AB16" s="373"/>
      <c r="AC16" s="295"/>
      <c r="AD16" s="373"/>
      <c r="AE16" s="295"/>
      <c r="AF16" s="373"/>
      <c r="AG16" s="295"/>
      <c r="AH16" s="373"/>
      <c r="AI16" s="295"/>
      <c r="AJ16" s="373"/>
      <c r="AK16" s="295"/>
      <c r="AL16" s="373"/>
      <c r="AM16" s="295"/>
      <c r="AN16" s="373"/>
      <c r="AO16" s="295"/>
      <c r="AP16" s="373"/>
      <c r="AQ16" s="295"/>
      <c r="AR16" s="373"/>
      <c r="AS16" s="295"/>
      <c r="AT16" s="373"/>
      <c r="AU16" s="295"/>
      <c r="AV16" s="373"/>
      <c r="AW16" s="295"/>
      <c r="AX16" s="373"/>
      <c r="AY16" s="295"/>
      <c r="AZ16" s="373"/>
      <c r="BA16" s="295"/>
      <c r="BB16" s="373"/>
      <c r="BC16" s="295"/>
      <c r="BD16" s="373"/>
      <c r="BE16" s="295"/>
      <c r="BF16" s="373"/>
      <c r="BG16" s="295"/>
      <c r="BH16" s="373"/>
      <c r="BI16" s="295"/>
      <c r="BJ16" s="373"/>
      <c r="BK16" s="295"/>
      <c r="BL16" s="373"/>
      <c r="BM16" s="295"/>
      <c r="BN16" s="317"/>
      <c r="BP16" s="321">
        <f>I16</f>
        <v>0</v>
      </c>
      <c r="BQ16" s="321"/>
      <c r="BR16" s="321"/>
      <c r="BS16" s="321"/>
      <c r="BT16" s="321">
        <f t="shared" si="18"/>
        <v>0</v>
      </c>
      <c r="BU16" s="321"/>
      <c r="BV16" s="321"/>
      <c r="BW16" s="321">
        <f t="shared" si="19"/>
        <v>0</v>
      </c>
      <c r="BX16" s="322">
        <f t="shared" ref="BX16:BX51" si="22">BT16+BW16</f>
        <v>0</v>
      </c>
    </row>
    <row r="17" spans="1:161" hidden="1" x14ac:dyDescent="0.2">
      <c r="A17" s="816"/>
      <c r="B17" s="574"/>
      <c r="C17" s="406">
        <v>31220</v>
      </c>
      <c r="D17" s="406"/>
      <c r="E17" s="342" t="s">
        <v>94</v>
      </c>
      <c r="F17" s="317" t="s">
        <v>93</v>
      </c>
      <c r="G17" s="401">
        <v>0</v>
      </c>
      <c r="H17" s="294">
        <f>BL17</f>
        <v>295</v>
      </c>
      <c r="I17" s="394">
        <f>H17*G17</f>
        <v>0</v>
      </c>
      <c r="J17" s="394"/>
      <c r="K17" s="394"/>
      <c r="L17" s="394"/>
      <c r="M17" s="394"/>
      <c r="N17" s="394"/>
      <c r="O17" s="394"/>
      <c r="P17" s="394">
        <f>I17</f>
        <v>0</v>
      </c>
      <c r="Q17" s="394"/>
      <c r="R17" s="394"/>
      <c r="S17" s="394"/>
      <c r="T17" s="374">
        <f>H17*0.25</f>
        <v>73.75</v>
      </c>
      <c r="U17" s="374">
        <f>H17*0.25</f>
        <v>73.75</v>
      </c>
      <c r="V17" s="374">
        <f>H17*0.25</f>
        <v>73.75</v>
      </c>
      <c r="W17" s="374">
        <f>H17*0.25</f>
        <v>73.75</v>
      </c>
      <c r="X17" s="394">
        <f>T17*I17</f>
        <v>0</v>
      </c>
      <c r="Y17" s="394">
        <f>U17*I17</f>
        <v>0</v>
      </c>
      <c r="Z17" s="394">
        <f>V17*I17</f>
        <v>0</v>
      </c>
      <c r="AA17" s="394">
        <f>W17*I17</f>
        <v>0</v>
      </c>
      <c r="AB17" s="373">
        <v>0</v>
      </c>
      <c r="AC17" s="295">
        <f t="shared" si="2"/>
        <v>0</v>
      </c>
      <c r="AD17" s="373">
        <v>0</v>
      </c>
      <c r="AE17" s="295">
        <f t="shared" si="3"/>
        <v>0</v>
      </c>
      <c r="AF17" s="373">
        <v>0</v>
      </c>
      <c r="AG17" s="295">
        <f t="shared" si="4"/>
        <v>0</v>
      </c>
      <c r="AH17" s="373">
        <v>0</v>
      </c>
      <c r="AI17" s="295">
        <f t="shared" si="5"/>
        <v>0</v>
      </c>
      <c r="AJ17" s="373">
        <v>0</v>
      </c>
      <c r="AK17" s="295">
        <f t="shared" si="6"/>
        <v>0</v>
      </c>
      <c r="AL17" s="373">
        <v>0</v>
      </c>
      <c r="AM17" s="295">
        <f t="shared" si="7"/>
        <v>0</v>
      </c>
      <c r="AN17" s="373">
        <v>0</v>
      </c>
      <c r="AO17" s="295">
        <f t="shared" si="8"/>
        <v>0</v>
      </c>
      <c r="AP17" s="373">
        <v>20</v>
      </c>
      <c r="AQ17" s="295">
        <f t="shared" si="9"/>
        <v>0</v>
      </c>
      <c r="AR17" s="373">
        <v>0</v>
      </c>
      <c r="AS17" s="295">
        <f t="shared" si="10"/>
        <v>0</v>
      </c>
      <c r="AT17" s="373">
        <v>0</v>
      </c>
      <c r="AU17" s="295">
        <f t="shared" si="11"/>
        <v>0</v>
      </c>
      <c r="AV17" s="373">
        <v>0</v>
      </c>
      <c r="AW17" s="295">
        <f t="shared" si="12"/>
        <v>0</v>
      </c>
      <c r="AX17" s="373">
        <v>100</v>
      </c>
      <c r="AY17" s="295">
        <f t="shared" si="13"/>
        <v>0</v>
      </c>
      <c r="AZ17" s="373">
        <v>175</v>
      </c>
      <c r="BA17" s="295">
        <f t="shared" si="14"/>
        <v>0</v>
      </c>
      <c r="BB17" s="373">
        <v>0</v>
      </c>
      <c r="BC17" s="295">
        <f t="shared" si="15"/>
        <v>0</v>
      </c>
      <c r="BD17" s="373">
        <v>0</v>
      </c>
      <c r="BE17" s="295">
        <f t="shared" si="16"/>
        <v>0</v>
      </c>
      <c r="BF17" s="373">
        <v>0</v>
      </c>
      <c r="BG17" s="295">
        <f t="shared" si="17"/>
        <v>0</v>
      </c>
      <c r="BH17" s="373">
        <v>0</v>
      </c>
      <c r="BI17" s="295">
        <f>BH17*G17</f>
        <v>0</v>
      </c>
      <c r="BJ17" s="373"/>
      <c r="BK17" s="295">
        <f>BJ17*G17</f>
        <v>0</v>
      </c>
      <c r="BL17" s="373">
        <f>AB17+AD17+AF17+AH17+AJ17+AL17+AN17+AP17+AR17+AT17+AV17+AX17+AZ17+BB17+BD17+BF17+BH17+BJ17</f>
        <v>295</v>
      </c>
      <c r="BM17" s="295">
        <f>AC17+AE17+AG17+AI17+AK17+AM17+AO17+AQ17+AS17+AU17+AW17+AY17+BA17+BC17+BE17+BG17+BI17+BK17</f>
        <v>0</v>
      </c>
      <c r="BN17" s="317" t="s">
        <v>413</v>
      </c>
      <c r="BP17" s="321">
        <f>I17</f>
        <v>0</v>
      </c>
      <c r="BQ17" s="321"/>
      <c r="BR17" s="321"/>
      <c r="BS17" s="321"/>
      <c r="BT17" s="321">
        <f t="shared" si="18"/>
        <v>0</v>
      </c>
      <c r="BU17" s="321"/>
      <c r="BV17" s="321"/>
      <c r="BW17" s="321">
        <f t="shared" si="19"/>
        <v>0</v>
      </c>
      <c r="BX17" s="322">
        <f t="shared" si="22"/>
        <v>0</v>
      </c>
    </row>
    <row r="18" spans="1:161" hidden="1" x14ac:dyDescent="0.2">
      <c r="A18" s="816"/>
      <c r="B18" s="574"/>
      <c r="C18" s="406">
        <v>31230</v>
      </c>
      <c r="D18" s="406"/>
      <c r="E18" s="342" t="s">
        <v>95</v>
      </c>
      <c r="F18" s="317" t="s">
        <v>96</v>
      </c>
      <c r="G18" s="336" t="s">
        <v>337</v>
      </c>
      <c r="H18" s="294">
        <f>BL18</f>
        <v>0</v>
      </c>
      <c r="I18" s="394">
        <f>H18*G18</f>
        <v>0</v>
      </c>
      <c r="J18" s="394"/>
      <c r="K18" s="394"/>
      <c r="L18" s="394"/>
      <c r="M18" s="394"/>
      <c r="N18" s="394">
        <f>I18</f>
        <v>0</v>
      </c>
      <c r="O18" s="394"/>
      <c r="P18" s="394"/>
      <c r="Q18" s="394"/>
      <c r="R18" s="394"/>
      <c r="S18" s="394"/>
      <c r="T18" s="374">
        <f>H18*0.25</f>
        <v>0</v>
      </c>
      <c r="U18" s="374">
        <f>H18*0.25</f>
        <v>0</v>
      </c>
      <c r="V18" s="374">
        <f>H18*0.25</f>
        <v>0</v>
      </c>
      <c r="W18" s="374">
        <f>H18*0.25</f>
        <v>0</v>
      </c>
      <c r="X18" s="394">
        <f>T18*I18</f>
        <v>0</v>
      </c>
      <c r="Y18" s="394">
        <f>U18*I18</f>
        <v>0</v>
      </c>
      <c r="Z18" s="394">
        <f>V18*I18</f>
        <v>0</v>
      </c>
      <c r="AA18" s="394">
        <f>W18*I18</f>
        <v>0</v>
      </c>
      <c r="AB18" s="373"/>
      <c r="AC18" s="295">
        <f t="shared" si="2"/>
        <v>0</v>
      </c>
      <c r="AD18" s="373">
        <v>0</v>
      </c>
      <c r="AE18" s="295">
        <f t="shared" si="3"/>
        <v>0</v>
      </c>
      <c r="AF18" s="373">
        <v>0</v>
      </c>
      <c r="AG18" s="295">
        <f t="shared" si="4"/>
        <v>0</v>
      </c>
      <c r="AH18" s="373">
        <v>0</v>
      </c>
      <c r="AI18" s="295">
        <f t="shared" si="5"/>
        <v>0</v>
      </c>
      <c r="AJ18" s="373">
        <v>0</v>
      </c>
      <c r="AK18" s="295">
        <f t="shared" si="6"/>
        <v>0</v>
      </c>
      <c r="AL18" s="373">
        <v>0</v>
      </c>
      <c r="AM18" s="295">
        <f t="shared" si="7"/>
        <v>0</v>
      </c>
      <c r="AN18" s="373"/>
      <c r="AO18" s="295">
        <f t="shared" si="8"/>
        <v>0</v>
      </c>
      <c r="AP18" s="373">
        <v>0</v>
      </c>
      <c r="AQ18" s="295">
        <f t="shared" si="9"/>
        <v>0</v>
      </c>
      <c r="AR18" s="373">
        <v>0</v>
      </c>
      <c r="AS18" s="295">
        <f t="shared" si="10"/>
        <v>0</v>
      </c>
      <c r="AT18" s="373">
        <v>0</v>
      </c>
      <c r="AU18" s="295">
        <f t="shared" si="11"/>
        <v>0</v>
      </c>
      <c r="AV18" s="373">
        <v>0</v>
      </c>
      <c r="AW18" s="295">
        <f t="shared" si="12"/>
        <v>0</v>
      </c>
      <c r="AX18" s="373">
        <v>0</v>
      </c>
      <c r="AY18" s="295">
        <f t="shared" si="13"/>
        <v>0</v>
      </c>
      <c r="AZ18" s="373">
        <v>0</v>
      </c>
      <c r="BA18" s="295">
        <f t="shared" si="14"/>
        <v>0</v>
      </c>
      <c r="BB18" s="373">
        <v>0</v>
      </c>
      <c r="BC18" s="295">
        <f t="shared" si="15"/>
        <v>0</v>
      </c>
      <c r="BD18" s="373"/>
      <c r="BE18" s="295">
        <f t="shared" si="16"/>
        <v>0</v>
      </c>
      <c r="BF18" s="373"/>
      <c r="BG18" s="295">
        <f t="shared" si="17"/>
        <v>0</v>
      </c>
      <c r="BH18" s="373">
        <v>0</v>
      </c>
      <c r="BI18" s="295">
        <f>BH18*G18</f>
        <v>0</v>
      </c>
      <c r="BJ18" s="373"/>
      <c r="BK18" s="295">
        <f>BJ18*G18</f>
        <v>0</v>
      </c>
      <c r="BL18" s="373">
        <f>AB18+AD18+AF18+AH18+AJ18+AL18+AN18+AP18+AR18+AT18+AV18+AX18+AZ18+BB18+BD18+BF18+BH18+BJ18</f>
        <v>0</v>
      </c>
      <c r="BM18" s="295">
        <f>AC18+AE18+AG18+AI18+AK18+AM18+AO18+AQ18+AS18+AU18+AW18+AY18+BA18+BC18+BE18+BG18+BI18+BK18</f>
        <v>0</v>
      </c>
      <c r="BN18" s="317" t="s">
        <v>291</v>
      </c>
      <c r="BP18" s="321">
        <f>I18</f>
        <v>0</v>
      </c>
      <c r="BQ18" s="321"/>
      <c r="BR18" s="321"/>
      <c r="BS18" s="321"/>
      <c r="BT18" s="321">
        <f t="shared" si="18"/>
        <v>0</v>
      </c>
      <c r="BU18" s="321"/>
      <c r="BV18" s="321"/>
      <c r="BW18" s="321">
        <f t="shared" si="19"/>
        <v>0</v>
      </c>
      <c r="BX18" s="322">
        <f t="shared" si="22"/>
        <v>0</v>
      </c>
    </row>
    <row r="19" spans="1:161" s="571" customFormat="1" hidden="1" x14ac:dyDescent="0.2">
      <c r="A19" s="816"/>
      <c r="B19" s="574"/>
      <c r="C19" s="314"/>
      <c r="D19" s="314"/>
      <c r="E19" s="316" t="s">
        <v>403</v>
      </c>
      <c r="F19" s="343" t="s">
        <v>111</v>
      </c>
      <c r="G19" s="344"/>
      <c r="H19" s="312">
        <f t="shared" ref="H19:AM19" si="23">SUM(H17:H18)</f>
        <v>295</v>
      </c>
      <c r="I19" s="312">
        <f t="shared" si="23"/>
        <v>0</v>
      </c>
      <c r="J19" s="312">
        <f t="shared" si="23"/>
        <v>0</v>
      </c>
      <c r="K19" s="312">
        <f t="shared" si="23"/>
        <v>0</v>
      </c>
      <c r="L19" s="312">
        <f t="shared" si="23"/>
        <v>0</v>
      </c>
      <c r="M19" s="312">
        <f t="shared" si="23"/>
        <v>0</v>
      </c>
      <c r="N19" s="312">
        <f t="shared" si="23"/>
        <v>0</v>
      </c>
      <c r="O19" s="312">
        <f t="shared" si="23"/>
        <v>0</v>
      </c>
      <c r="P19" s="312">
        <f t="shared" si="23"/>
        <v>0</v>
      </c>
      <c r="Q19" s="312">
        <f t="shared" si="23"/>
        <v>0</v>
      </c>
      <c r="R19" s="312">
        <f t="shared" si="23"/>
        <v>0</v>
      </c>
      <c r="S19" s="312">
        <f t="shared" si="23"/>
        <v>0</v>
      </c>
      <c r="T19" s="312">
        <f t="shared" si="23"/>
        <v>73.75</v>
      </c>
      <c r="U19" s="312">
        <f t="shared" si="23"/>
        <v>73.75</v>
      </c>
      <c r="V19" s="312">
        <f t="shared" si="23"/>
        <v>73.75</v>
      </c>
      <c r="W19" s="312">
        <f t="shared" si="23"/>
        <v>73.75</v>
      </c>
      <c r="X19" s="312">
        <f t="shared" si="23"/>
        <v>0</v>
      </c>
      <c r="Y19" s="312">
        <f t="shared" si="23"/>
        <v>0</v>
      </c>
      <c r="Z19" s="312">
        <f t="shared" si="23"/>
        <v>0</v>
      </c>
      <c r="AA19" s="312">
        <f t="shared" si="23"/>
        <v>0</v>
      </c>
      <c r="AB19" s="312">
        <f t="shared" si="23"/>
        <v>0</v>
      </c>
      <c r="AC19" s="312">
        <f t="shared" si="23"/>
        <v>0</v>
      </c>
      <c r="AD19" s="312">
        <f t="shared" si="23"/>
        <v>0</v>
      </c>
      <c r="AE19" s="312">
        <f t="shared" si="23"/>
        <v>0</v>
      </c>
      <c r="AF19" s="312">
        <f t="shared" si="23"/>
        <v>0</v>
      </c>
      <c r="AG19" s="312">
        <f t="shared" si="23"/>
        <v>0</v>
      </c>
      <c r="AH19" s="312">
        <f t="shared" si="23"/>
        <v>0</v>
      </c>
      <c r="AI19" s="312">
        <f t="shared" si="23"/>
        <v>0</v>
      </c>
      <c r="AJ19" s="312">
        <f t="shared" si="23"/>
        <v>0</v>
      </c>
      <c r="AK19" s="312">
        <f t="shared" si="23"/>
        <v>0</v>
      </c>
      <c r="AL19" s="312">
        <f t="shared" si="23"/>
        <v>0</v>
      </c>
      <c r="AM19" s="312">
        <f t="shared" si="23"/>
        <v>0</v>
      </c>
      <c r="AN19" s="312">
        <f t="shared" ref="AN19:AY19" si="24">SUM(AN17:AN18)</f>
        <v>0</v>
      </c>
      <c r="AO19" s="312">
        <f t="shared" si="24"/>
        <v>0</v>
      </c>
      <c r="AP19" s="312">
        <f t="shared" si="24"/>
        <v>20</v>
      </c>
      <c r="AQ19" s="312">
        <f t="shared" si="24"/>
        <v>0</v>
      </c>
      <c r="AR19" s="312">
        <f t="shared" si="24"/>
        <v>0</v>
      </c>
      <c r="AS19" s="312">
        <f t="shared" si="24"/>
        <v>0</v>
      </c>
      <c r="AT19" s="312">
        <f t="shared" si="24"/>
        <v>0</v>
      </c>
      <c r="AU19" s="312">
        <f t="shared" si="24"/>
        <v>0</v>
      </c>
      <c r="AV19" s="312">
        <f t="shared" si="24"/>
        <v>0</v>
      </c>
      <c r="AW19" s="312">
        <f t="shared" si="24"/>
        <v>0</v>
      </c>
      <c r="AX19" s="312">
        <f t="shared" si="24"/>
        <v>100</v>
      </c>
      <c r="AY19" s="312">
        <f t="shared" si="24"/>
        <v>0</v>
      </c>
      <c r="AZ19" s="312">
        <f t="shared" ref="AZ19:BX19" si="25">SUM(AZ17:AZ18)</f>
        <v>175</v>
      </c>
      <c r="BA19" s="312">
        <f t="shared" si="25"/>
        <v>0</v>
      </c>
      <c r="BB19" s="312">
        <f t="shared" si="25"/>
        <v>0</v>
      </c>
      <c r="BC19" s="312">
        <f t="shared" si="25"/>
        <v>0</v>
      </c>
      <c r="BD19" s="312">
        <f t="shared" si="25"/>
        <v>0</v>
      </c>
      <c r="BE19" s="312">
        <f t="shared" si="25"/>
        <v>0</v>
      </c>
      <c r="BF19" s="312">
        <f t="shared" si="25"/>
        <v>0</v>
      </c>
      <c r="BG19" s="312">
        <f t="shared" si="25"/>
        <v>0</v>
      </c>
      <c r="BH19" s="312">
        <f t="shared" si="25"/>
        <v>0</v>
      </c>
      <c r="BI19" s="312">
        <f t="shared" si="25"/>
        <v>0</v>
      </c>
      <c r="BJ19" s="312">
        <f t="shared" si="25"/>
        <v>0</v>
      </c>
      <c r="BK19" s="312">
        <f t="shared" si="25"/>
        <v>0</v>
      </c>
      <c r="BL19" s="312">
        <f t="shared" si="25"/>
        <v>295</v>
      </c>
      <c r="BM19" s="312">
        <f t="shared" si="25"/>
        <v>0</v>
      </c>
      <c r="BN19" s="312">
        <f t="shared" si="25"/>
        <v>0</v>
      </c>
      <c r="BO19" s="312">
        <f t="shared" si="25"/>
        <v>0</v>
      </c>
      <c r="BP19" s="312">
        <f t="shared" si="25"/>
        <v>0</v>
      </c>
      <c r="BQ19" s="312">
        <f t="shared" si="25"/>
        <v>0</v>
      </c>
      <c r="BR19" s="312">
        <f t="shared" si="25"/>
        <v>0</v>
      </c>
      <c r="BS19" s="312">
        <f t="shared" si="25"/>
        <v>0</v>
      </c>
      <c r="BT19" s="312">
        <f t="shared" si="25"/>
        <v>0</v>
      </c>
      <c r="BU19" s="312">
        <f t="shared" si="25"/>
        <v>0</v>
      </c>
      <c r="BV19" s="312">
        <f t="shared" si="25"/>
        <v>0</v>
      </c>
      <c r="BW19" s="312">
        <f t="shared" si="25"/>
        <v>0</v>
      </c>
      <c r="BX19" s="312">
        <f t="shared" si="25"/>
        <v>0</v>
      </c>
      <c r="BY19" s="297"/>
      <c r="BZ19" s="297"/>
      <c r="CA19" s="297"/>
      <c r="CB19" s="297"/>
      <c r="CC19" s="297"/>
      <c r="CD19" s="297"/>
      <c r="CE19" s="297"/>
      <c r="CF19" s="297"/>
      <c r="CG19" s="297"/>
      <c r="CH19" s="297"/>
      <c r="CI19" s="297"/>
      <c r="CJ19" s="297"/>
      <c r="CK19" s="297"/>
      <c r="CL19" s="297"/>
      <c r="CM19" s="297"/>
      <c r="CN19" s="297"/>
      <c r="CO19" s="297"/>
      <c r="CP19" s="297"/>
      <c r="CQ19" s="297"/>
      <c r="CR19" s="297"/>
      <c r="CS19" s="297"/>
      <c r="CT19" s="297"/>
      <c r="CU19" s="297"/>
      <c r="CV19" s="297"/>
      <c r="CW19" s="297"/>
      <c r="CX19" s="297"/>
      <c r="CY19" s="297"/>
      <c r="CZ19" s="297"/>
      <c r="DA19" s="297"/>
      <c r="DB19" s="297"/>
      <c r="DC19" s="297"/>
      <c r="DD19" s="297"/>
      <c r="DE19" s="297"/>
      <c r="DF19" s="297"/>
      <c r="DG19" s="297"/>
      <c r="DH19" s="297"/>
      <c r="DI19" s="297"/>
      <c r="DJ19" s="297"/>
      <c r="DK19" s="297"/>
      <c r="DL19" s="297"/>
      <c r="DM19" s="297"/>
      <c r="DN19" s="297"/>
      <c r="DO19" s="297"/>
      <c r="DP19" s="297"/>
      <c r="DQ19" s="297"/>
      <c r="DR19" s="297"/>
      <c r="DS19" s="297"/>
      <c r="DT19" s="297"/>
      <c r="DU19" s="297"/>
      <c r="DV19" s="297"/>
      <c r="DW19" s="297"/>
      <c r="DX19" s="297"/>
      <c r="DY19" s="297"/>
      <c r="DZ19" s="297"/>
      <c r="EA19" s="297"/>
      <c r="EB19" s="297"/>
      <c r="EC19" s="297"/>
      <c r="ED19" s="297"/>
      <c r="EE19" s="297"/>
      <c r="EF19" s="297"/>
      <c r="EG19" s="297"/>
      <c r="EH19" s="297"/>
      <c r="EI19" s="297"/>
      <c r="EJ19" s="297"/>
      <c r="EK19" s="297"/>
      <c r="EL19" s="297"/>
      <c r="EM19" s="297"/>
      <c r="EN19" s="297"/>
      <c r="EO19" s="297"/>
      <c r="EP19" s="297"/>
      <c r="EQ19" s="297"/>
      <c r="ER19" s="297"/>
      <c r="ES19" s="297"/>
      <c r="ET19" s="297"/>
      <c r="EU19" s="297"/>
      <c r="EV19" s="297"/>
      <c r="EW19" s="297"/>
      <c r="EX19" s="297"/>
      <c r="EY19" s="297"/>
      <c r="EZ19" s="297"/>
      <c r="FA19" s="297"/>
      <c r="FB19" s="297"/>
      <c r="FC19" s="297"/>
      <c r="FD19" s="297"/>
      <c r="FE19" s="297"/>
    </row>
    <row r="20" spans="1:161" hidden="1" x14ac:dyDescent="0.2">
      <c r="A20" s="816"/>
      <c r="B20" s="574"/>
      <c r="C20" s="406">
        <v>31240</v>
      </c>
      <c r="D20" s="406"/>
      <c r="E20" s="316" t="s">
        <v>404</v>
      </c>
      <c r="F20" s="317"/>
      <c r="G20" s="336"/>
      <c r="H20" s="294"/>
      <c r="I20" s="394"/>
      <c r="J20" s="394"/>
      <c r="K20" s="394"/>
      <c r="L20" s="394"/>
      <c r="M20" s="394"/>
      <c r="N20" s="394"/>
      <c r="O20" s="394"/>
      <c r="P20" s="394"/>
      <c r="Q20" s="394"/>
      <c r="R20" s="394"/>
      <c r="S20" s="394"/>
      <c r="T20" s="374"/>
      <c r="U20" s="374"/>
      <c r="V20" s="374"/>
      <c r="W20" s="374"/>
      <c r="X20" s="394"/>
      <c r="Y20" s="394"/>
      <c r="Z20" s="394"/>
      <c r="AA20" s="394"/>
      <c r="AB20" s="373"/>
      <c r="AC20" s="295"/>
      <c r="AD20" s="373"/>
      <c r="AE20" s="295"/>
      <c r="AF20" s="373"/>
      <c r="AG20" s="295"/>
      <c r="AH20" s="373"/>
      <c r="AI20" s="295"/>
      <c r="AJ20" s="373"/>
      <c r="AK20" s="295"/>
      <c r="AL20" s="373"/>
      <c r="AM20" s="295"/>
      <c r="AN20" s="373"/>
      <c r="AO20" s="295"/>
      <c r="AP20" s="373"/>
      <c r="AQ20" s="295"/>
      <c r="AR20" s="373"/>
      <c r="AS20" s="295"/>
      <c r="AT20" s="373"/>
      <c r="AU20" s="295"/>
      <c r="AV20" s="373"/>
      <c r="AW20" s="295"/>
      <c r="AX20" s="373"/>
      <c r="AY20" s="295"/>
      <c r="AZ20" s="373"/>
      <c r="BA20" s="295"/>
      <c r="BB20" s="373"/>
      <c r="BC20" s="295"/>
      <c r="BD20" s="373"/>
      <c r="BE20" s="295"/>
      <c r="BF20" s="373"/>
      <c r="BG20" s="295"/>
      <c r="BH20" s="373"/>
      <c r="BI20" s="295"/>
      <c r="BJ20" s="373"/>
      <c r="BK20" s="295"/>
      <c r="BL20" s="373"/>
      <c r="BM20" s="295"/>
      <c r="BN20" s="317"/>
      <c r="BP20" s="321">
        <f t="shared" ref="BP20:BP27" si="26">I20</f>
        <v>0</v>
      </c>
      <c r="BQ20" s="321"/>
      <c r="BR20" s="321"/>
      <c r="BS20" s="321"/>
      <c r="BT20" s="321">
        <f t="shared" si="18"/>
        <v>0</v>
      </c>
      <c r="BU20" s="321"/>
      <c r="BV20" s="321"/>
      <c r="BW20" s="321">
        <f t="shared" si="19"/>
        <v>0</v>
      </c>
      <c r="BX20" s="322">
        <f t="shared" si="22"/>
        <v>0</v>
      </c>
    </row>
    <row r="21" spans="1:161" hidden="1" x14ac:dyDescent="0.2">
      <c r="A21" s="816"/>
      <c r="B21" s="574"/>
      <c r="C21" s="314">
        <v>31300</v>
      </c>
      <c r="D21" s="314"/>
      <c r="E21" s="342" t="s">
        <v>559</v>
      </c>
      <c r="F21" s="317" t="s">
        <v>535</v>
      </c>
      <c r="G21" s="401">
        <v>400000</v>
      </c>
      <c r="H21" s="352">
        <f t="shared" ref="H21:I27" si="27">BL21</f>
        <v>11</v>
      </c>
      <c r="I21" s="295">
        <f t="shared" ref="I21:I27" si="28">H21*G21</f>
        <v>4400000</v>
      </c>
      <c r="J21" s="295"/>
      <c r="K21" s="295"/>
      <c r="L21" s="295"/>
      <c r="M21" s="295"/>
      <c r="N21" s="295">
        <f>I21</f>
        <v>4400000</v>
      </c>
      <c r="O21" s="295"/>
      <c r="P21" s="295"/>
      <c r="Q21" s="295"/>
      <c r="R21" s="295"/>
      <c r="S21" s="295"/>
      <c r="T21" s="374">
        <f>H21*0.25</f>
        <v>2.75</v>
      </c>
      <c r="U21" s="374">
        <f>H21*0.25</f>
        <v>2.75</v>
      </c>
      <c r="V21" s="374">
        <f>H21*0.25</f>
        <v>2.75</v>
      </c>
      <c r="W21" s="374">
        <f>H21*0.25</f>
        <v>2.75</v>
      </c>
      <c r="X21" s="295">
        <f>T21*I21</f>
        <v>12100000</v>
      </c>
      <c r="Y21" s="295">
        <f>U21*I21</f>
        <v>12100000</v>
      </c>
      <c r="Z21" s="295">
        <f>V21*I21</f>
        <v>12100000</v>
      </c>
      <c r="AA21" s="295">
        <f>W21*I21</f>
        <v>12100000</v>
      </c>
      <c r="AB21" s="373">
        <v>0</v>
      </c>
      <c r="AC21" s="295">
        <f t="shared" si="2"/>
        <v>0</v>
      </c>
      <c r="AD21" s="373">
        <v>0</v>
      </c>
      <c r="AE21" s="295">
        <f t="shared" si="3"/>
        <v>0</v>
      </c>
      <c r="AF21" s="373">
        <v>0</v>
      </c>
      <c r="AG21" s="295">
        <f t="shared" si="4"/>
        <v>0</v>
      </c>
      <c r="AH21" s="373">
        <v>0</v>
      </c>
      <c r="AI21" s="295">
        <f t="shared" si="5"/>
        <v>0</v>
      </c>
      <c r="AJ21" s="373">
        <v>2</v>
      </c>
      <c r="AK21" s="295">
        <f t="shared" si="6"/>
        <v>800000</v>
      </c>
      <c r="AL21" s="373">
        <v>0</v>
      </c>
      <c r="AM21" s="295">
        <f t="shared" si="7"/>
        <v>0</v>
      </c>
      <c r="AN21" s="373">
        <v>0</v>
      </c>
      <c r="AO21" s="295">
        <f t="shared" si="8"/>
        <v>0</v>
      </c>
      <c r="AP21" s="373">
        <v>0</v>
      </c>
      <c r="AQ21" s="295">
        <f t="shared" si="9"/>
        <v>0</v>
      </c>
      <c r="AR21" s="373">
        <v>0</v>
      </c>
      <c r="AS21" s="295">
        <f t="shared" si="10"/>
        <v>0</v>
      </c>
      <c r="AT21" s="373">
        <v>0</v>
      </c>
      <c r="AU21" s="295">
        <f t="shared" si="11"/>
        <v>0</v>
      </c>
      <c r="AV21" s="373">
        <v>2</v>
      </c>
      <c r="AW21" s="295">
        <f t="shared" si="12"/>
        <v>800000</v>
      </c>
      <c r="AX21" s="373">
        <v>2</v>
      </c>
      <c r="AY21" s="295">
        <f t="shared" si="13"/>
        <v>800000</v>
      </c>
      <c r="AZ21" s="373">
        <v>5</v>
      </c>
      <c r="BA21" s="295">
        <f t="shared" si="14"/>
        <v>2000000</v>
      </c>
      <c r="BB21" s="373">
        <v>0</v>
      </c>
      <c r="BC21" s="295">
        <f t="shared" si="15"/>
        <v>0</v>
      </c>
      <c r="BD21" s="373">
        <v>0</v>
      </c>
      <c r="BE21" s="295">
        <f t="shared" si="16"/>
        <v>0</v>
      </c>
      <c r="BF21" s="373">
        <v>0</v>
      </c>
      <c r="BG21" s="295">
        <f t="shared" si="17"/>
        <v>0</v>
      </c>
      <c r="BH21" s="373">
        <v>0</v>
      </c>
      <c r="BI21" s="295">
        <f t="shared" ref="BI21:BI27" si="29">BH21*G21</f>
        <v>0</v>
      </c>
      <c r="BJ21" s="373"/>
      <c r="BK21" s="295">
        <f>BJ21*G21</f>
        <v>0</v>
      </c>
      <c r="BL21" s="373">
        <f t="shared" ref="BL21:BM27" si="30">AB21+AD21+AF21+AH21+AJ21+AL21+AN21+AP21+AR21+AT21+AV21+AX21+AZ21+BB21+BD21+BF21+BH21+BJ21</f>
        <v>11</v>
      </c>
      <c r="BM21" s="295">
        <f t="shared" si="30"/>
        <v>4400000</v>
      </c>
      <c r="BN21" s="317" t="s">
        <v>414</v>
      </c>
      <c r="BP21" s="321">
        <f t="shared" si="26"/>
        <v>4400000</v>
      </c>
      <c r="BQ21" s="321"/>
      <c r="BR21" s="321"/>
      <c r="BS21" s="321"/>
      <c r="BT21" s="321">
        <f t="shared" si="18"/>
        <v>4400000</v>
      </c>
      <c r="BU21" s="321"/>
      <c r="BV21" s="321"/>
      <c r="BW21" s="321"/>
      <c r="BX21" s="322">
        <f t="shared" si="22"/>
        <v>4400000</v>
      </c>
    </row>
    <row r="22" spans="1:161" hidden="1" x14ac:dyDescent="0.2">
      <c r="A22" s="816"/>
      <c r="B22" s="574"/>
      <c r="C22" s="406">
        <v>31310</v>
      </c>
      <c r="D22" s="406"/>
      <c r="E22" s="342" t="s">
        <v>539</v>
      </c>
      <c r="F22" s="317" t="s">
        <v>239</v>
      </c>
      <c r="G22" s="336">
        <v>1000000</v>
      </c>
      <c r="H22" s="352">
        <f t="shared" si="27"/>
        <v>35</v>
      </c>
      <c r="I22" s="295">
        <f t="shared" si="28"/>
        <v>35000000</v>
      </c>
      <c r="J22" s="394"/>
      <c r="K22" s="394"/>
      <c r="L22" s="394"/>
      <c r="M22" s="394"/>
      <c r="N22" s="295">
        <f>I22</f>
        <v>35000000</v>
      </c>
      <c r="O22" s="394"/>
      <c r="P22" s="394"/>
      <c r="Q22" s="394"/>
      <c r="R22" s="394"/>
      <c r="S22" s="394"/>
      <c r="T22" s="374">
        <f>H22*0.25</f>
        <v>8.75</v>
      </c>
      <c r="U22" s="374">
        <f>H22*0.25</f>
        <v>8.75</v>
      </c>
      <c r="V22" s="374">
        <f>H22*0.25</f>
        <v>8.75</v>
      </c>
      <c r="W22" s="374">
        <f>H22*0.25</f>
        <v>8.75</v>
      </c>
      <c r="X22" s="394">
        <f>T22*I22</f>
        <v>306250000</v>
      </c>
      <c r="Y22" s="394">
        <f>U22*I22</f>
        <v>306250000</v>
      </c>
      <c r="Z22" s="394">
        <f>V22*I22</f>
        <v>306250000</v>
      </c>
      <c r="AA22" s="394">
        <f>W22*I22</f>
        <v>306250000</v>
      </c>
      <c r="AB22" s="373">
        <v>2</v>
      </c>
      <c r="AC22" s="295">
        <f t="shared" si="2"/>
        <v>2000000</v>
      </c>
      <c r="AD22" s="373">
        <v>1</v>
      </c>
      <c r="AE22" s="295">
        <f t="shared" si="3"/>
        <v>1000000</v>
      </c>
      <c r="AF22" s="373">
        <v>4</v>
      </c>
      <c r="AG22" s="295">
        <f t="shared" si="4"/>
        <v>4000000</v>
      </c>
      <c r="AH22" s="373">
        <v>5</v>
      </c>
      <c r="AI22" s="295">
        <f t="shared" si="5"/>
        <v>5000000</v>
      </c>
      <c r="AJ22" s="373">
        <v>0</v>
      </c>
      <c r="AK22" s="295">
        <f t="shared" si="6"/>
        <v>0</v>
      </c>
      <c r="AL22" s="373">
        <v>5</v>
      </c>
      <c r="AM22" s="295">
        <f t="shared" si="7"/>
        <v>5000000</v>
      </c>
      <c r="AN22" s="373">
        <v>0</v>
      </c>
      <c r="AO22" s="295">
        <f t="shared" si="8"/>
        <v>0</v>
      </c>
      <c r="AP22" s="373">
        <v>0</v>
      </c>
      <c r="AQ22" s="295">
        <f t="shared" si="9"/>
        <v>0</v>
      </c>
      <c r="AR22" s="373">
        <v>0</v>
      </c>
      <c r="AS22" s="295">
        <f t="shared" si="10"/>
        <v>0</v>
      </c>
      <c r="AT22" s="373">
        <v>6</v>
      </c>
      <c r="AU22" s="295">
        <f t="shared" si="11"/>
        <v>6000000</v>
      </c>
      <c r="AV22" s="373">
        <v>3</v>
      </c>
      <c r="AW22" s="295">
        <f t="shared" si="12"/>
        <v>3000000</v>
      </c>
      <c r="AX22" s="373">
        <v>5</v>
      </c>
      <c r="AY22" s="295">
        <f t="shared" si="13"/>
        <v>5000000</v>
      </c>
      <c r="AZ22" s="373">
        <v>3</v>
      </c>
      <c r="BA22" s="295">
        <f t="shared" si="14"/>
        <v>3000000</v>
      </c>
      <c r="BB22" s="373">
        <v>0</v>
      </c>
      <c r="BC22" s="295">
        <f t="shared" si="15"/>
        <v>0</v>
      </c>
      <c r="BD22" s="373">
        <v>0</v>
      </c>
      <c r="BE22" s="295">
        <f t="shared" si="16"/>
        <v>0</v>
      </c>
      <c r="BF22" s="373">
        <v>0</v>
      </c>
      <c r="BG22" s="295">
        <f t="shared" si="17"/>
        <v>0</v>
      </c>
      <c r="BH22" s="373">
        <v>1</v>
      </c>
      <c r="BI22" s="295">
        <f t="shared" si="29"/>
        <v>1000000</v>
      </c>
      <c r="BJ22" s="373"/>
      <c r="BK22" s="295">
        <f>BJ22*G22</f>
        <v>0</v>
      </c>
      <c r="BL22" s="373">
        <f t="shared" si="30"/>
        <v>35</v>
      </c>
      <c r="BM22" s="295">
        <f t="shared" si="30"/>
        <v>35000000</v>
      </c>
      <c r="BN22" s="317" t="s">
        <v>414</v>
      </c>
      <c r="BP22" s="321">
        <f t="shared" si="26"/>
        <v>35000000</v>
      </c>
      <c r="BQ22" s="321"/>
      <c r="BR22" s="321"/>
      <c r="BS22" s="321"/>
      <c r="BT22" s="321">
        <f t="shared" si="18"/>
        <v>35000000</v>
      </c>
      <c r="BU22" s="321"/>
      <c r="BV22" s="321"/>
      <c r="BW22" s="321">
        <f>BU22+BV22</f>
        <v>0</v>
      </c>
      <c r="BX22" s="322">
        <f t="shared" si="22"/>
        <v>35000000</v>
      </c>
    </row>
    <row r="23" spans="1:161" hidden="1" x14ac:dyDescent="0.2">
      <c r="A23" s="816"/>
      <c r="B23" s="574"/>
      <c r="C23" s="406"/>
      <c r="D23" s="406"/>
      <c r="E23" s="342" t="s">
        <v>928</v>
      </c>
      <c r="F23" s="317" t="s">
        <v>239</v>
      </c>
      <c r="G23" s="336">
        <v>500000</v>
      </c>
      <c r="H23" s="352">
        <f t="shared" si="27"/>
        <v>1</v>
      </c>
      <c r="I23" s="352">
        <f t="shared" si="27"/>
        <v>500000</v>
      </c>
      <c r="J23" s="394"/>
      <c r="K23" s="394"/>
      <c r="L23" s="394"/>
      <c r="M23" s="394"/>
      <c r="N23" s="295">
        <f>I23</f>
        <v>500000</v>
      </c>
      <c r="O23" s="394"/>
      <c r="P23" s="394"/>
      <c r="Q23" s="394"/>
      <c r="R23" s="394"/>
      <c r="S23" s="394"/>
      <c r="T23" s="374"/>
      <c r="U23" s="374"/>
      <c r="V23" s="374"/>
      <c r="W23" s="374"/>
      <c r="X23" s="394"/>
      <c r="Y23" s="394"/>
      <c r="Z23" s="394"/>
      <c r="AA23" s="394"/>
      <c r="AB23" s="373">
        <v>1</v>
      </c>
      <c r="AC23" s="295">
        <f t="shared" si="2"/>
        <v>500000</v>
      </c>
      <c r="AD23" s="373">
        <v>0</v>
      </c>
      <c r="AE23" s="295">
        <f t="shared" si="3"/>
        <v>0</v>
      </c>
      <c r="AF23" s="373">
        <v>0</v>
      </c>
      <c r="AG23" s="295">
        <f t="shared" si="4"/>
        <v>0</v>
      </c>
      <c r="AH23" s="373">
        <v>0</v>
      </c>
      <c r="AI23" s="295">
        <f t="shared" si="5"/>
        <v>0</v>
      </c>
      <c r="AJ23" s="373">
        <v>0</v>
      </c>
      <c r="AK23" s="295">
        <f t="shared" si="6"/>
        <v>0</v>
      </c>
      <c r="AL23" s="373">
        <v>0</v>
      </c>
      <c r="AM23" s="295">
        <f t="shared" si="7"/>
        <v>0</v>
      </c>
      <c r="AN23" s="373">
        <v>0</v>
      </c>
      <c r="AO23" s="295">
        <v>0</v>
      </c>
      <c r="AP23" s="373">
        <v>0</v>
      </c>
      <c r="AQ23" s="295">
        <f t="shared" si="9"/>
        <v>0</v>
      </c>
      <c r="AR23" s="373">
        <v>0</v>
      </c>
      <c r="AS23" s="295">
        <f t="shared" si="10"/>
        <v>0</v>
      </c>
      <c r="AT23" s="373">
        <v>0</v>
      </c>
      <c r="AU23" s="295">
        <f t="shared" si="11"/>
        <v>0</v>
      </c>
      <c r="AV23" s="373">
        <v>0</v>
      </c>
      <c r="AW23" s="295">
        <f t="shared" si="12"/>
        <v>0</v>
      </c>
      <c r="AX23" s="373">
        <v>0</v>
      </c>
      <c r="AY23" s="295">
        <f t="shared" si="13"/>
        <v>0</v>
      </c>
      <c r="AZ23" s="373">
        <v>0</v>
      </c>
      <c r="BA23" s="295">
        <f t="shared" si="14"/>
        <v>0</v>
      </c>
      <c r="BB23" s="373">
        <v>0</v>
      </c>
      <c r="BC23" s="295">
        <f t="shared" si="15"/>
        <v>0</v>
      </c>
      <c r="BD23" s="373">
        <v>0</v>
      </c>
      <c r="BE23" s="295">
        <f t="shared" si="16"/>
        <v>0</v>
      </c>
      <c r="BF23" s="373">
        <v>0</v>
      </c>
      <c r="BG23" s="295">
        <f t="shared" si="17"/>
        <v>0</v>
      </c>
      <c r="BH23" s="373">
        <v>0</v>
      </c>
      <c r="BI23" s="295">
        <f t="shared" si="29"/>
        <v>0</v>
      </c>
      <c r="BJ23" s="373"/>
      <c r="BK23" s="295"/>
      <c r="BL23" s="373">
        <f t="shared" ref="BL23" si="31">AB23+AD23+AF23+AH23+AJ23+AL23+AN23+AP23+AR23+AT23+AV23+AX23+AZ23+BB23+BD23+BF23+BH23+BJ23</f>
        <v>1</v>
      </c>
      <c r="BM23" s="295">
        <f t="shared" ref="BM23" si="32">AC23+AE23+AG23+AI23+AK23+AM23+AO23+AQ23+AS23+AU23+AW23+AY23+BA23+BC23+BE23+BG23+BI23+BK23</f>
        <v>500000</v>
      </c>
      <c r="BN23" s="317" t="s">
        <v>414</v>
      </c>
      <c r="BP23" s="321"/>
      <c r="BQ23" s="321"/>
      <c r="BR23" s="321"/>
      <c r="BS23" s="321"/>
      <c r="BT23" s="321"/>
      <c r="BU23" s="321"/>
      <c r="BV23" s="321"/>
      <c r="BW23" s="321"/>
      <c r="BX23" s="322"/>
    </row>
    <row r="24" spans="1:161" hidden="1" x14ac:dyDescent="0.2">
      <c r="A24" s="816"/>
      <c r="B24" s="574"/>
      <c r="C24" s="406"/>
      <c r="D24" s="406"/>
      <c r="E24" s="342" t="s">
        <v>943</v>
      </c>
      <c r="F24" s="317" t="s">
        <v>239</v>
      </c>
      <c r="G24" s="336">
        <v>700000</v>
      </c>
      <c r="H24" s="352">
        <f t="shared" si="27"/>
        <v>0</v>
      </c>
      <c r="I24" s="295">
        <f t="shared" si="28"/>
        <v>0</v>
      </c>
      <c r="J24" s="394"/>
      <c r="K24" s="394"/>
      <c r="L24" s="394">
        <f>I24</f>
        <v>0</v>
      </c>
      <c r="M24" s="394"/>
      <c r="N24" s="295"/>
      <c r="O24" s="394"/>
      <c r="P24" s="394"/>
      <c r="Q24" s="394"/>
      <c r="R24" s="394"/>
      <c r="S24" s="394"/>
      <c r="T24" s="374"/>
      <c r="U24" s="374"/>
      <c r="V24" s="374"/>
      <c r="W24" s="374"/>
      <c r="X24" s="394"/>
      <c r="Y24" s="394"/>
      <c r="Z24" s="394"/>
      <c r="AA24" s="394"/>
      <c r="AB24" s="373"/>
      <c r="AC24" s="295"/>
      <c r="AD24" s="373">
        <v>0</v>
      </c>
      <c r="AE24" s="295"/>
      <c r="AF24" s="373">
        <v>0</v>
      </c>
      <c r="AG24" s="295"/>
      <c r="AH24" s="373">
        <v>0</v>
      </c>
      <c r="AI24" s="295"/>
      <c r="AJ24" s="373"/>
      <c r="AK24" s="295"/>
      <c r="AL24" s="373">
        <v>0</v>
      </c>
      <c r="AM24" s="295"/>
      <c r="AN24" s="373">
        <v>0</v>
      </c>
      <c r="AO24" s="295">
        <f>AN24*G24</f>
        <v>0</v>
      </c>
      <c r="AP24" s="373"/>
      <c r="AQ24" s="295"/>
      <c r="AR24" s="373"/>
      <c r="AS24" s="295"/>
      <c r="AT24" s="373"/>
      <c r="AU24" s="295"/>
      <c r="AV24" s="373"/>
      <c r="AW24" s="295"/>
      <c r="AX24" s="373"/>
      <c r="AY24" s="295"/>
      <c r="AZ24" s="373"/>
      <c r="BA24" s="295"/>
      <c r="BB24" s="373">
        <v>0</v>
      </c>
      <c r="BC24" s="295"/>
      <c r="BD24" s="373"/>
      <c r="BE24" s="295"/>
      <c r="BF24" s="373"/>
      <c r="BG24" s="295"/>
      <c r="BH24" s="373"/>
      <c r="BI24" s="295"/>
      <c r="BJ24" s="373"/>
      <c r="BK24" s="295"/>
      <c r="BL24" s="373">
        <f t="shared" ref="BL24" si="33">AB24+AD24+AF24+AH24+AJ24+AL24+AN24+AP24+AR24+AT24+AV24+AX24+AZ24+BB24+BD24+BF24+BH24+BJ24</f>
        <v>0</v>
      </c>
      <c r="BM24" s="295">
        <f t="shared" ref="BM24" si="34">AC24+AE24+AG24+AI24+AK24+AM24+AO24+AQ24+AS24+AU24+AW24+AY24+BA24+BC24+BE24+BG24+BI24+BK24</f>
        <v>0</v>
      </c>
      <c r="BN24" s="317" t="s">
        <v>944</v>
      </c>
      <c r="BP24" s="321"/>
      <c r="BQ24" s="321"/>
      <c r="BR24" s="321"/>
      <c r="BS24" s="321"/>
      <c r="BT24" s="321"/>
      <c r="BU24" s="321"/>
      <c r="BV24" s="321"/>
      <c r="BW24" s="321"/>
      <c r="BX24" s="322"/>
    </row>
    <row r="25" spans="1:161" hidden="1" x14ac:dyDescent="0.2">
      <c r="A25" s="816"/>
      <c r="B25" s="574"/>
      <c r="C25" s="406"/>
      <c r="D25" s="406"/>
      <c r="E25" s="342" t="s">
        <v>540</v>
      </c>
      <c r="F25" s="317" t="s">
        <v>239</v>
      </c>
      <c r="G25" s="336">
        <v>1200000</v>
      </c>
      <c r="H25" s="352">
        <f t="shared" si="27"/>
        <v>0</v>
      </c>
      <c r="I25" s="295">
        <f t="shared" si="28"/>
        <v>0</v>
      </c>
      <c r="J25" s="394"/>
      <c r="K25" s="394"/>
      <c r="L25" s="394"/>
      <c r="M25" s="394"/>
      <c r="N25" s="295">
        <f>I25</f>
        <v>0</v>
      </c>
      <c r="O25" s="394"/>
      <c r="P25" s="394"/>
      <c r="Q25" s="394"/>
      <c r="R25" s="394"/>
      <c r="S25" s="394"/>
      <c r="T25" s="374">
        <f>H25*0.25</f>
        <v>0</v>
      </c>
      <c r="U25" s="374">
        <f>H25*0.25</f>
        <v>0</v>
      </c>
      <c r="V25" s="374">
        <f>H25*0.25</f>
        <v>0</v>
      </c>
      <c r="W25" s="374">
        <f>H25*0.25</f>
        <v>0</v>
      </c>
      <c r="X25" s="394">
        <f>T25*I25</f>
        <v>0</v>
      </c>
      <c r="Y25" s="394">
        <f>U25*I25</f>
        <v>0</v>
      </c>
      <c r="Z25" s="394">
        <f>V25*I25</f>
        <v>0</v>
      </c>
      <c r="AA25" s="394">
        <f>W25*I25</f>
        <v>0</v>
      </c>
      <c r="AB25" s="373">
        <v>0</v>
      </c>
      <c r="AC25" s="295"/>
      <c r="AD25" s="373">
        <v>0</v>
      </c>
      <c r="AE25" s="295"/>
      <c r="AF25" s="373">
        <v>0</v>
      </c>
      <c r="AG25" s="295">
        <f t="shared" si="4"/>
        <v>0</v>
      </c>
      <c r="AH25" s="373">
        <v>0</v>
      </c>
      <c r="AI25" s="295">
        <f t="shared" si="5"/>
        <v>0</v>
      </c>
      <c r="AJ25" s="373">
        <v>0</v>
      </c>
      <c r="AK25" s="295">
        <f t="shared" si="6"/>
        <v>0</v>
      </c>
      <c r="AL25" s="373">
        <v>0</v>
      </c>
      <c r="AM25" s="295"/>
      <c r="AN25" s="373"/>
      <c r="AO25" s="295"/>
      <c r="AP25" s="373">
        <v>0</v>
      </c>
      <c r="AQ25" s="295"/>
      <c r="AR25" s="373"/>
      <c r="AS25" s="295"/>
      <c r="AT25" s="373"/>
      <c r="AU25" s="295"/>
      <c r="AV25" s="373"/>
      <c r="AW25" s="295"/>
      <c r="AX25" s="373"/>
      <c r="AY25" s="295"/>
      <c r="AZ25" s="373"/>
      <c r="BA25" s="295"/>
      <c r="BB25" s="373">
        <v>0</v>
      </c>
      <c r="BC25" s="295"/>
      <c r="BD25" s="373"/>
      <c r="BE25" s="295"/>
      <c r="BF25" s="373">
        <v>0</v>
      </c>
      <c r="BG25" s="295"/>
      <c r="BH25" s="373">
        <v>0</v>
      </c>
      <c r="BI25" s="295">
        <f t="shared" si="29"/>
        <v>0</v>
      </c>
      <c r="BJ25" s="373"/>
      <c r="BK25" s="295"/>
      <c r="BL25" s="373">
        <f t="shared" si="30"/>
        <v>0</v>
      </c>
      <c r="BM25" s="295">
        <f t="shared" si="30"/>
        <v>0</v>
      </c>
      <c r="BN25" s="317" t="s">
        <v>414</v>
      </c>
      <c r="BP25" s="321">
        <f t="shared" si="26"/>
        <v>0</v>
      </c>
      <c r="BQ25" s="321"/>
      <c r="BR25" s="321"/>
      <c r="BS25" s="321"/>
      <c r="BT25" s="321">
        <f t="shared" si="18"/>
        <v>0</v>
      </c>
      <c r="BU25" s="321"/>
      <c r="BV25" s="321"/>
      <c r="BW25" s="321"/>
      <c r="BX25" s="322">
        <f t="shared" si="22"/>
        <v>0</v>
      </c>
    </row>
    <row r="26" spans="1:161" hidden="1" x14ac:dyDescent="0.2">
      <c r="A26" s="816"/>
      <c r="B26" s="574"/>
      <c r="C26" s="406"/>
      <c r="D26" s="406"/>
      <c r="E26" s="342" t="s">
        <v>541</v>
      </c>
      <c r="F26" s="317" t="s">
        <v>239</v>
      </c>
      <c r="G26" s="336">
        <v>8000000</v>
      </c>
      <c r="H26" s="352">
        <f t="shared" si="27"/>
        <v>0</v>
      </c>
      <c r="I26" s="295">
        <f t="shared" si="28"/>
        <v>0</v>
      </c>
      <c r="J26" s="394"/>
      <c r="K26" s="394"/>
      <c r="L26" s="394"/>
      <c r="M26" s="394"/>
      <c r="N26" s="295">
        <f>I26</f>
        <v>0</v>
      </c>
      <c r="O26" s="394"/>
      <c r="P26" s="394"/>
      <c r="Q26" s="394"/>
      <c r="R26" s="394"/>
      <c r="S26" s="394"/>
      <c r="T26" s="374">
        <f>H26*0.25</f>
        <v>0</v>
      </c>
      <c r="U26" s="374">
        <f>H26*0.25</f>
        <v>0</v>
      </c>
      <c r="V26" s="374">
        <f>H26*0.25</f>
        <v>0</v>
      </c>
      <c r="W26" s="374">
        <f>H26*0.25</f>
        <v>0</v>
      </c>
      <c r="X26" s="394">
        <f>T26*I26</f>
        <v>0</v>
      </c>
      <c r="Y26" s="394">
        <f>U26*I26</f>
        <v>0</v>
      </c>
      <c r="Z26" s="394">
        <f>V26*I26</f>
        <v>0</v>
      </c>
      <c r="AA26" s="394">
        <f>W26*I26</f>
        <v>0</v>
      </c>
      <c r="AB26" s="373"/>
      <c r="AC26" s="295"/>
      <c r="AD26" s="373">
        <v>0</v>
      </c>
      <c r="AE26" s="295"/>
      <c r="AF26" s="373">
        <v>0</v>
      </c>
      <c r="AG26" s="295">
        <f t="shared" si="4"/>
        <v>0</v>
      </c>
      <c r="AH26" s="373">
        <v>0</v>
      </c>
      <c r="AI26" s="295">
        <f t="shared" si="5"/>
        <v>0</v>
      </c>
      <c r="AJ26" s="373">
        <v>0</v>
      </c>
      <c r="AK26" s="295">
        <f t="shared" si="6"/>
        <v>0</v>
      </c>
      <c r="AL26" s="373">
        <v>0</v>
      </c>
      <c r="AM26" s="295"/>
      <c r="AN26" s="373"/>
      <c r="AO26" s="295"/>
      <c r="AP26" s="373">
        <v>0</v>
      </c>
      <c r="AQ26" s="295"/>
      <c r="AR26" s="373"/>
      <c r="AS26" s="295"/>
      <c r="AT26" s="373">
        <v>0</v>
      </c>
      <c r="AU26" s="295">
        <f t="shared" si="11"/>
        <v>0</v>
      </c>
      <c r="AV26" s="373"/>
      <c r="AW26" s="295"/>
      <c r="AX26" s="373"/>
      <c r="AY26" s="295"/>
      <c r="AZ26" s="373"/>
      <c r="BA26" s="295"/>
      <c r="BB26" s="373">
        <v>0</v>
      </c>
      <c r="BC26" s="295"/>
      <c r="BD26" s="373"/>
      <c r="BE26" s="295"/>
      <c r="BF26" s="373">
        <v>0</v>
      </c>
      <c r="BG26" s="295"/>
      <c r="BH26" s="373">
        <v>0</v>
      </c>
      <c r="BI26" s="295">
        <f t="shared" si="29"/>
        <v>0</v>
      </c>
      <c r="BJ26" s="373"/>
      <c r="BK26" s="295"/>
      <c r="BL26" s="373">
        <f t="shared" ref="BL26" si="35">AB26+AD26+AF26+AH26+AJ26+AL26+AN26+AP26+AR26+AT26+AV26+AX26+AZ26+BB26+BD26+BF26+BH26+BJ26</f>
        <v>0</v>
      </c>
      <c r="BM26" s="295">
        <f t="shared" ref="BM26" si="36">AC26+AE26+AG26+AI26+AK26+AM26+AO26+AQ26+AS26+AU26+AW26+AY26+BA26+BC26+BE26+BG26+BI26+BK26</f>
        <v>0</v>
      </c>
      <c r="BN26" s="317" t="s">
        <v>414</v>
      </c>
      <c r="BP26" s="321">
        <f t="shared" si="26"/>
        <v>0</v>
      </c>
      <c r="BQ26" s="321"/>
      <c r="BR26" s="321"/>
      <c r="BS26" s="321"/>
      <c r="BT26" s="321">
        <f t="shared" si="18"/>
        <v>0</v>
      </c>
      <c r="BU26" s="321"/>
      <c r="BV26" s="321"/>
      <c r="BW26" s="321"/>
      <c r="BX26" s="322">
        <f t="shared" si="22"/>
        <v>0</v>
      </c>
    </row>
    <row r="27" spans="1:161" hidden="1" x14ac:dyDescent="0.2">
      <c r="A27" s="816"/>
      <c r="B27" s="574"/>
      <c r="C27" s="406"/>
      <c r="D27" s="406"/>
      <c r="E27" s="342" t="s">
        <v>564</v>
      </c>
      <c r="F27" s="317" t="s">
        <v>239</v>
      </c>
      <c r="G27" s="336" t="s">
        <v>339</v>
      </c>
      <c r="H27" s="352">
        <f t="shared" si="27"/>
        <v>0</v>
      </c>
      <c r="I27" s="374">
        <f t="shared" si="28"/>
        <v>0</v>
      </c>
      <c r="J27" s="394"/>
      <c r="K27" s="394"/>
      <c r="L27" s="394"/>
      <c r="M27" s="394">
        <f>I27</f>
        <v>0</v>
      </c>
      <c r="N27" s="394"/>
      <c r="O27" s="394"/>
      <c r="P27" s="394"/>
      <c r="Q27" s="394"/>
      <c r="R27" s="394"/>
      <c r="S27" s="394"/>
      <c r="T27" s="374">
        <f>H27*0.25</f>
        <v>0</v>
      </c>
      <c r="U27" s="374">
        <f>H27*0.25</f>
        <v>0</v>
      </c>
      <c r="V27" s="374">
        <f>H27*0.25</f>
        <v>0</v>
      </c>
      <c r="W27" s="374">
        <f>H27*0.25</f>
        <v>0</v>
      </c>
      <c r="X27" s="394">
        <f>T27*I27</f>
        <v>0</v>
      </c>
      <c r="Y27" s="394">
        <f>U27*I27</f>
        <v>0</v>
      </c>
      <c r="Z27" s="394">
        <f>V27*I27</f>
        <v>0</v>
      </c>
      <c r="AA27" s="394">
        <f>W27*I27</f>
        <v>0</v>
      </c>
      <c r="AB27" s="373">
        <v>0</v>
      </c>
      <c r="AC27" s="295">
        <f t="shared" si="2"/>
        <v>0</v>
      </c>
      <c r="AD27" s="373">
        <v>0</v>
      </c>
      <c r="AE27" s="295">
        <f t="shared" si="3"/>
        <v>0</v>
      </c>
      <c r="AF27" s="373">
        <v>0</v>
      </c>
      <c r="AG27" s="295">
        <f t="shared" si="4"/>
        <v>0</v>
      </c>
      <c r="AH27" s="373">
        <v>0</v>
      </c>
      <c r="AI27" s="295">
        <f t="shared" si="5"/>
        <v>0</v>
      </c>
      <c r="AJ27" s="373">
        <v>0</v>
      </c>
      <c r="AK27" s="295">
        <f t="shared" si="6"/>
        <v>0</v>
      </c>
      <c r="AL27" s="373">
        <v>0</v>
      </c>
      <c r="AM27" s="295">
        <f t="shared" si="7"/>
        <v>0</v>
      </c>
      <c r="AN27" s="373">
        <v>0</v>
      </c>
      <c r="AO27" s="295">
        <f t="shared" si="8"/>
        <v>0</v>
      </c>
      <c r="AP27" s="373">
        <v>0</v>
      </c>
      <c r="AQ27" s="295">
        <f t="shared" si="9"/>
        <v>0</v>
      </c>
      <c r="AR27" s="373">
        <v>0</v>
      </c>
      <c r="AS27" s="295">
        <f t="shared" si="10"/>
        <v>0</v>
      </c>
      <c r="AT27" s="373">
        <v>0</v>
      </c>
      <c r="AU27" s="295">
        <f t="shared" si="11"/>
        <v>0</v>
      </c>
      <c r="AV27" s="373">
        <v>0</v>
      </c>
      <c r="AW27" s="295">
        <f t="shared" si="12"/>
        <v>0</v>
      </c>
      <c r="AX27" s="373">
        <v>0</v>
      </c>
      <c r="AY27" s="295">
        <f t="shared" si="13"/>
        <v>0</v>
      </c>
      <c r="AZ27" s="373">
        <v>0</v>
      </c>
      <c r="BA27" s="295">
        <f t="shared" si="14"/>
        <v>0</v>
      </c>
      <c r="BB27" s="373">
        <v>0</v>
      </c>
      <c r="BC27" s="295">
        <f t="shared" si="15"/>
        <v>0</v>
      </c>
      <c r="BD27" s="373">
        <v>0</v>
      </c>
      <c r="BE27" s="295">
        <f t="shared" si="16"/>
        <v>0</v>
      </c>
      <c r="BF27" s="373">
        <v>0</v>
      </c>
      <c r="BG27" s="295">
        <f t="shared" si="17"/>
        <v>0</v>
      </c>
      <c r="BH27" s="373">
        <v>0</v>
      </c>
      <c r="BI27" s="295">
        <f t="shared" si="29"/>
        <v>0</v>
      </c>
      <c r="BJ27" s="373">
        <v>0</v>
      </c>
      <c r="BK27" s="295">
        <f>BJ27*G27</f>
        <v>0</v>
      </c>
      <c r="BL27" s="373">
        <f t="shared" si="30"/>
        <v>0</v>
      </c>
      <c r="BM27" s="295">
        <f t="shared" si="30"/>
        <v>0</v>
      </c>
      <c r="BN27" s="317" t="s">
        <v>415</v>
      </c>
      <c r="BP27" s="321">
        <f t="shared" si="26"/>
        <v>0</v>
      </c>
      <c r="BQ27" s="321"/>
      <c r="BR27" s="321"/>
      <c r="BS27" s="321"/>
      <c r="BT27" s="321">
        <f t="shared" si="18"/>
        <v>0</v>
      </c>
      <c r="BU27" s="321"/>
      <c r="BV27" s="321"/>
      <c r="BW27" s="321">
        <f>BU27+BV27</f>
        <v>0</v>
      </c>
      <c r="BX27" s="322">
        <f t="shared" si="22"/>
        <v>0</v>
      </c>
    </row>
    <row r="28" spans="1:161" s="571" customFormat="1" hidden="1" x14ac:dyDescent="0.2">
      <c r="A28" s="816"/>
      <c r="B28" s="574"/>
      <c r="C28" s="407"/>
      <c r="D28" s="407"/>
      <c r="E28" s="316" t="s">
        <v>405</v>
      </c>
      <c r="F28" s="343" t="s">
        <v>111</v>
      </c>
      <c r="G28" s="344"/>
      <c r="H28" s="408">
        <f>SUM(H21:H27)</f>
        <v>47</v>
      </c>
      <c r="I28" s="408">
        <f t="shared" ref="I28:BM28" si="37">SUM(I21:I27)</f>
        <v>39900000</v>
      </c>
      <c r="J28" s="408">
        <f t="shared" si="37"/>
        <v>0</v>
      </c>
      <c r="K28" s="408">
        <f t="shared" si="37"/>
        <v>0</v>
      </c>
      <c r="L28" s="408">
        <f t="shared" si="37"/>
        <v>0</v>
      </c>
      <c r="M28" s="408">
        <f t="shared" si="37"/>
        <v>0</v>
      </c>
      <c r="N28" s="408">
        <f t="shared" si="37"/>
        <v>39900000</v>
      </c>
      <c r="O28" s="408">
        <f t="shared" si="37"/>
        <v>0</v>
      </c>
      <c r="P28" s="408">
        <f t="shared" si="37"/>
        <v>0</v>
      </c>
      <c r="Q28" s="408">
        <f t="shared" si="37"/>
        <v>0</v>
      </c>
      <c r="R28" s="408">
        <f t="shared" si="37"/>
        <v>0</v>
      </c>
      <c r="S28" s="408">
        <f t="shared" si="37"/>
        <v>0</v>
      </c>
      <c r="T28" s="408">
        <f t="shared" si="37"/>
        <v>11.5</v>
      </c>
      <c r="U28" s="408">
        <f t="shared" si="37"/>
        <v>11.5</v>
      </c>
      <c r="V28" s="408">
        <f t="shared" si="37"/>
        <v>11.5</v>
      </c>
      <c r="W28" s="408">
        <f t="shared" si="37"/>
        <v>11.5</v>
      </c>
      <c r="X28" s="408">
        <f t="shared" si="37"/>
        <v>318350000</v>
      </c>
      <c r="Y28" s="408">
        <f t="shared" si="37"/>
        <v>318350000</v>
      </c>
      <c r="Z28" s="408">
        <f t="shared" si="37"/>
        <v>318350000</v>
      </c>
      <c r="AA28" s="408">
        <f t="shared" si="37"/>
        <v>318350000</v>
      </c>
      <c r="AB28" s="408">
        <f t="shared" si="37"/>
        <v>3</v>
      </c>
      <c r="AC28" s="408">
        <f t="shared" si="37"/>
        <v>2500000</v>
      </c>
      <c r="AD28" s="408">
        <f t="shared" si="37"/>
        <v>1</v>
      </c>
      <c r="AE28" s="408">
        <f t="shared" si="37"/>
        <v>1000000</v>
      </c>
      <c r="AF28" s="408">
        <f t="shared" si="37"/>
        <v>4</v>
      </c>
      <c r="AG28" s="408">
        <f t="shared" si="37"/>
        <v>4000000</v>
      </c>
      <c r="AH28" s="408">
        <f t="shared" si="37"/>
        <v>5</v>
      </c>
      <c r="AI28" s="408">
        <f t="shared" si="37"/>
        <v>5000000</v>
      </c>
      <c r="AJ28" s="408">
        <f t="shared" si="37"/>
        <v>2</v>
      </c>
      <c r="AK28" s="408">
        <f t="shared" si="37"/>
        <v>800000</v>
      </c>
      <c r="AL28" s="408">
        <f t="shared" si="37"/>
        <v>5</v>
      </c>
      <c r="AM28" s="408">
        <f t="shared" si="37"/>
        <v>5000000</v>
      </c>
      <c r="AN28" s="408">
        <f t="shared" si="37"/>
        <v>0</v>
      </c>
      <c r="AO28" s="408">
        <f t="shared" si="37"/>
        <v>0</v>
      </c>
      <c r="AP28" s="408">
        <f t="shared" si="37"/>
        <v>0</v>
      </c>
      <c r="AQ28" s="408">
        <f t="shared" si="37"/>
        <v>0</v>
      </c>
      <c r="AR28" s="408">
        <f t="shared" si="37"/>
        <v>0</v>
      </c>
      <c r="AS28" s="408">
        <f t="shared" si="37"/>
        <v>0</v>
      </c>
      <c r="AT28" s="408">
        <f t="shared" si="37"/>
        <v>6</v>
      </c>
      <c r="AU28" s="408">
        <f t="shared" si="37"/>
        <v>6000000</v>
      </c>
      <c r="AV28" s="408">
        <f t="shared" si="37"/>
        <v>5</v>
      </c>
      <c r="AW28" s="408">
        <f t="shared" si="37"/>
        <v>3800000</v>
      </c>
      <c r="AX28" s="408">
        <f t="shared" si="37"/>
        <v>7</v>
      </c>
      <c r="AY28" s="408">
        <f t="shared" si="37"/>
        <v>5800000</v>
      </c>
      <c r="AZ28" s="408">
        <f t="shared" si="37"/>
        <v>8</v>
      </c>
      <c r="BA28" s="408">
        <f t="shared" si="37"/>
        <v>5000000</v>
      </c>
      <c r="BB28" s="408">
        <f t="shared" si="37"/>
        <v>0</v>
      </c>
      <c r="BC28" s="408">
        <f t="shared" si="37"/>
        <v>0</v>
      </c>
      <c r="BD28" s="408">
        <f t="shared" si="37"/>
        <v>0</v>
      </c>
      <c r="BE28" s="408">
        <f t="shared" si="37"/>
        <v>0</v>
      </c>
      <c r="BF28" s="408">
        <f t="shared" si="37"/>
        <v>0</v>
      </c>
      <c r="BG28" s="408">
        <f t="shared" si="37"/>
        <v>0</v>
      </c>
      <c r="BH28" s="408">
        <f t="shared" si="37"/>
        <v>1</v>
      </c>
      <c r="BI28" s="408">
        <f t="shared" si="37"/>
        <v>1000000</v>
      </c>
      <c r="BJ28" s="408">
        <f t="shared" si="37"/>
        <v>0</v>
      </c>
      <c r="BK28" s="408">
        <f t="shared" si="37"/>
        <v>0</v>
      </c>
      <c r="BL28" s="408">
        <f t="shared" si="37"/>
        <v>47</v>
      </c>
      <c r="BM28" s="408">
        <f t="shared" si="37"/>
        <v>39900000</v>
      </c>
      <c r="BN28" s="408">
        <f t="shared" ref="BN28:BX28" si="38">SUM(BN21:BN27)</f>
        <v>0</v>
      </c>
      <c r="BO28" s="408">
        <f t="shared" si="38"/>
        <v>0</v>
      </c>
      <c r="BP28" s="408">
        <f t="shared" si="38"/>
        <v>39400000</v>
      </c>
      <c r="BQ28" s="408">
        <f t="shared" si="38"/>
        <v>0</v>
      </c>
      <c r="BR28" s="408">
        <f t="shared" si="38"/>
        <v>0</v>
      </c>
      <c r="BS28" s="408">
        <f t="shared" si="38"/>
        <v>0</v>
      </c>
      <c r="BT28" s="408">
        <f t="shared" si="38"/>
        <v>39400000</v>
      </c>
      <c r="BU28" s="408">
        <f t="shared" si="38"/>
        <v>0</v>
      </c>
      <c r="BV28" s="408">
        <f t="shared" si="38"/>
        <v>0</v>
      </c>
      <c r="BW28" s="408">
        <f t="shared" si="38"/>
        <v>0</v>
      </c>
      <c r="BX28" s="408">
        <f t="shared" si="38"/>
        <v>39400000</v>
      </c>
      <c r="BY28" s="297"/>
      <c r="BZ28" s="297"/>
      <c r="CA28" s="297"/>
      <c r="CB28" s="297"/>
      <c r="CC28" s="297"/>
      <c r="CD28" s="297"/>
      <c r="CE28" s="297"/>
      <c r="CF28" s="297"/>
      <c r="CG28" s="297"/>
      <c r="CH28" s="297"/>
      <c r="CI28" s="297"/>
      <c r="CJ28" s="297"/>
      <c r="CK28" s="297"/>
      <c r="CL28" s="297"/>
      <c r="CM28" s="297"/>
      <c r="CN28" s="297"/>
      <c r="CO28" s="297"/>
      <c r="CP28" s="297"/>
      <c r="CQ28" s="297"/>
      <c r="CR28" s="297"/>
      <c r="CS28" s="297"/>
      <c r="CT28" s="297"/>
      <c r="CU28" s="297"/>
      <c r="CV28" s="297"/>
      <c r="CW28" s="297"/>
      <c r="CX28" s="297"/>
      <c r="CY28" s="297"/>
      <c r="CZ28" s="297"/>
      <c r="DA28" s="297"/>
      <c r="DB28" s="297"/>
      <c r="DC28" s="297"/>
      <c r="DD28" s="297"/>
      <c r="DE28" s="297"/>
      <c r="DF28" s="297"/>
      <c r="DG28" s="297"/>
      <c r="DH28" s="297"/>
      <c r="DI28" s="297"/>
      <c r="DJ28" s="297"/>
      <c r="DK28" s="297"/>
      <c r="DL28" s="297"/>
      <c r="DM28" s="297"/>
      <c r="DN28" s="297"/>
      <c r="DO28" s="297"/>
      <c r="DP28" s="297"/>
      <c r="DQ28" s="297"/>
      <c r="DR28" s="297"/>
      <c r="DS28" s="297"/>
      <c r="DT28" s="297"/>
      <c r="DU28" s="297"/>
      <c r="DV28" s="297"/>
      <c r="DW28" s="297"/>
      <c r="DX28" s="297"/>
      <c r="DY28" s="297"/>
      <c r="DZ28" s="297"/>
      <c r="EA28" s="297"/>
      <c r="EB28" s="297"/>
      <c r="EC28" s="297"/>
      <c r="ED28" s="297"/>
      <c r="EE28" s="297"/>
      <c r="EF28" s="297"/>
      <c r="EG28" s="297"/>
      <c r="EH28" s="297"/>
      <c r="EI28" s="297"/>
      <c r="EJ28" s="297"/>
      <c r="EK28" s="297"/>
      <c r="EL28" s="297"/>
      <c r="EM28" s="297"/>
      <c r="EN28" s="297"/>
      <c r="EO28" s="297"/>
      <c r="EP28" s="297"/>
      <c r="EQ28" s="297"/>
      <c r="ER28" s="297"/>
      <c r="ES28" s="297"/>
      <c r="ET28" s="297"/>
      <c r="EU28" s="297"/>
      <c r="EV28" s="297"/>
      <c r="EW28" s="297"/>
      <c r="EX28" s="297"/>
      <c r="EY28" s="297"/>
      <c r="EZ28" s="297"/>
      <c r="FA28" s="297"/>
      <c r="FB28" s="297"/>
      <c r="FC28" s="297"/>
      <c r="FD28" s="297"/>
      <c r="FE28" s="297"/>
    </row>
    <row r="29" spans="1:161" hidden="1" x14ac:dyDescent="0.2">
      <c r="A29" s="816"/>
      <c r="B29" s="574"/>
      <c r="C29" s="409"/>
      <c r="D29" s="409"/>
      <c r="E29" s="316" t="s">
        <v>406</v>
      </c>
      <c r="F29" s="317"/>
      <c r="G29" s="336"/>
      <c r="H29" s="294"/>
      <c r="I29" s="394"/>
      <c r="J29" s="394"/>
      <c r="K29" s="394"/>
      <c r="L29" s="394"/>
      <c r="M29" s="394"/>
      <c r="N29" s="394"/>
      <c r="O29" s="394"/>
      <c r="P29" s="394"/>
      <c r="Q29" s="394"/>
      <c r="R29" s="394"/>
      <c r="S29" s="394"/>
      <c r="T29" s="374"/>
      <c r="U29" s="374"/>
      <c r="V29" s="374"/>
      <c r="W29" s="374"/>
      <c r="X29" s="394"/>
      <c r="Y29" s="394"/>
      <c r="Z29" s="394"/>
      <c r="AA29" s="394"/>
      <c r="AB29" s="373"/>
      <c r="AC29" s="295"/>
      <c r="AD29" s="373"/>
      <c r="AE29" s="295"/>
      <c r="AF29" s="373"/>
      <c r="AG29" s="295"/>
      <c r="AH29" s="373"/>
      <c r="AI29" s="295"/>
      <c r="AJ29" s="373"/>
      <c r="AK29" s="295"/>
      <c r="AL29" s="373"/>
      <c r="AM29" s="295"/>
      <c r="AN29" s="373"/>
      <c r="AO29" s="295"/>
      <c r="AP29" s="373"/>
      <c r="AQ29" s="295"/>
      <c r="AR29" s="373"/>
      <c r="AS29" s="295"/>
      <c r="AT29" s="373"/>
      <c r="AU29" s="295"/>
      <c r="AV29" s="373"/>
      <c r="AW29" s="295"/>
      <c r="AX29" s="373"/>
      <c r="AY29" s="295"/>
      <c r="AZ29" s="373"/>
      <c r="BA29" s="295"/>
      <c r="BB29" s="373"/>
      <c r="BC29" s="295"/>
      <c r="BD29" s="373"/>
      <c r="BE29" s="295"/>
      <c r="BF29" s="373"/>
      <c r="BG29" s="295"/>
      <c r="BH29" s="373"/>
      <c r="BI29" s="295"/>
      <c r="BJ29" s="373"/>
      <c r="BK29" s="295"/>
      <c r="BL29" s="373"/>
      <c r="BM29" s="295"/>
      <c r="BN29" s="317"/>
      <c r="BP29" s="321">
        <f>I29</f>
        <v>0</v>
      </c>
      <c r="BQ29" s="321"/>
      <c r="BR29" s="321">
        <f>I29</f>
        <v>0</v>
      </c>
      <c r="BS29" s="321"/>
      <c r="BT29" s="321">
        <f t="shared" ref="BT29:BT51" si="39">BP29+BQ29+BR29+BS29</f>
        <v>0</v>
      </c>
      <c r="BU29" s="321"/>
      <c r="BV29" s="321"/>
      <c r="BW29" s="321">
        <f>BU29+BV29</f>
        <v>0</v>
      </c>
      <c r="BX29" s="322">
        <f t="shared" si="22"/>
        <v>0</v>
      </c>
    </row>
    <row r="30" spans="1:161" s="571" customFormat="1" hidden="1" x14ac:dyDescent="0.2">
      <c r="A30" s="816"/>
      <c r="B30" s="574"/>
      <c r="C30" s="407"/>
      <c r="D30" s="407"/>
      <c r="E30" s="342" t="s">
        <v>97</v>
      </c>
      <c r="F30" s="317" t="s">
        <v>93</v>
      </c>
      <c r="G30" s="336" t="s">
        <v>339</v>
      </c>
      <c r="H30" s="294">
        <f t="shared" ref="H30:I38" si="40">BL30</f>
        <v>39</v>
      </c>
      <c r="I30" s="294">
        <f t="shared" si="40"/>
        <v>19500000</v>
      </c>
      <c r="J30" s="394"/>
      <c r="K30" s="394"/>
      <c r="L30" s="394"/>
      <c r="M30" s="394"/>
      <c r="N30" s="394">
        <f>I30</f>
        <v>19500000</v>
      </c>
      <c r="O30" s="394"/>
      <c r="P30" s="394"/>
      <c r="Q30" s="394"/>
      <c r="R30" s="394"/>
      <c r="S30" s="394"/>
      <c r="T30" s="374">
        <f>H30*0.25</f>
        <v>9.75</v>
      </c>
      <c r="U30" s="374">
        <f>H30*0.25</f>
        <v>9.75</v>
      </c>
      <c r="V30" s="374">
        <f>H30*0.25</f>
        <v>9.75</v>
      </c>
      <c r="W30" s="374">
        <f>H30*0.25</f>
        <v>9.75</v>
      </c>
      <c r="X30" s="394">
        <f>T30*I30</f>
        <v>190125000</v>
      </c>
      <c r="Y30" s="394">
        <f>U30*I30</f>
        <v>190125000</v>
      </c>
      <c r="Z30" s="394">
        <f>V30*I30</f>
        <v>190125000</v>
      </c>
      <c r="AA30" s="394">
        <f>W30*I30</f>
        <v>190125000</v>
      </c>
      <c r="AB30" s="373">
        <v>0</v>
      </c>
      <c r="AC30" s="295">
        <f t="shared" si="2"/>
        <v>0</v>
      </c>
      <c r="AD30" s="373">
        <v>0</v>
      </c>
      <c r="AE30" s="295">
        <f t="shared" si="3"/>
        <v>0</v>
      </c>
      <c r="AF30" s="373">
        <v>1</v>
      </c>
      <c r="AG30" s="295">
        <f t="shared" si="4"/>
        <v>500000</v>
      </c>
      <c r="AH30" s="373">
        <v>5</v>
      </c>
      <c r="AI30" s="295">
        <f t="shared" si="5"/>
        <v>2500000</v>
      </c>
      <c r="AJ30" s="373">
        <v>0</v>
      </c>
      <c r="AK30" s="295">
        <f t="shared" si="6"/>
        <v>0</v>
      </c>
      <c r="AL30" s="373">
        <v>0</v>
      </c>
      <c r="AM30" s="295">
        <f t="shared" si="7"/>
        <v>0</v>
      </c>
      <c r="AN30" s="373">
        <v>2</v>
      </c>
      <c r="AO30" s="295">
        <f t="shared" si="8"/>
        <v>1000000</v>
      </c>
      <c r="AP30" s="373">
        <v>4</v>
      </c>
      <c r="AQ30" s="295">
        <f t="shared" si="9"/>
        <v>2000000</v>
      </c>
      <c r="AR30" s="373">
        <v>0</v>
      </c>
      <c r="AS30" s="295">
        <f t="shared" si="10"/>
        <v>0</v>
      </c>
      <c r="AT30" s="373">
        <v>0</v>
      </c>
      <c r="AU30" s="295">
        <f t="shared" si="11"/>
        <v>0</v>
      </c>
      <c r="AV30" s="373">
        <v>10</v>
      </c>
      <c r="AW30" s="295">
        <f t="shared" si="12"/>
        <v>5000000</v>
      </c>
      <c r="AX30" s="373">
        <v>6</v>
      </c>
      <c r="AY30" s="295">
        <f>(AX30*G30)</f>
        <v>3000000</v>
      </c>
      <c r="AZ30" s="373">
        <v>6</v>
      </c>
      <c r="BA30" s="295">
        <f t="shared" si="14"/>
        <v>3000000</v>
      </c>
      <c r="BB30" s="373">
        <v>1</v>
      </c>
      <c r="BC30" s="295">
        <f t="shared" si="15"/>
        <v>500000</v>
      </c>
      <c r="BD30" s="373">
        <v>1</v>
      </c>
      <c r="BE30" s="295">
        <f t="shared" si="16"/>
        <v>500000</v>
      </c>
      <c r="BF30" s="373">
        <v>0</v>
      </c>
      <c r="BG30" s="295">
        <f t="shared" si="17"/>
        <v>0</v>
      </c>
      <c r="BH30" s="373">
        <v>3</v>
      </c>
      <c r="BI30" s="295">
        <f>BH30*G30</f>
        <v>1500000</v>
      </c>
      <c r="BJ30" s="373"/>
      <c r="BK30" s="295">
        <f>BJ30*G30</f>
        <v>0</v>
      </c>
      <c r="BL30" s="373">
        <f t="shared" ref="BL30:BL38" si="41">AB30+AD30+AF30+AH30+AJ30+AL30+AN30+AP30+AR30+AT30+AV30+AX30+AZ30+BB30+BD30+BF30+BH30+BJ30</f>
        <v>39</v>
      </c>
      <c r="BM30" s="295">
        <f t="shared" ref="BM30:BM38" si="42">AC30+AE30+AG30+AI30+AK30+AM30+AO30+AQ30+AS30+AU30+AW30+AY30+BA30+BC30+BE30+BG30+BI30+BK30</f>
        <v>19500000</v>
      </c>
      <c r="BN30" s="317" t="s">
        <v>291</v>
      </c>
      <c r="BO30" s="298"/>
      <c r="BP30" s="321">
        <f>I30</f>
        <v>19500000</v>
      </c>
      <c r="BQ30" s="321"/>
      <c r="BR30" s="321"/>
      <c r="BS30" s="321"/>
      <c r="BT30" s="321">
        <f t="shared" si="39"/>
        <v>19500000</v>
      </c>
      <c r="BU30" s="321"/>
      <c r="BV30" s="321"/>
      <c r="BW30" s="321">
        <f>BU30+BV30</f>
        <v>0</v>
      </c>
      <c r="BX30" s="322">
        <f t="shared" si="22"/>
        <v>19500000</v>
      </c>
      <c r="BY30" s="298"/>
      <c r="BZ30" s="298"/>
      <c r="CA30" s="298"/>
      <c r="CB30" s="298"/>
      <c r="CC30" s="298"/>
      <c r="CD30" s="298"/>
      <c r="CE30" s="298"/>
      <c r="CF30" s="298"/>
      <c r="CG30" s="298"/>
      <c r="CH30" s="298"/>
      <c r="CI30" s="298"/>
      <c r="CJ30" s="298"/>
      <c r="CK30" s="298"/>
      <c r="CL30" s="298"/>
      <c r="CM30" s="298"/>
      <c r="CN30" s="298"/>
      <c r="CO30" s="298"/>
      <c r="CP30" s="298"/>
      <c r="CQ30" s="298"/>
      <c r="CR30" s="298"/>
      <c r="CS30" s="298"/>
      <c r="CT30" s="298"/>
      <c r="CU30" s="298"/>
      <c r="CV30" s="298"/>
      <c r="CW30" s="298"/>
      <c r="CX30" s="298"/>
      <c r="CY30" s="298"/>
      <c r="CZ30" s="298"/>
      <c r="DA30" s="298"/>
      <c r="DB30" s="298"/>
      <c r="DC30" s="298"/>
      <c r="DD30" s="298"/>
      <c r="DE30" s="298"/>
      <c r="DF30" s="298"/>
      <c r="DG30" s="298"/>
      <c r="DH30" s="298"/>
      <c r="DI30" s="298"/>
      <c r="DJ30" s="298"/>
      <c r="DK30" s="298"/>
      <c r="DL30" s="298"/>
      <c r="DM30" s="298"/>
      <c r="DN30" s="298"/>
      <c r="DO30" s="298"/>
      <c r="DP30" s="298"/>
      <c r="DQ30" s="298"/>
      <c r="DR30" s="298"/>
      <c r="DS30" s="298"/>
      <c r="DT30" s="298"/>
      <c r="DU30" s="298"/>
      <c r="DV30" s="298"/>
      <c r="DW30" s="298"/>
      <c r="DX30" s="298"/>
      <c r="DY30" s="298"/>
      <c r="DZ30" s="298"/>
      <c r="EA30" s="298"/>
      <c r="EB30" s="298"/>
      <c r="EC30" s="298"/>
      <c r="ED30" s="298"/>
      <c r="EE30" s="298"/>
      <c r="EF30" s="298"/>
      <c r="EG30" s="298"/>
      <c r="EH30" s="298"/>
      <c r="EI30" s="298"/>
      <c r="EJ30" s="298"/>
      <c r="EK30" s="298"/>
      <c r="EL30" s="298"/>
      <c r="EM30" s="298"/>
      <c r="EN30" s="298"/>
      <c r="EO30" s="298"/>
      <c r="EP30" s="298"/>
      <c r="EQ30" s="298"/>
      <c r="ER30" s="298"/>
      <c r="ES30" s="298"/>
      <c r="ET30" s="298"/>
      <c r="EU30" s="298"/>
      <c r="EV30" s="298"/>
      <c r="EW30" s="298"/>
      <c r="EX30" s="298"/>
      <c r="EY30" s="298"/>
      <c r="EZ30" s="298"/>
      <c r="FA30" s="298"/>
      <c r="FB30" s="298"/>
      <c r="FC30" s="298"/>
      <c r="FD30" s="298"/>
      <c r="FE30" s="298"/>
    </row>
    <row r="31" spans="1:161" s="571" customFormat="1" hidden="1" x14ac:dyDescent="0.2">
      <c r="A31" s="817"/>
      <c r="B31" s="575"/>
      <c r="C31" s="407"/>
      <c r="D31" s="407"/>
      <c r="E31" s="342" t="s">
        <v>552</v>
      </c>
      <c r="F31" s="317" t="s">
        <v>239</v>
      </c>
      <c r="G31" s="336">
        <v>15000</v>
      </c>
      <c r="H31" s="294">
        <f t="shared" si="40"/>
        <v>0</v>
      </c>
      <c r="I31" s="394">
        <f t="shared" ref="I31:I38" si="43">H31*G31</f>
        <v>0</v>
      </c>
      <c r="J31" s="394"/>
      <c r="K31" s="394"/>
      <c r="L31" s="394"/>
      <c r="M31" s="394"/>
      <c r="N31" s="394">
        <f>I31</f>
        <v>0</v>
      </c>
      <c r="O31" s="394"/>
      <c r="P31" s="394"/>
      <c r="Q31" s="394"/>
      <c r="R31" s="394"/>
      <c r="S31" s="394"/>
      <c r="T31" s="374">
        <f>H31*0.25</f>
        <v>0</v>
      </c>
      <c r="U31" s="374">
        <f>H31*0.25</f>
        <v>0</v>
      </c>
      <c r="V31" s="374">
        <f>H31*0.25</f>
        <v>0</v>
      </c>
      <c r="W31" s="374">
        <f>H31*0.25</f>
        <v>0</v>
      </c>
      <c r="X31" s="394">
        <f>T31*I31</f>
        <v>0</v>
      </c>
      <c r="Y31" s="394">
        <f>U31*I31</f>
        <v>0</v>
      </c>
      <c r="Z31" s="394">
        <f>V31*I31</f>
        <v>0</v>
      </c>
      <c r="AA31" s="394">
        <f>W31*I31</f>
        <v>0</v>
      </c>
      <c r="AB31" s="373">
        <v>0</v>
      </c>
      <c r="AC31" s="295">
        <f t="shared" si="2"/>
        <v>0</v>
      </c>
      <c r="AD31" s="373">
        <v>0</v>
      </c>
      <c r="AE31" s="295">
        <f t="shared" si="3"/>
        <v>0</v>
      </c>
      <c r="AF31" s="373">
        <v>0</v>
      </c>
      <c r="AG31" s="295">
        <f t="shared" si="4"/>
        <v>0</v>
      </c>
      <c r="AH31" s="373">
        <v>0</v>
      </c>
      <c r="AI31" s="295">
        <f t="shared" si="5"/>
        <v>0</v>
      </c>
      <c r="AJ31" s="373">
        <v>0</v>
      </c>
      <c r="AK31" s="295">
        <f t="shared" si="6"/>
        <v>0</v>
      </c>
      <c r="AL31" s="373">
        <v>0</v>
      </c>
      <c r="AM31" s="295">
        <f t="shared" si="7"/>
        <v>0</v>
      </c>
      <c r="AN31" s="373">
        <v>0</v>
      </c>
      <c r="AO31" s="295">
        <f t="shared" si="8"/>
        <v>0</v>
      </c>
      <c r="AP31" s="373">
        <v>0</v>
      </c>
      <c r="AQ31" s="295">
        <f t="shared" si="9"/>
        <v>0</v>
      </c>
      <c r="AR31" s="373">
        <v>0</v>
      </c>
      <c r="AS31" s="295">
        <f t="shared" si="10"/>
        <v>0</v>
      </c>
      <c r="AT31" s="373">
        <v>0</v>
      </c>
      <c r="AU31" s="295">
        <f t="shared" si="11"/>
        <v>0</v>
      </c>
      <c r="AV31" s="373">
        <v>0</v>
      </c>
      <c r="AW31" s="295">
        <f t="shared" si="12"/>
        <v>0</v>
      </c>
      <c r="AX31" s="373">
        <v>0</v>
      </c>
      <c r="AY31" s="295">
        <f t="shared" si="13"/>
        <v>0</v>
      </c>
      <c r="AZ31" s="373">
        <v>0</v>
      </c>
      <c r="BA31" s="295">
        <f t="shared" si="14"/>
        <v>0</v>
      </c>
      <c r="BB31" s="373">
        <v>0</v>
      </c>
      <c r="BC31" s="295">
        <f t="shared" si="15"/>
        <v>0</v>
      </c>
      <c r="BD31" s="373">
        <v>0</v>
      </c>
      <c r="BE31" s="295">
        <f t="shared" si="16"/>
        <v>0</v>
      </c>
      <c r="BF31" s="373">
        <v>0</v>
      </c>
      <c r="BG31" s="295">
        <f t="shared" si="17"/>
        <v>0</v>
      </c>
      <c r="BH31" s="373">
        <v>0</v>
      </c>
      <c r="BI31" s="295">
        <f>BH31*G31</f>
        <v>0</v>
      </c>
      <c r="BJ31" s="373">
        <v>0</v>
      </c>
      <c r="BK31" s="295">
        <f>BJ31*G31</f>
        <v>0</v>
      </c>
      <c r="BL31" s="373">
        <f t="shared" si="41"/>
        <v>0</v>
      </c>
      <c r="BM31" s="295">
        <f t="shared" si="42"/>
        <v>0</v>
      </c>
      <c r="BN31" s="317" t="s">
        <v>291</v>
      </c>
      <c r="BO31" s="298"/>
      <c r="BP31" s="321"/>
      <c r="BQ31" s="321">
        <f>BM31</f>
        <v>0</v>
      </c>
      <c r="BR31" s="321"/>
      <c r="BS31" s="321"/>
      <c r="BT31" s="321">
        <f t="shared" si="39"/>
        <v>0</v>
      </c>
      <c r="BU31" s="321"/>
      <c r="BV31" s="321"/>
      <c r="BW31" s="321">
        <f>BU31+BV31</f>
        <v>0</v>
      </c>
      <c r="BX31" s="322">
        <f t="shared" si="22"/>
        <v>0</v>
      </c>
      <c r="BY31" s="298"/>
      <c r="BZ31" s="298"/>
      <c r="CA31" s="298"/>
      <c r="CB31" s="298"/>
      <c r="CC31" s="298"/>
      <c r="CD31" s="298"/>
      <c r="CE31" s="298"/>
      <c r="CF31" s="298"/>
      <c r="CG31" s="298"/>
      <c r="CH31" s="298"/>
      <c r="CI31" s="298"/>
      <c r="CJ31" s="298"/>
      <c r="CK31" s="298"/>
      <c r="CL31" s="298"/>
      <c r="CM31" s="298"/>
      <c r="CN31" s="298"/>
      <c r="CO31" s="298"/>
      <c r="CP31" s="298"/>
      <c r="CQ31" s="298"/>
      <c r="CR31" s="298"/>
      <c r="CS31" s="298"/>
      <c r="CT31" s="298"/>
      <c r="CU31" s="298"/>
      <c r="CV31" s="298"/>
      <c r="CW31" s="298"/>
      <c r="CX31" s="298"/>
      <c r="CY31" s="298"/>
      <c r="CZ31" s="298"/>
      <c r="DA31" s="298"/>
      <c r="DB31" s="298"/>
      <c r="DC31" s="298"/>
      <c r="DD31" s="298"/>
      <c r="DE31" s="298"/>
      <c r="DF31" s="298"/>
      <c r="DG31" s="298"/>
      <c r="DH31" s="298"/>
      <c r="DI31" s="298"/>
      <c r="DJ31" s="298"/>
      <c r="DK31" s="298"/>
      <c r="DL31" s="298"/>
      <c r="DM31" s="298"/>
      <c r="DN31" s="298"/>
      <c r="DO31" s="298"/>
      <c r="DP31" s="298"/>
      <c r="DQ31" s="298"/>
      <c r="DR31" s="298"/>
      <c r="DS31" s="298"/>
      <c r="DT31" s="298"/>
      <c r="DU31" s="298"/>
      <c r="DV31" s="298"/>
      <c r="DW31" s="298"/>
      <c r="DX31" s="298"/>
      <c r="DY31" s="298"/>
      <c r="DZ31" s="298"/>
      <c r="EA31" s="298"/>
      <c r="EB31" s="298"/>
      <c r="EC31" s="298"/>
      <c r="ED31" s="298"/>
      <c r="EE31" s="298"/>
      <c r="EF31" s="298"/>
      <c r="EG31" s="298"/>
      <c r="EH31" s="298"/>
      <c r="EI31" s="298"/>
      <c r="EJ31" s="298"/>
      <c r="EK31" s="298"/>
      <c r="EL31" s="298"/>
      <c r="EM31" s="298"/>
      <c r="EN31" s="298"/>
      <c r="EO31" s="298"/>
      <c r="EP31" s="298"/>
      <c r="EQ31" s="298"/>
      <c r="ER31" s="298"/>
      <c r="ES31" s="298"/>
      <c r="ET31" s="298"/>
      <c r="EU31" s="298"/>
      <c r="EV31" s="298"/>
      <c r="EW31" s="298"/>
      <c r="EX31" s="298"/>
      <c r="EY31" s="298"/>
      <c r="EZ31" s="298"/>
      <c r="FA31" s="298"/>
      <c r="FB31" s="298"/>
      <c r="FC31" s="298"/>
      <c r="FD31" s="298"/>
      <c r="FE31" s="298"/>
    </row>
    <row r="32" spans="1:161" s="571" customFormat="1" hidden="1" x14ac:dyDescent="0.2">
      <c r="A32" s="817"/>
      <c r="B32" s="575"/>
      <c r="C32" s="407"/>
      <c r="D32" s="407"/>
      <c r="E32" s="342" t="s">
        <v>881</v>
      </c>
      <c r="F32" s="317"/>
      <c r="G32" s="336">
        <v>350000</v>
      </c>
      <c r="H32" s="294">
        <f t="shared" si="40"/>
        <v>1</v>
      </c>
      <c r="I32" s="294">
        <f t="shared" si="40"/>
        <v>350000</v>
      </c>
      <c r="J32" s="394"/>
      <c r="K32" s="394"/>
      <c r="L32" s="394"/>
      <c r="M32" s="394"/>
      <c r="N32" s="394">
        <f>I32</f>
        <v>350000</v>
      </c>
      <c r="O32" s="394"/>
      <c r="P32" s="394"/>
      <c r="Q32" s="394"/>
      <c r="R32" s="394"/>
      <c r="S32" s="394"/>
      <c r="T32" s="374"/>
      <c r="U32" s="374"/>
      <c r="V32" s="374"/>
      <c r="W32" s="374"/>
      <c r="X32" s="394"/>
      <c r="Y32" s="394"/>
      <c r="Z32" s="394"/>
      <c r="AA32" s="394"/>
      <c r="AB32" s="373">
        <v>0</v>
      </c>
      <c r="AC32" s="295">
        <f t="shared" si="2"/>
        <v>0</v>
      </c>
      <c r="AD32" s="373">
        <v>0</v>
      </c>
      <c r="AE32" s="295">
        <f t="shared" si="3"/>
        <v>0</v>
      </c>
      <c r="AF32" s="373">
        <v>0</v>
      </c>
      <c r="AG32" s="295">
        <f t="shared" si="4"/>
        <v>0</v>
      </c>
      <c r="AH32" s="373">
        <v>0</v>
      </c>
      <c r="AI32" s="295">
        <f t="shared" si="5"/>
        <v>0</v>
      </c>
      <c r="AJ32" s="373">
        <v>0</v>
      </c>
      <c r="AK32" s="295">
        <f t="shared" si="6"/>
        <v>0</v>
      </c>
      <c r="AL32" s="373">
        <v>0</v>
      </c>
      <c r="AM32" s="295">
        <f t="shared" si="7"/>
        <v>0</v>
      </c>
      <c r="AN32" s="373">
        <v>0</v>
      </c>
      <c r="AO32" s="295">
        <v>0</v>
      </c>
      <c r="AP32" s="373">
        <v>0</v>
      </c>
      <c r="AQ32" s="295"/>
      <c r="AR32" s="373">
        <v>0</v>
      </c>
      <c r="AS32" s="295">
        <f t="shared" si="10"/>
        <v>0</v>
      </c>
      <c r="AT32" s="373">
        <v>0</v>
      </c>
      <c r="AU32" s="295">
        <f t="shared" si="11"/>
        <v>0</v>
      </c>
      <c r="AV32" s="373">
        <v>0</v>
      </c>
      <c r="AW32" s="295">
        <f t="shared" si="12"/>
        <v>0</v>
      </c>
      <c r="AX32" s="373">
        <v>0</v>
      </c>
      <c r="AY32" s="295">
        <f t="shared" si="13"/>
        <v>0</v>
      </c>
      <c r="AZ32" s="373">
        <v>0</v>
      </c>
      <c r="BA32" s="295">
        <f t="shared" si="14"/>
        <v>0</v>
      </c>
      <c r="BB32" s="373">
        <v>0</v>
      </c>
      <c r="BC32" s="295">
        <f t="shared" si="15"/>
        <v>0</v>
      </c>
      <c r="BD32" s="373">
        <v>1</v>
      </c>
      <c r="BE32" s="295">
        <f t="shared" si="16"/>
        <v>350000</v>
      </c>
      <c r="BF32" s="373">
        <v>0</v>
      </c>
      <c r="BG32" s="295">
        <f t="shared" si="17"/>
        <v>0</v>
      </c>
      <c r="BH32" s="373">
        <v>0</v>
      </c>
      <c r="BI32" s="295">
        <f>BH32*G32</f>
        <v>0</v>
      </c>
      <c r="BJ32" s="373"/>
      <c r="BK32" s="295"/>
      <c r="BL32" s="373">
        <f t="shared" si="41"/>
        <v>1</v>
      </c>
      <c r="BM32" s="295">
        <f t="shared" si="42"/>
        <v>350000</v>
      </c>
      <c r="BN32" s="317" t="s">
        <v>291</v>
      </c>
      <c r="BO32" s="298"/>
      <c r="BP32" s="321"/>
      <c r="BQ32" s="321"/>
      <c r="BR32" s="321"/>
      <c r="BS32" s="321"/>
      <c r="BT32" s="321"/>
      <c r="BU32" s="321"/>
      <c r="BV32" s="321"/>
      <c r="BW32" s="321"/>
      <c r="BX32" s="322"/>
      <c r="BY32" s="298"/>
      <c r="BZ32" s="298"/>
      <c r="CA32" s="298"/>
      <c r="CB32" s="298"/>
      <c r="CC32" s="298"/>
      <c r="CD32" s="298"/>
      <c r="CE32" s="298"/>
      <c r="CF32" s="298"/>
      <c r="CG32" s="298"/>
      <c r="CH32" s="298"/>
      <c r="CI32" s="298"/>
      <c r="CJ32" s="298"/>
      <c r="CK32" s="298"/>
      <c r="CL32" s="298"/>
      <c r="CM32" s="298"/>
      <c r="CN32" s="298"/>
      <c r="CO32" s="298"/>
      <c r="CP32" s="298"/>
      <c r="CQ32" s="298"/>
      <c r="CR32" s="298"/>
      <c r="CS32" s="298"/>
      <c r="CT32" s="298"/>
      <c r="CU32" s="298"/>
      <c r="CV32" s="298"/>
      <c r="CW32" s="298"/>
      <c r="CX32" s="298"/>
      <c r="CY32" s="298"/>
      <c r="CZ32" s="298"/>
      <c r="DA32" s="298"/>
      <c r="DB32" s="298"/>
      <c r="DC32" s="298"/>
      <c r="DD32" s="298"/>
      <c r="DE32" s="298"/>
      <c r="DF32" s="298"/>
      <c r="DG32" s="298"/>
      <c r="DH32" s="298"/>
      <c r="DI32" s="298"/>
      <c r="DJ32" s="298"/>
      <c r="DK32" s="298"/>
      <c r="DL32" s="298"/>
      <c r="DM32" s="298"/>
      <c r="DN32" s="298"/>
      <c r="DO32" s="298"/>
      <c r="DP32" s="298"/>
      <c r="DQ32" s="298"/>
      <c r="DR32" s="298"/>
      <c r="DS32" s="298"/>
      <c r="DT32" s="298"/>
      <c r="DU32" s="298"/>
      <c r="DV32" s="298"/>
      <c r="DW32" s="298"/>
      <c r="DX32" s="298"/>
      <c r="DY32" s="298"/>
      <c r="DZ32" s="298"/>
      <c r="EA32" s="298"/>
      <c r="EB32" s="298"/>
      <c r="EC32" s="298"/>
      <c r="ED32" s="298"/>
      <c r="EE32" s="298"/>
      <c r="EF32" s="298"/>
      <c r="EG32" s="298"/>
      <c r="EH32" s="298"/>
      <c r="EI32" s="298"/>
      <c r="EJ32" s="298"/>
      <c r="EK32" s="298"/>
      <c r="EL32" s="298"/>
      <c r="EM32" s="298"/>
      <c r="EN32" s="298"/>
      <c r="EO32" s="298"/>
      <c r="EP32" s="298"/>
      <c r="EQ32" s="298"/>
      <c r="ER32" s="298"/>
      <c r="ES32" s="298"/>
      <c r="ET32" s="298"/>
      <c r="EU32" s="298"/>
      <c r="EV32" s="298"/>
      <c r="EW32" s="298"/>
      <c r="EX32" s="298"/>
      <c r="EY32" s="298"/>
      <c r="EZ32" s="298"/>
      <c r="FA32" s="298"/>
      <c r="FB32" s="298"/>
      <c r="FC32" s="298"/>
      <c r="FD32" s="298"/>
      <c r="FE32" s="298"/>
    </row>
    <row r="33" spans="1:161" s="571" customFormat="1" x14ac:dyDescent="0.2">
      <c r="A33" s="817"/>
      <c r="B33" s="575"/>
      <c r="C33" s="407"/>
      <c r="D33" s="586" t="s">
        <v>1033</v>
      </c>
      <c r="E33" s="335" t="s">
        <v>1012</v>
      </c>
      <c r="F33" s="317" t="s">
        <v>239</v>
      </c>
      <c r="G33" s="336">
        <v>20000</v>
      </c>
      <c r="H33" s="294">
        <f t="shared" si="40"/>
        <v>159</v>
      </c>
      <c r="I33" s="377">
        <f t="shared" si="40"/>
        <v>3180000</v>
      </c>
      <c r="J33" s="394">
        <f>I33*0.2</f>
        <v>636000</v>
      </c>
      <c r="K33" s="394">
        <f>I33*0.8</f>
        <v>2544000</v>
      </c>
      <c r="L33" s="394"/>
      <c r="M33" s="394"/>
      <c r="N33" s="394"/>
      <c r="O33" s="394"/>
      <c r="P33" s="394"/>
      <c r="Q33" s="394"/>
      <c r="R33" s="394"/>
      <c r="S33" s="394"/>
      <c r="T33" s="374">
        <f>H33*0.25</f>
        <v>39.75</v>
      </c>
      <c r="U33" s="374">
        <f>H33*0.25</f>
        <v>39.75</v>
      </c>
      <c r="V33" s="374">
        <f>H33*0.25</f>
        <v>39.75</v>
      </c>
      <c r="W33" s="374">
        <f>H33*0.25</f>
        <v>39.75</v>
      </c>
      <c r="X33" s="394">
        <f>T33*G33</f>
        <v>795000</v>
      </c>
      <c r="Y33" s="394">
        <f>U33*G33</f>
        <v>795000</v>
      </c>
      <c r="Z33" s="394">
        <f>V33*G33</f>
        <v>795000</v>
      </c>
      <c r="AA33" s="394">
        <f>W33*G33</f>
        <v>795000</v>
      </c>
      <c r="AB33" s="373">
        <v>6</v>
      </c>
      <c r="AC33" s="295">
        <f t="shared" si="2"/>
        <v>120000</v>
      </c>
      <c r="AD33" s="373">
        <v>0</v>
      </c>
      <c r="AE33" s="295">
        <f t="shared" si="3"/>
        <v>0</v>
      </c>
      <c r="AF33" s="373">
        <v>0</v>
      </c>
      <c r="AG33" s="295">
        <f t="shared" si="4"/>
        <v>0</v>
      </c>
      <c r="AH33" s="373">
        <v>32</v>
      </c>
      <c r="AI33" s="295">
        <f t="shared" si="5"/>
        <v>640000</v>
      </c>
      <c r="AJ33" s="373">
        <v>14</v>
      </c>
      <c r="AK33" s="295">
        <f t="shared" si="6"/>
        <v>280000</v>
      </c>
      <c r="AL33" s="373">
        <v>0</v>
      </c>
      <c r="AM33" s="295">
        <f t="shared" si="7"/>
        <v>0</v>
      </c>
      <c r="AN33" s="373">
        <v>9</v>
      </c>
      <c r="AO33" s="295">
        <f t="shared" si="8"/>
        <v>180000</v>
      </c>
      <c r="AP33" s="373">
        <v>2</v>
      </c>
      <c r="AQ33" s="295">
        <f t="shared" si="9"/>
        <v>40000</v>
      </c>
      <c r="AR33" s="373">
        <v>4</v>
      </c>
      <c r="AS33" s="295">
        <f t="shared" si="10"/>
        <v>80000</v>
      </c>
      <c r="AT33" s="373">
        <v>0</v>
      </c>
      <c r="AU33" s="295">
        <f t="shared" si="11"/>
        <v>0</v>
      </c>
      <c r="AV33" s="373">
        <v>20</v>
      </c>
      <c r="AW33" s="295">
        <f t="shared" si="12"/>
        <v>400000</v>
      </c>
      <c r="AX33" s="373">
        <v>0</v>
      </c>
      <c r="AY33" s="295">
        <f t="shared" si="13"/>
        <v>0</v>
      </c>
      <c r="AZ33" s="373">
        <v>0</v>
      </c>
      <c r="BA33" s="295">
        <f t="shared" si="14"/>
        <v>0</v>
      </c>
      <c r="BB33" s="373">
        <v>18</v>
      </c>
      <c r="BC33" s="295">
        <f t="shared" si="15"/>
        <v>360000</v>
      </c>
      <c r="BD33" s="373">
        <v>40</v>
      </c>
      <c r="BE33" s="295">
        <f t="shared" si="16"/>
        <v>800000</v>
      </c>
      <c r="BF33" s="373">
        <v>14</v>
      </c>
      <c r="BG33" s="295">
        <f t="shared" si="17"/>
        <v>280000</v>
      </c>
      <c r="BH33" s="373">
        <v>0</v>
      </c>
      <c r="BI33" s="295">
        <f>BH33*G33</f>
        <v>0</v>
      </c>
      <c r="BJ33" s="373">
        <v>0</v>
      </c>
      <c r="BK33" s="295">
        <f>BJ33*G33</f>
        <v>0</v>
      </c>
      <c r="BL33" s="373">
        <f t="shared" si="41"/>
        <v>159</v>
      </c>
      <c r="BM33" s="295">
        <f t="shared" si="42"/>
        <v>3180000</v>
      </c>
      <c r="BN33" s="317" t="s">
        <v>561</v>
      </c>
      <c r="BO33" s="298"/>
      <c r="BP33" s="321"/>
      <c r="BQ33" s="321"/>
      <c r="BR33" s="321">
        <f>BM33</f>
        <v>3180000</v>
      </c>
      <c r="BS33" s="321"/>
      <c r="BT33" s="321">
        <f t="shared" si="39"/>
        <v>3180000</v>
      </c>
      <c r="BU33" s="321"/>
      <c r="BV33" s="321"/>
      <c r="BW33" s="321">
        <f>BU33+BV33</f>
        <v>0</v>
      </c>
      <c r="BX33" s="322">
        <f t="shared" si="22"/>
        <v>3180000</v>
      </c>
      <c r="BY33" s="298"/>
      <c r="BZ33" s="298"/>
      <c r="CA33" s="298"/>
      <c r="CB33" s="298"/>
      <c r="CC33" s="298"/>
      <c r="CD33" s="298"/>
      <c r="CE33" s="298"/>
      <c r="CF33" s="298"/>
      <c r="CG33" s="298"/>
      <c r="CH33" s="298"/>
      <c r="CI33" s="298"/>
      <c r="CJ33" s="298"/>
      <c r="CK33" s="298"/>
      <c r="CL33" s="298"/>
      <c r="CM33" s="298"/>
      <c r="CN33" s="298"/>
      <c r="CO33" s="298"/>
      <c r="CP33" s="298"/>
      <c r="CQ33" s="298"/>
      <c r="CR33" s="298"/>
      <c r="CS33" s="298"/>
      <c r="CT33" s="298"/>
      <c r="CU33" s="298"/>
      <c r="CV33" s="298"/>
      <c r="CW33" s="298"/>
      <c r="CX33" s="298"/>
      <c r="CY33" s="298"/>
      <c r="CZ33" s="298"/>
      <c r="DA33" s="298"/>
      <c r="DB33" s="298"/>
      <c r="DC33" s="298"/>
      <c r="DD33" s="298"/>
      <c r="DE33" s="298"/>
      <c r="DF33" s="298"/>
      <c r="DG33" s="298"/>
      <c r="DH33" s="298"/>
      <c r="DI33" s="298"/>
      <c r="DJ33" s="298"/>
      <c r="DK33" s="298"/>
      <c r="DL33" s="298"/>
      <c r="DM33" s="298"/>
      <c r="DN33" s="298"/>
      <c r="DO33" s="298"/>
      <c r="DP33" s="298"/>
      <c r="DQ33" s="298"/>
      <c r="DR33" s="298"/>
      <c r="DS33" s="298"/>
      <c r="DT33" s="298"/>
      <c r="DU33" s="298"/>
      <c r="DV33" s="298"/>
      <c r="DW33" s="298"/>
      <c r="DX33" s="298"/>
      <c r="DY33" s="298"/>
      <c r="DZ33" s="298"/>
      <c r="EA33" s="298"/>
      <c r="EB33" s="298"/>
      <c r="EC33" s="298"/>
      <c r="ED33" s="298"/>
      <c r="EE33" s="298"/>
      <c r="EF33" s="298"/>
      <c r="EG33" s="298"/>
      <c r="EH33" s="298"/>
      <c r="EI33" s="298"/>
      <c r="EJ33" s="298"/>
      <c r="EK33" s="298"/>
      <c r="EL33" s="298"/>
      <c r="EM33" s="298"/>
      <c r="EN33" s="298"/>
      <c r="EO33" s="298"/>
      <c r="EP33" s="298"/>
      <c r="EQ33" s="298"/>
      <c r="ER33" s="298"/>
      <c r="ES33" s="298"/>
      <c r="ET33" s="298"/>
      <c r="EU33" s="298"/>
      <c r="EV33" s="298"/>
      <c r="EW33" s="298"/>
      <c r="EX33" s="298"/>
      <c r="EY33" s="298"/>
      <c r="EZ33" s="298"/>
      <c r="FA33" s="298"/>
      <c r="FB33" s="298"/>
      <c r="FC33" s="298"/>
      <c r="FD33" s="298"/>
      <c r="FE33" s="298"/>
    </row>
    <row r="34" spans="1:161" s="571" customFormat="1" hidden="1" x14ac:dyDescent="0.2">
      <c r="A34" s="817"/>
      <c r="B34" s="575"/>
      <c r="C34" s="407"/>
      <c r="D34" s="407"/>
      <c r="E34" s="335" t="s">
        <v>877</v>
      </c>
      <c r="F34" s="317" t="s">
        <v>16</v>
      </c>
      <c r="G34" s="336">
        <v>4000000</v>
      </c>
      <c r="H34" s="294">
        <f t="shared" si="40"/>
        <v>0</v>
      </c>
      <c r="I34" s="394">
        <f t="shared" si="43"/>
        <v>0</v>
      </c>
      <c r="J34" s="394"/>
      <c r="K34" s="394"/>
      <c r="L34" s="394"/>
      <c r="M34" s="394">
        <f>I34*1</f>
        <v>0</v>
      </c>
      <c r="N34" s="394"/>
      <c r="O34" s="394"/>
      <c r="P34" s="394"/>
      <c r="Q34" s="394"/>
      <c r="R34" s="394"/>
      <c r="S34" s="394"/>
      <c r="T34" s="374"/>
      <c r="U34" s="374"/>
      <c r="V34" s="374"/>
      <c r="W34" s="374"/>
      <c r="X34" s="394"/>
      <c r="Y34" s="394"/>
      <c r="Z34" s="394"/>
      <c r="AA34" s="394"/>
      <c r="AB34" s="373"/>
      <c r="AC34" s="295"/>
      <c r="AD34" s="373"/>
      <c r="AE34" s="295"/>
      <c r="AF34" s="373"/>
      <c r="AG34" s="295"/>
      <c r="AH34" s="373">
        <v>0</v>
      </c>
      <c r="AI34" s="295">
        <f t="shared" si="5"/>
        <v>0</v>
      </c>
      <c r="AJ34" s="373"/>
      <c r="AK34" s="295"/>
      <c r="AL34" s="373">
        <v>0</v>
      </c>
      <c r="AM34" s="295">
        <f t="shared" si="7"/>
        <v>0</v>
      </c>
      <c r="AN34" s="373"/>
      <c r="AO34" s="295"/>
      <c r="AP34" s="373"/>
      <c r="AQ34" s="295"/>
      <c r="AR34" s="373"/>
      <c r="AS34" s="295"/>
      <c r="AT34" s="373"/>
      <c r="AU34" s="295"/>
      <c r="AV34" s="373"/>
      <c r="AW34" s="295"/>
      <c r="AX34" s="373">
        <v>0</v>
      </c>
      <c r="AY34" s="295"/>
      <c r="AZ34" s="373">
        <v>0</v>
      </c>
      <c r="BA34" s="295">
        <f t="shared" si="14"/>
        <v>0</v>
      </c>
      <c r="BB34" s="373">
        <v>0</v>
      </c>
      <c r="BC34" s="295">
        <f t="shared" si="15"/>
        <v>0</v>
      </c>
      <c r="BD34" s="373"/>
      <c r="BE34" s="295"/>
      <c r="BF34" s="373"/>
      <c r="BG34" s="295"/>
      <c r="BH34" s="373"/>
      <c r="BI34" s="295"/>
      <c r="BJ34" s="373">
        <v>0</v>
      </c>
      <c r="BK34" s="295">
        <f>BJ34*G34</f>
        <v>0</v>
      </c>
      <c r="BL34" s="373">
        <f t="shared" si="41"/>
        <v>0</v>
      </c>
      <c r="BM34" s="295">
        <f t="shared" si="42"/>
        <v>0</v>
      </c>
      <c r="BN34" s="317" t="s">
        <v>415</v>
      </c>
      <c r="BO34" s="298"/>
      <c r="BP34" s="321"/>
      <c r="BQ34" s="321"/>
      <c r="BR34" s="321"/>
      <c r="BS34" s="321"/>
      <c r="BT34" s="321"/>
      <c r="BU34" s="321"/>
      <c r="BV34" s="321"/>
      <c r="BW34" s="321"/>
      <c r="BX34" s="322"/>
      <c r="BY34" s="298"/>
      <c r="BZ34" s="298"/>
      <c r="CA34" s="298"/>
      <c r="CB34" s="298"/>
      <c r="CC34" s="298"/>
      <c r="CD34" s="298"/>
      <c r="CE34" s="298"/>
      <c r="CF34" s="298"/>
      <c r="CG34" s="298"/>
      <c r="CH34" s="298"/>
      <c r="CI34" s="298"/>
      <c r="CJ34" s="298"/>
      <c r="CK34" s="298"/>
      <c r="CL34" s="298"/>
      <c r="CM34" s="298"/>
      <c r="CN34" s="298"/>
      <c r="CO34" s="298"/>
      <c r="CP34" s="298"/>
      <c r="CQ34" s="298"/>
      <c r="CR34" s="298"/>
      <c r="CS34" s="298"/>
      <c r="CT34" s="298"/>
      <c r="CU34" s="298"/>
      <c r="CV34" s="298"/>
      <c r="CW34" s="298"/>
      <c r="CX34" s="298"/>
      <c r="CY34" s="298"/>
      <c r="CZ34" s="298"/>
      <c r="DA34" s="298"/>
      <c r="DB34" s="298"/>
      <c r="DC34" s="298"/>
      <c r="DD34" s="298"/>
      <c r="DE34" s="298"/>
      <c r="DF34" s="298"/>
      <c r="DG34" s="298"/>
      <c r="DH34" s="298"/>
      <c r="DI34" s="298"/>
      <c r="DJ34" s="298"/>
      <c r="DK34" s="298"/>
      <c r="DL34" s="298"/>
      <c r="DM34" s="298"/>
      <c r="DN34" s="298"/>
      <c r="DO34" s="298"/>
      <c r="DP34" s="298"/>
      <c r="DQ34" s="298"/>
      <c r="DR34" s="298"/>
      <c r="DS34" s="298"/>
      <c r="DT34" s="298"/>
      <c r="DU34" s="298"/>
      <c r="DV34" s="298"/>
      <c r="DW34" s="298"/>
      <c r="DX34" s="298"/>
      <c r="DY34" s="298"/>
      <c r="DZ34" s="298"/>
      <c r="EA34" s="298"/>
      <c r="EB34" s="298"/>
      <c r="EC34" s="298"/>
      <c r="ED34" s="298"/>
      <c r="EE34" s="298"/>
      <c r="EF34" s="298"/>
      <c r="EG34" s="298"/>
      <c r="EH34" s="298"/>
      <c r="EI34" s="298"/>
      <c r="EJ34" s="298"/>
      <c r="EK34" s="298"/>
      <c r="EL34" s="298"/>
      <c r="EM34" s="298"/>
      <c r="EN34" s="298"/>
      <c r="EO34" s="298"/>
      <c r="EP34" s="298"/>
      <c r="EQ34" s="298"/>
      <c r="ER34" s="298"/>
      <c r="ES34" s="298"/>
      <c r="ET34" s="298"/>
      <c r="EU34" s="298"/>
      <c r="EV34" s="298"/>
      <c r="EW34" s="298"/>
      <c r="EX34" s="298"/>
      <c r="EY34" s="298"/>
      <c r="EZ34" s="298"/>
      <c r="FA34" s="298"/>
      <c r="FB34" s="298"/>
      <c r="FC34" s="298"/>
      <c r="FD34" s="298"/>
      <c r="FE34" s="298"/>
    </row>
    <row r="35" spans="1:161" s="571" customFormat="1" hidden="1" x14ac:dyDescent="0.2">
      <c r="A35" s="817"/>
      <c r="B35" s="575"/>
      <c r="C35" s="407"/>
      <c r="D35" s="407"/>
      <c r="E35" s="335" t="s">
        <v>868</v>
      </c>
      <c r="F35" s="317"/>
      <c r="G35" s="336">
        <v>400000</v>
      </c>
      <c r="H35" s="294">
        <f t="shared" si="40"/>
        <v>7</v>
      </c>
      <c r="I35" s="394">
        <f t="shared" si="43"/>
        <v>2800000</v>
      </c>
      <c r="J35" s="394"/>
      <c r="K35" s="394"/>
      <c r="L35" s="394"/>
      <c r="M35" s="394">
        <f>I35*1</f>
        <v>2800000</v>
      </c>
      <c r="N35" s="394"/>
      <c r="O35" s="394"/>
      <c r="P35" s="394"/>
      <c r="Q35" s="394"/>
      <c r="R35" s="394"/>
      <c r="S35" s="394"/>
      <c r="T35" s="374"/>
      <c r="U35" s="374"/>
      <c r="V35" s="374"/>
      <c r="W35" s="374"/>
      <c r="X35" s="394"/>
      <c r="Y35" s="394"/>
      <c r="Z35" s="394"/>
      <c r="AA35" s="394"/>
      <c r="AB35" s="373">
        <v>0</v>
      </c>
      <c r="AC35" s="295">
        <f t="shared" si="2"/>
        <v>0</v>
      </c>
      <c r="AD35" s="373">
        <v>0</v>
      </c>
      <c r="AE35" s="295">
        <f t="shared" si="3"/>
        <v>0</v>
      </c>
      <c r="AF35" s="373">
        <v>1</v>
      </c>
      <c r="AG35" s="295">
        <f t="shared" si="4"/>
        <v>400000</v>
      </c>
      <c r="AH35" s="373">
        <v>0</v>
      </c>
      <c r="AI35" s="295">
        <f t="shared" si="5"/>
        <v>0</v>
      </c>
      <c r="AJ35" s="373">
        <v>0</v>
      </c>
      <c r="AK35" s="295">
        <f t="shared" si="6"/>
        <v>0</v>
      </c>
      <c r="AL35" s="373">
        <v>0</v>
      </c>
      <c r="AM35" s="295">
        <f t="shared" si="7"/>
        <v>0</v>
      </c>
      <c r="AN35" s="373">
        <v>0</v>
      </c>
      <c r="AO35" s="295">
        <f t="shared" si="8"/>
        <v>0</v>
      </c>
      <c r="AP35" s="373">
        <v>0</v>
      </c>
      <c r="AQ35" s="295">
        <f t="shared" si="9"/>
        <v>0</v>
      </c>
      <c r="AR35" s="373">
        <v>1</v>
      </c>
      <c r="AS35" s="295">
        <f t="shared" si="10"/>
        <v>400000</v>
      </c>
      <c r="AT35" s="373">
        <v>1</v>
      </c>
      <c r="AU35" s="295">
        <f t="shared" si="11"/>
        <v>400000</v>
      </c>
      <c r="AV35" s="373">
        <v>0</v>
      </c>
      <c r="AW35" s="295">
        <f t="shared" si="12"/>
        <v>0</v>
      </c>
      <c r="AX35" s="373">
        <v>1</v>
      </c>
      <c r="AY35" s="295">
        <f t="shared" si="13"/>
        <v>400000</v>
      </c>
      <c r="AZ35" s="373">
        <v>0</v>
      </c>
      <c r="BA35" s="295">
        <f t="shared" si="14"/>
        <v>0</v>
      </c>
      <c r="BB35" s="373">
        <v>1</v>
      </c>
      <c r="BC35" s="295">
        <f t="shared" si="15"/>
        <v>400000</v>
      </c>
      <c r="BD35" s="373">
        <v>1</v>
      </c>
      <c r="BE35" s="295">
        <f t="shared" si="16"/>
        <v>400000</v>
      </c>
      <c r="BF35" s="373">
        <v>1</v>
      </c>
      <c r="BG35" s="295">
        <f t="shared" si="17"/>
        <v>400000</v>
      </c>
      <c r="BH35" s="373">
        <v>0</v>
      </c>
      <c r="BI35" s="295">
        <f>BH35*G35</f>
        <v>0</v>
      </c>
      <c r="BJ35" s="373"/>
      <c r="BK35" s="295"/>
      <c r="BL35" s="373">
        <f t="shared" si="41"/>
        <v>7</v>
      </c>
      <c r="BM35" s="295">
        <f t="shared" si="42"/>
        <v>2800000</v>
      </c>
      <c r="BN35" s="317" t="s">
        <v>415</v>
      </c>
      <c r="BO35" s="298"/>
      <c r="BP35" s="321"/>
      <c r="BQ35" s="321"/>
      <c r="BR35" s="321"/>
      <c r="BS35" s="321"/>
      <c r="BT35" s="321"/>
      <c r="BU35" s="321"/>
      <c r="BV35" s="321"/>
      <c r="BW35" s="321"/>
      <c r="BX35" s="322"/>
      <c r="BY35" s="298"/>
      <c r="BZ35" s="298"/>
      <c r="CA35" s="298"/>
      <c r="CB35" s="298"/>
      <c r="CC35" s="298"/>
      <c r="CD35" s="298"/>
      <c r="CE35" s="298"/>
      <c r="CF35" s="298"/>
      <c r="CG35" s="298"/>
      <c r="CH35" s="298"/>
      <c r="CI35" s="298"/>
      <c r="CJ35" s="298"/>
      <c r="CK35" s="298"/>
      <c r="CL35" s="298"/>
      <c r="CM35" s="298"/>
      <c r="CN35" s="298"/>
      <c r="CO35" s="298"/>
      <c r="CP35" s="298"/>
      <c r="CQ35" s="298"/>
      <c r="CR35" s="298"/>
      <c r="CS35" s="298"/>
      <c r="CT35" s="298"/>
      <c r="CU35" s="298"/>
      <c r="CV35" s="298"/>
      <c r="CW35" s="298"/>
      <c r="CX35" s="298"/>
      <c r="CY35" s="298"/>
      <c r="CZ35" s="298"/>
      <c r="DA35" s="298"/>
      <c r="DB35" s="298"/>
      <c r="DC35" s="298"/>
      <c r="DD35" s="298"/>
      <c r="DE35" s="298"/>
      <c r="DF35" s="298"/>
      <c r="DG35" s="298"/>
      <c r="DH35" s="298"/>
      <c r="DI35" s="298"/>
      <c r="DJ35" s="298"/>
      <c r="DK35" s="298"/>
      <c r="DL35" s="298"/>
      <c r="DM35" s="298"/>
      <c r="DN35" s="298"/>
      <c r="DO35" s="298"/>
      <c r="DP35" s="298"/>
      <c r="DQ35" s="298"/>
      <c r="DR35" s="298"/>
      <c r="DS35" s="298"/>
      <c r="DT35" s="298"/>
      <c r="DU35" s="298"/>
      <c r="DV35" s="298"/>
      <c r="DW35" s="298"/>
      <c r="DX35" s="298"/>
      <c r="DY35" s="298"/>
      <c r="DZ35" s="298"/>
      <c r="EA35" s="298"/>
      <c r="EB35" s="298"/>
      <c r="EC35" s="298"/>
      <c r="ED35" s="298"/>
      <c r="EE35" s="298"/>
      <c r="EF35" s="298"/>
      <c r="EG35" s="298"/>
      <c r="EH35" s="298"/>
      <c r="EI35" s="298"/>
      <c r="EJ35" s="298"/>
      <c r="EK35" s="298"/>
      <c r="EL35" s="298"/>
      <c r="EM35" s="298"/>
      <c r="EN35" s="298"/>
      <c r="EO35" s="298"/>
      <c r="EP35" s="298"/>
      <c r="EQ35" s="298"/>
      <c r="ER35" s="298"/>
      <c r="ES35" s="298"/>
      <c r="ET35" s="298"/>
      <c r="EU35" s="298"/>
      <c r="EV35" s="298"/>
      <c r="EW35" s="298"/>
      <c r="EX35" s="298"/>
      <c r="EY35" s="298"/>
      <c r="EZ35" s="298"/>
      <c r="FA35" s="298"/>
      <c r="FB35" s="298"/>
      <c r="FC35" s="298"/>
      <c r="FD35" s="298"/>
      <c r="FE35" s="298"/>
    </row>
    <row r="36" spans="1:161" s="571" customFormat="1" hidden="1" x14ac:dyDescent="0.2">
      <c r="A36" s="817"/>
      <c r="B36" s="575"/>
      <c r="C36" s="407"/>
      <c r="D36" s="407"/>
      <c r="E36" s="335" t="s">
        <v>869</v>
      </c>
      <c r="F36" s="317"/>
      <c r="G36" s="336">
        <v>300000</v>
      </c>
      <c r="H36" s="294">
        <f t="shared" si="40"/>
        <v>7</v>
      </c>
      <c r="I36" s="394">
        <f t="shared" si="43"/>
        <v>2100000</v>
      </c>
      <c r="J36" s="394"/>
      <c r="K36" s="394"/>
      <c r="L36" s="394"/>
      <c r="M36" s="394">
        <f>I36*1</f>
        <v>2100000</v>
      </c>
      <c r="N36" s="394"/>
      <c r="O36" s="394"/>
      <c r="P36" s="394"/>
      <c r="Q36" s="394"/>
      <c r="R36" s="394"/>
      <c r="S36" s="394"/>
      <c r="T36" s="374"/>
      <c r="U36" s="374"/>
      <c r="V36" s="374"/>
      <c r="W36" s="374"/>
      <c r="X36" s="394"/>
      <c r="Y36" s="394"/>
      <c r="Z36" s="394"/>
      <c r="AA36" s="394"/>
      <c r="AB36" s="373">
        <v>0</v>
      </c>
      <c r="AC36" s="295">
        <f t="shared" si="2"/>
        <v>0</v>
      </c>
      <c r="AD36" s="373">
        <v>0</v>
      </c>
      <c r="AE36" s="295">
        <f t="shared" si="3"/>
        <v>0</v>
      </c>
      <c r="AF36" s="373">
        <v>1</v>
      </c>
      <c r="AG36" s="295">
        <f t="shared" si="4"/>
        <v>300000</v>
      </c>
      <c r="AH36" s="373">
        <v>0</v>
      </c>
      <c r="AI36" s="295">
        <f t="shared" si="5"/>
        <v>0</v>
      </c>
      <c r="AJ36" s="373">
        <v>0</v>
      </c>
      <c r="AK36" s="295">
        <f t="shared" si="6"/>
        <v>0</v>
      </c>
      <c r="AL36" s="373">
        <v>0</v>
      </c>
      <c r="AM36" s="295">
        <f t="shared" si="7"/>
        <v>0</v>
      </c>
      <c r="AN36" s="373">
        <v>0</v>
      </c>
      <c r="AO36" s="295">
        <f t="shared" si="8"/>
        <v>0</v>
      </c>
      <c r="AP36" s="373">
        <v>0</v>
      </c>
      <c r="AQ36" s="295">
        <f t="shared" si="9"/>
        <v>0</v>
      </c>
      <c r="AR36" s="373">
        <v>1</v>
      </c>
      <c r="AS36" s="295">
        <f t="shared" si="10"/>
        <v>300000</v>
      </c>
      <c r="AT36" s="373">
        <v>1</v>
      </c>
      <c r="AU36" s="295">
        <f t="shared" si="11"/>
        <v>300000</v>
      </c>
      <c r="AV36" s="373">
        <v>0</v>
      </c>
      <c r="AW36" s="295">
        <f t="shared" si="12"/>
        <v>0</v>
      </c>
      <c r="AX36" s="373">
        <v>1</v>
      </c>
      <c r="AY36" s="295">
        <f t="shared" si="13"/>
        <v>300000</v>
      </c>
      <c r="AZ36" s="373">
        <v>0</v>
      </c>
      <c r="BA36" s="295">
        <f t="shared" si="14"/>
        <v>0</v>
      </c>
      <c r="BB36" s="373">
        <v>1</v>
      </c>
      <c r="BC36" s="295">
        <f t="shared" si="15"/>
        <v>300000</v>
      </c>
      <c r="BD36" s="373">
        <v>1</v>
      </c>
      <c r="BE36" s="295">
        <f t="shared" si="16"/>
        <v>300000</v>
      </c>
      <c r="BF36" s="373">
        <v>1</v>
      </c>
      <c r="BG36" s="295">
        <f t="shared" si="17"/>
        <v>300000</v>
      </c>
      <c r="BH36" s="373">
        <v>0</v>
      </c>
      <c r="BI36" s="295">
        <f>BH36*G36</f>
        <v>0</v>
      </c>
      <c r="BJ36" s="373"/>
      <c r="BK36" s="295"/>
      <c r="BL36" s="373">
        <f t="shared" si="41"/>
        <v>7</v>
      </c>
      <c r="BM36" s="295">
        <f t="shared" si="42"/>
        <v>2100000</v>
      </c>
      <c r="BN36" s="317" t="s">
        <v>415</v>
      </c>
      <c r="BO36" s="298"/>
      <c r="BP36" s="321"/>
      <c r="BQ36" s="321"/>
      <c r="BR36" s="321"/>
      <c r="BS36" s="321"/>
      <c r="BT36" s="321"/>
      <c r="BU36" s="321"/>
      <c r="BV36" s="321"/>
      <c r="BW36" s="321"/>
      <c r="BX36" s="322"/>
      <c r="BY36" s="298"/>
      <c r="BZ36" s="298"/>
      <c r="CA36" s="298"/>
      <c r="CB36" s="298"/>
      <c r="CC36" s="298"/>
      <c r="CD36" s="298"/>
      <c r="CE36" s="298"/>
      <c r="CF36" s="298"/>
      <c r="CG36" s="298"/>
      <c r="CH36" s="298"/>
      <c r="CI36" s="298"/>
      <c r="CJ36" s="298"/>
      <c r="CK36" s="298"/>
      <c r="CL36" s="298"/>
      <c r="CM36" s="298"/>
      <c r="CN36" s="298"/>
      <c r="CO36" s="298"/>
      <c r="CP36" s="298"/>
      <c r="CQ36" s="298"/>
      <c r="CR36" s="298"/>
      <c r="CS36" s="298"/>
      <c r="CT36" s="298"/>
      <c r="CU36" s="298"/>
      <c r="CV36" s="298"/>
      <c r="CW36" s="298"/>
      <c r="CX36" s="298"/>
      <c r="CY36" s="298"/>
      <c r="CZ36" s="298"/>
      <c r="DA36" s="298"/>
      <c r="DB36" s="298"/>
      <c r="DC36" s="298"/>
      <c r="DD36" s="298"/>
      <c r="DE36" s="298"/>
      <c r="DF36" s="298"/>
      <c r="DG36" s="298"/>
      <c r="DH36" s="298"/>
      <c r="DI36" s="298"/>
      <c r="DJ36" s="298"/>
      <c r="DK36" s="298"/>
      <c r="DL36" s="298"/>
      <c r="DM36" s="298"/>
      <c r="DN36" s="298"/>
      <c r="DO36" s="298"/>
      <c r="DP36" s="298"/>
      <c r="DQ36" s="298"/>
      <c r="DR36" s="298"/>
      <c r="DS36" s="298"/>
      <c r="DT36" s="298"/>
      <c r="DU36" s="298"/>
      <c r="DV36" s="298"/>
      <c r="DW36" s="298"/>
      <c r="DX36" s="298"/>
      <c r="DY36" s="298"/>
      <c r="DZ36" s="298"/>
      <c r="EA36" s="298"/>
      <c r="EB36" s="298"/>
      <c r="EC36" s="298"/>
      <c r="ED36" s="298"/>
      <c r="EE36" s="298"/>
      <c r="EF36" s="298"/>
      <c r="EG36" s="298"/>
      <c r="EH36" s="298"/>
      <c r="EI36" s="298"/>
      <c r="EJ36" s="298"/>
      <c r="EK36" s="298"/>
      <c r="EL36" s="298"/>
      <c r="EM36" s="298"/>
      <c r="EN36" s="298"/>
      <c r="EO36" s="298"/>
      <c r="EP36" s="298"/>
      <c r="EQ36" s="298"/>
      <c r="ER36" s="298"/>
      <c r="ES36" s="298"/>
      <c r="ET36" s="298"/>
      <c r="EU36" s="298"/>
      <c r="EV36" s="298"/>
      <c r="EW36" s="298"/>
      <c r="EX36" s="298"/>
      <c r="EY36" s="298"/>
      <c r="EZ36" s="298"/>
      <c r="FA36" s="298"/>
      <c r="FB36" s="298"/>
      <c r="FC36" s="298"/>
      <c r="FD36" s="298"/>
      <c r="FE36" s="298"/>
    </row>
    <row r="37" spans="1:161" s="571" customFormat="1" ht="25.5" hidden="1" x14ac:dyDescent="0.2">
      <c r="A37" s="817"/>
      <c r="B37" s="575"/>
      <c r="C37" s="407" t="s">
        <v>964</v>
      </c>
      <c r="D37" s="407"/>
      <c r="E37" s="335" t="s">
        <v>947</v>
      </c>
      <c r="F37" s="317" t="s">
        <v>93</v>
      </c>
      <c r="G37" s="336">
        <v>200000</v>
      </c>
      <c r="H37" s="294">
        <f t="shared" si="40"/>
        <v>0</v>
      </c>
      <c r="I37" s="394">
        <f>BM37</f>
        <v>0</v>
      </c>
      <c r="J37" s="394"/>
      <c r="K37" s="394"/>
      <c r="L37" s="394"/>
      <c r="M37" s="394">
        <f>I37*0</f>
        <v>0</v>
      </c>
      <c r="N37" s="394">
        <f>I37</f>
        <v>0</v>
      </c>
      <c r="O37" s="394"/>
      <c r="P37" s="394"/>
      <c r="Q37" s="394"/>
      <c r="R37" s="394"/>
      <c r="S37" s="394"/>
      <c r="T37" s="374"/>
      <c r="U37" s="374"/>
      <c r="V37" s="374"/>
      <c r="W37" s="374"/>
      <c r="X37" s="394"/>
      <c r="Y37" s="394"/>
      <c r="Z37" s="394"/>
      <c r="AA37" s="394"/>
      <c r="AB37" s="373">
        <v>0</v>
      </c>
      <c r="AC37" s="295">
        <f t="shared" si="2"/>
        <v>0</v>
      </c>
      <c r="AD37" s="373">
        <v>0</v>
      </c>
      <c r="AE37" s="295">
        <f t="shared" si="3"/>
        <v>0</v>
      </c>
      <c r="AF37" s="373">
        <v>0</v>
      </c>
      <c r="AG37" s="295">
        <f t="shared" si="4"/>
        <v>0</v>
      </c>
      <c r="AH37" s="373">
        <v>0</v>
      </c>
      <c r="AI37" s="295">
        <f t="shared" si="5"/>
        <v>0</v>
      </c>
      <c r="AJ37" s="373">
        <v>0</v>
      </c>
      <c r="AK37" s="295">
        <f t="shared" si="6"/>
        <v>0</v>
      </c>
      <c r="AL37" s="373">
        <v>0</v>
      </c>
      <c r="AM37" s="295">
        <f t="shared" si="7"/>
        <v>0</v>
      </c>
      <c r="AN37" s="373">
        <v>0</v>
      </c>
      <c r="AO37" s="295">
        <v>0</v>
      </c>
      <c r="AP37" s="373">
        <v>0</v>
      </c>
      <c r="AQ37" s="295">
        <f t="shared" si="9"/>
        <v>0</v>
      </c>
      <c r="AR37" s="373">
        <v>0</v>
      </c>
      <c r="AS37" s="295">
        <f t="shared" si="10"/>
        <v>0</v>
      </c>
      <c r="AT37" s="373">
        <v>0</v>
      </c>
      <c r="AU37" s="295">
        <f t="shared" si="11"/>
        <v>0</v>
      </c>
      <c r="AV37" s="373">
        <v>0</v>
      </c>
      <c r="AW37" s="295">
        <f t="shared" si="12"/>
        <v>0</v>
      </c>
      <c r="AX37" s="373">
        <v>0</v>
      </c>
      <c r="AY37" s="295">
        <f t="shared" si="13"/>
        <v>0</v>
      </c>
      <c r="AZ37" s="373">
        <v>0</v>
      </c>
      <c r="BA37" s="295">
        <f t="shared" si="14"/>
        <v>0</v>
      </c>
      <c r="BB37" s="373">
        <v>0</v>
      </c>
      <c r="BC37" s="295">
        <f t="shared" si="15"/>
        <v>0</v>
      </c>
      <c r="BD37" s="373">
        <v>0</v>
      </c>
      <c r="BE37" s="295">
        <f t="shared" si="16"/>
        <v>0</v>
      </c>
      <c r="BF37" s="373">
        <v>0</v>
      </c>
      <c r="BG37" s="295">
        <f t="shared" si="17"/>
        <v>0</v>
      </c>
      <c r="BH37" s="373">
        <v>0</v>
      </c>
      <c r="BI37" s="295">
        <f>BH37*G37</f>
        <v>0</v>
      </c>
      <c r="BJ37" s="373"/>
      <c r="BK37" s="295"/>
      <c r="BL37" s="373">
        <f t="shared" si="41"/>
        <v>0</v>
      </c>
      <c r="BM37" s="295">
        <f t="shared" si="42"/>
        <v>0</v>
      </c>
      <c r="BN37" s="317" t="s">
        <v>940</v>
      </c>
      <c r="BO37" s="298"/>
      <c r="BP37" s="321"/>
      <c r="BQ37" s="321"/>
      <c r="BR37" s="321"/>
      <c r="BS37" s="321"/>
      <c r="BT37" s="321"/>
      <c r="BU37" s="321"/>
      <c r="BV37" s="321"/>
      <c r="BW37" s="321"/>
      <c r="BX37" s="322"/>
      <c r="BY37" s="298"/>
      <c r="BZ37" s="298"/>
      <c r="CA37" s="298"/>
      <c r="CB37" s="298"/>
      <c r="CC37" s="298"/>
      <c r="CD37" s="298"/>
      <c r="CE37" s="298"/>
      <c r="CF37" s="298"/>
      <c r="CG37" s="298"/>
      <c r="CH37" s="298"/>
      <c r="CI37" s="298"/>
      <c r="CJ37" s="298"/>
      <c r="CK37" s="298"/>
      <c r="CL37" s="298"/>
      <c r="CM37" s="298"/>
      <c r="CN37" s="298"/>
      <c r="CO37" s="298"/>
      <c r="CP37" s="298"/>
      <c r="CQ37" s="298"/>
      <c r="CR37" s="298"/>
      <c r="CS37" s="298"/>
      <c r="CT37" s="298"/>
      <c r="CU37" s="298"/>
      <c r="CV37" s="298"/>
      <c r="CW37" s="298"/>
      <c r="CX37" s="298"/>
      <c r="CY37" s="298"/>
      <c r="CZ37" s="298"/>
      <c r="DA37" s="298"/>
      <c r="DB37" s="298"/>
      <c r="DC37" s="298"/>
      <c r="DD37" s="298"/>
      <c r="DE37" s="298"/>
      <c r="DF37" s="298"/>
      <c r="DG37" s="298"/>
      <c r="DH37" s="298"/>
      <c r="DI37" s="298"/>
      <c r="DJ37" s="298"/>
      <c r="DK37" s="298"/>
      <c r="DL37" s="298"/>
      <c r="DM37" s="298"/>
      <c r="DN37" s="298"/>
      <c r="DO37" s="298"/>
      <c r="DP37" s="298"/>
      <c r="DQ37" s="298"/>
      <c r="DR37" s="298"/>
      <c r="DS37" s="298"/>
      <c r="DT37" s="298"/>
      <c r="DU37" s="298"/>
      <c r="DV37" s="298"/>
      <c r="DW37" s="298"/>
      <c r="DX37" s="298"/>
      <c r="DY37" s="298"/>
      <c r="DZ37" s="298"/>
      <c r="EA37" s="298"/>
      <c r="EB37" s="298"/>
      <c r="EC37" s="298"/>
      <c r="ED37" s="298"/>
      <c r="EE37" s="298"/>
      <c r="EF37" s="298"/>
      <c r="EG37" s="298"/>
      <c r="EH37" s="298"/>
      <c r="EI37" s="298"/>
      <c r="EJ37" s="298"/>
      <c r="EK37" s="298"/>
      <c r="EL37" s="298"/>
      <c r="EM37" s="298"/>
      <c r="EN37" s="298"/>
      <c r="EO37" s="298"/>
      <c r="EP37" s="298"/>
      <c r="EQ37" s="298"/>
      <c r="ER37" s="298"/>
      <c r="ES37" s="298"/>
      <c r="ET37" s="298"/>
      <c r="EU37" s="298"/>
      <c r="EV37" s="298"/>
      <c r="EW37" s="298"/>
      <c r="EX37" s="298"/>
      <c r="EY37" s="298"/>
      <c r="EZ37" s="298"/>
      <c r="FA37" s="298"/>
      <c r="FB37" s="298"/>
      <c r="FC37" s="298"/>
      <c r="FD37" s="298"/>
      <c r="FE37" s="298"/>
    </row>
    <row r="38" spans="1:161" s="571" customFormat="1" hidden="1" x14ac:dyDescent="0.2">
      <c r="A38" s="817"/>
      <c r="B38" s="575"/>
      <c r="C38" s="407"/>
      <c r="D38" s="407"/>
      <c r="E38" s="342" t="s">
        <v>574</v>
      </c>
      <c r="F38" s="317" t="s">
        <v>93</v>
      </c>
      <c r="G38" s="336" t="s">
        <v>339</v>
      </c>
      <c r="H38" s="294">
        <f t="shared" si="40"/>
        <v>12</v>
      </c>
      <c r="I38" s="394">
        <f t="shared" si="43"/>
        <v>6000000</v>
      </c>
      <c r="J38" s="394"/>
      <c r="K38" s="394"/>
      <c r="L38" s="394"/>
      <c r="M38" s="394">
        <f>I38*1</f>
        <v>6000000</v>
      </c>
      <c r="N38" s="394"/>
      <c r="O38" s="394"/>
      <c r="P38" s="394"/>
      <c r="Q38" s="394"/>
      <c r="R38" s="394"/>
      <c r="S38" s="394"/>
      <c r="T38" s="410">
        <f>H38*0.25</f>
        <v>3</v>
      </c>
      <c r="U38" s="374">
        <f>H38*0.25</f>
        <v>3</v>
      </c>
      <c r="V38" s="374">
        <f>H38*0.25</f>
        <v>3</v>
      </c>
      <c r="W38" s="374">
        <f>H38*0.25</f>
        <v>3</v>
      </c>
      <c r="X38" s="394">
        <f>T38*I38</f>
        <v>18000000</v>
      </c>
      <c r="Y38" s="394">
        <f>U38*I38</f>
        <v>18000000</v>
      </c>
      <c r="Z38" s="394">
        <f>V38*I38</f>
        <v>18000000</v>
      </c>
      <c r="AA38" s="394">
        <f>W38*I38</f>
        <v>18000000</v>
      </c>
      <c r="AB38" s="373">
        <v>0</v>
      </c>
      <c r="AC38" s="295">
        <f t="shared" si="2"/>
        <v>0</v>
      </c>
      <c r="AD38" s="373">
        <v>0</v>
      </c>
      <c r="AE38" s="295">
        <f t="shared" si="3"/>
        <v>0</v>
      </c>
      <c r="AF38" s="373">
        <v>0</v>
      </c>
      <c r="AG38" s="295">
        <f t="shared" si="4"/>
        <v>0</v>
      </c>
      <c r="AH38" s="373">
        <v>0</v>
      </c>
      <c r="AI38" s="295">
        <f t="shared" si="5"/>
        <v>0</v>
      </c>
      <c r="AJ38" s="373">
        <v>0</v>
      </c>
      <c r="AK38" s="295">
        <f t="shared" si="6"/>
        <v>0</v>
      </c>
      <c r="AL38" s="373">
        <v>0</v>
      </c>
      <c r="AM38" s="295">
        <f t="shared" si="7"/>
        <v>0</v>
      </c>
      <c r="AN38" s="373">
        <v>0</v>
      </c>
      <c r="AO38" s="295">
        <f t="shared" si="8"/>
        <v>0</v>
      </c>
      <c r="AP38" s="373">
        <v>6</v>
      </c>
      <c r="AQ38" s="295">
        <f t="shared" si="9"/>
        <v>3000000</v>
      </c>
      <c r="AR38" s="373">
        <v>0</v>
      </c>
      <c r="AS38" s="295">
        <f t="shared" si="10"/>
        <v>0</v>
      </c>
      <c r="AT38" s="373">
        <v>0</v>
      </c>
      <c r="AU38" s="295">
        <f t="shared" si="11"/>
        <v>0</v>
      </c>
      <c r="AV38" s="373">
        <v>0</v>
      </c>
      <c r="AW38" s="295">
        <f t="shared" si="12"/>
        <v>0</v>
      </c>
      <c r="AX38" s="373">
        <v>0</v>
      </c>
      <c r="AY38" s="295">
        <f t="shared" si="13"/>
        <v>0</v>
      </c>
      <c r="AZ38" s="373">
        <v>6</v>
      </c>
      <c r="BA38" s="295">
        <f t="shared" si="14"/>
        <v>3000000</v>
      </c>
      <c r="BB38" s="373">
        <v>0</v>
      </c>
      <c r="BC38" s="295">
        <f t="shared" si="15"/>
        <v>0</v>
      </c>
      <c r="BD38" s="373">
        <v>0</v>
      </c>
      <c r="BE38" s="295">
        <f t="shared" si="16"/>
        <v>0</v>
      </c>
      <c r="BF38" s="373">
        <v>0</v>
      </c>
      <c r="BG38" s="295">
        <f t="shared" si="17"/>
        <v>0</v>
      </c>
      <c r="BH38" s="373">
        <v>0</v>
      </c>
      <c r="BI38" s="295">
        <f>BH38*G38</f>
        <v>0</v>
      </c>
      <c r="BJ38" s="373">
        <v>0</v>
      </c>
      <c r="BK38" s="295">
        <f>BJ38*G38</f>
        <v>0</v>
      </c>
      <c r="BL38" s="373">
        <f t="shared" si="41"/>
        <v>12</v>
      </c>
      <c r="BM38" s="295">
        <f t="shared" si="42"/>
        <v>6000000</v>
      </c>
      <c r="BN38" s="317" t="s">
        <v>415</v>
      </c>
      <c r="BO38" s="298"/>
      <c r="BP38" s="321">
        <f>I38</f>
        <v>6000000</v>
      </c>
      <c r="BQ38" s="321"/>
      <c r="BR38" s="321"/>
      <c r="BS38" s="321"/>
      <c r="BT38" s="321">
        <f t="shared" si="39"/>
        <v>6000000</v>
      </c>
      <c r="BU38" s="321"/>
      <c r="BV38" s="321"/>
      <c r="BW38" s="321">
        <f>BU38+BV38</f>
        <v>0</v>
      </c>
      <c r="BX38" s="322">
        <f t="shared" si="22"/>
        <v>6000000</v>
      </c>
      <c r="BY38" s="298"/>
      <c r="BZ38" s="298"/>
      <c r="CA38" s="298"/>
      <c r="CB38" s="298"/>
      <c r="CC38" s="298"/>
      <c r="CD38" s="298"/>
      <c r="CE38" s="298"/>
      <c r="CF38" s="298"/>
      <c r="CG38" s="298"/>
      <c r="CH38" s="298"/>
      <c r="CI38" s="298"/>
      <c r="CJ38" s="298"/>
      <c r="CK38" s="298"/>
      <c r="CL38" s="298"/>
      <c r="CM38" s="298"/>
      <c r="CN38" s="298"/>
      <c r="CO38" s="298"/>
      <c r="CP38" s="298"/>
      <c r="CQ38" s="298"/>
      <c r="CR38" s="298"/>
      <c r="CS38" s="298"/>
      <c r="CT38" s="298"/>
      <c r="CU38" s="298"/>
      <c r="CV38" s="298"/>
      <c r="CW38" s="298"/>
      <c r="CX38" s="298"/>
      <c r="CY38" s="298"/>
      <c r="CZ38" s="298"/>
      <c r="DA38" s="298"/>
      <c r="DB38" s="298"/>
      <c r="DC38" s="298"/>
      <c r="DD38" s="298"/>
      <c r="DE38" s="298"/>
      <c r="DF38" s="298"/>
      <c r="DG38" s="298"/>
      <c r="DH38" s="298"/>
      <c r="DI38" s="298"/>
      <c r="DJ38" s="298"/>
      <c r="DK38" s="298"/>
      <c r="DL38" s="298"/>
      <c r="DM38" s="298"/>
      <c r="DN38" s="298"/>
      <c r="DO38" s="298"/>
      <c r="DP38" s="298"/>
      <c r="DQ38" s="298"/>
      <c r="DR38" s="298"/>
      <c r="DS38" s="298"/>
      <c r="DT38" s="298"/>
      <c r="DU38" s="298"/>
      <c r="DV38" s="298"/>
      <c r="DW38" s="298"/>
      <c r="DX38" s="298"/>
      <c r="DY38" s="298"/>
      <c r="DZ38" s="298"/>
      <c r="EA38" s="298"/>
      <c r="EB38" s="298"/>
      <c r="EC38" s="298"/>
      <c r="ED38" s="298"/>
      <c r="EE38" s="298"/>
      <c r="EF38" s="298"/>
      <c r="EG38" s="298"/>
      <c r="EH38" s="298"/>
      <c r="EI38" s="298"/>
      <c r="EJ38" s="298"/>
      <c r="EK38" s="298"/>
      <c r="EL38" s="298"/>
      <c r="EM38" s="298"/>
      <c r="EN38" s="298"/>
      <c r="EO38" s="298"/>
      <c r="EP38" s="298"/>
      <c r="EQ38" s="298"/>
      <c r="ER38" s="298"/>
      <c r="ES38" s="298"/>
      <c r="ET38" s="298"/>
      <c r="EU38" s="298"/>
      <c r="EV38" s="298"/>
      <c r="EW38" s="298"/>
      <c r="EX38" s="298"/>
      <c r="EY38" s="298"/>
      <c r="EZ38" s="298"/>
      <c r="FA38" s="298"/>
      <c r="FB38" s="298"/>
      <c r="FC38" s="298"/>
      <c r="FD38" s="298"/>
      <c r="FE38" s="298"/>
    </row>
    <row r="39" spans="1:161" s="571" customFormat="1" hidden="1" x14ac:dyDescent="0.2">
      <c r="A39" s="817"/>
      <c r="B39" s="575"/>
      <c r="C39" s="407"/>
      <c r="D39" s="407"/>
      <c r="E39" s="316" t="s">
        <v>407</v>
      </c>
      <c r="F39" s="317" t="s">
        <v>111</v>
      </c>
      <c r="G39" s="336"/>
      <c r="H39" s="312">
        <f t="shared" ref="H39:AM39" si="44">SUM(H30:H38)</f>
        <v>225</v>
      </c>
      <c r="I39" s="312">
        <f t="shared" si="44"/>
        <v>33930000</v>
      </c>
      <c r="J39" s="312">
        <f t="shared" si="44"/>
        <v>636000</v>
      </c>
      <c r="K39" s="312">
        <f t="shared" si="44"/>
        <v>2544000</v>
      </c>
      <c r="L39" s="312">
        <f t="shared" si="44"/>
        <v>0</v>
      </c>
      <c r="M39" s="312">
        <f t="shared" si="44"/>
        <v>10900000</v>
      </c>
      <c r="N39" s="312">
        <f t="shared" si="44"/>
        <v>19850000</v>
      </c>
      <c r="O39" s="312">
        <f t="shared" si="44"/>
        <v>0</v>
      </c>
      <c r="P39" s="312">
        <f t="shared" si="44"/>
        <v>0</v>
      </c>
      <c r="Q39" s="312">
        <f t="shared" si="44"/>
        <v>0</v>
      </c>
      <c r="R39" s="312">
        <f t="shared" si="44"/>
        <v>0</v>
      </c>
      <c r="S39" s="312">
        <f t="shared" si="44"/>
        <v>0</v>
      </c>
      <c r="T39" s="312">
        <f t="shared" si="44"/>
        <v>52.5</v>
      </c>
      <c r="U39" s="312">
        <f t="shared" si="44"/>
        <v>52.5</v>
      </c>
      <c r="V39" s="312">
        <f t="shared" si="44"/>
        <v>52.5</v>
      </c>
      <c r="W39" s="312">
        <f t="shared" si="44"/>
        <v>52.5</v>
      </c>
      <c r="X39" s="312">
        <f t="shared" si="44"/>
        <v>208920000</v>
      </c>
      <c r="Y39" s="312">
        <f t="shared" si="44"/>
        <v>208920000</v>
      </c>
      <c r="Z39" s="312">
        <f t="shared" si="44"/>
        <v>208920000</v>
      </c>
      <c r="AA39" s="312">
        <f t="shared" si="44"/>
        <v>208920000</v>
      </c>
      <c r="AB39" s="312">
        <f t="shared" si="44"/>
        <v>6</v>
      </c>
      <c r="AC39" s="312">
        <f t="shared" si="44"/>
        <v>120000</v>
      </c>
      <c r="AD39" s="312">
        <f t="shared" si="44"/>
        <v>0</v>
      </c>
      <c r="AE39" s="312">
        <f t="shared" si="44"/>
        <v>0</v>
      </c>
      <c r="AF39" s="312">
        <f t="shared" si="44"/>
        <v>3</v>
      </c>
      <c r="AG39" s="312">
        <f t="shared" si="44"/>
        <v>1200000</v>
      </c>
      <c r="AH39" s="312">
        <f t="shared" si="44"/>
        <v>37</v>
      </c>
      <c r="AI39" s="312">
        <f t="shared" si="44"/>
        <v>3140000</v>
      </c>
      <c r="AJ39" s="312">
        <f t="shared" si="44"/>
        <v>14</v>
      </c>
      <c r="AK39" s="312">
        <f t="shared" si="44"/>
        <v>280000</v>
      </c>
      <c r="AL39" s="312">
        <f t="shared" si="44"/>
        <v>0</v>
      </c>
      <c r="AM39" s="312">
        <f t="shared" si="44"/>
        <v>0</v>
      </c>
      <c r="AN39" s="312">
        <f t="shared" ref="AN39:AY39" si="45">SUM(AN30:AN38)</f>
        <v>11</v>
      </c>
      <c r="AO39" s="312">
        <f t="shared" si="45"/>
        <v>1180000</v>
      </c>
      <c r="AP39" s="312">
        <f t="shared" si="45"/>
        <v>12</v>
      </c>
      <c r="AQ39" s="312">
        <f t="shared" si="45"/>
        <v>5040000</v>
      </c>
      <c r="AR39" s="312">
        <f t="shared" si="45"/>
        <v>6</v>
      </c>
      <c r="AS39" s="312">
        <f t="shared" si="45"/>
        <v>780000</v>
      </c>
      <c r="AT39" s="312">
        <f t="shared" si="45"/>
        <v>2</v>
      </c>
      <c r="AU39" s="312">
        <f t="shared" si="45"/>
        <v>700000</v>
      </c>
      <c r="AV39" s="312">
        <f t="shared" si="45"/>
        <v>30</v>
      </c>
      <c r="AW39" s="312">
        <f t="shared" si="45"/>
        <v>5400000</v>
      </c>
      <c r="AX39" s="312">
        <f t="shared" si="45"/>
        <v>8</v>
      </c>
      <c r="AY39" s="312">
        <f t="shared" si="45"/>
        <v>3700000</v>
      </c>
      <c r="AZ39" s="312">
        <f t="shared" ref="AZ39:BS39" si="46">SUM(AZ30:AZ38)</f>
        <v>12</v>
      </c>
      <c r="BA39" s="312">
        <f t="shared" si="46"/>
        <v>6000000</v>
      </c>
      <c r="BB39" s="312">
        <f t="shared" si="46"/>
        <v>21</v>
      </c>
      <c r="BC39" s="312">
        <f t="shared" si="46"/>
        <v>1560000</v>
      </c>
      <c r="BD39" s="312">
        <f t="shared" si="46"/>
        <v>44</v>
      </c>
      <c r="BE39" s="312">
        <f t="shared" si="46"/>
        <v>2350000</v>
      </c>
      <c r="BF39" s="312">
        <f t="shared" si="46"/>
        <v>16</v>
      </c>
      <c r="BG39" s="312">
        <f t="shared" si="46"/>
        <v>980000</v>
      </c>
      <c r="BH39" s="312">
        <f t="shared" si="46"/>
        <v>3</v>
      </c>
      <c r="BI39" s="312">
        <f t="shared" si="46"/>
        <v>1500000</v>
      </c>
      <c r="BJ39" s="312">
        <f t="shared" si="46"/>
        <v>0</v>
      </c>
      <c r="BK39" s="312">
        <f t="shared" si="46"/>
        <v>0</v>
      </c>
      <c r="BL39" s="312">
        <f t="shared" si="46"/>
        <v>225</v>
      </c>
      <c r="BM39" s="312">
        <f t="shared" si="46"/>
        <v>33930000</v>
      </c>
      <c r="BN39" s="312">
        <f t="shared" si="46"/>
        <v>0</v>
      </c>
      <c r="BO39" s="312">
        <f t="shared" si="46"/>
        <v>0</v>
      </c>
      <c r="BP39" s="312">
        <f t="shared" si="46"/>
        <v>25500000</v>
      </c>
      <c r="BQ39" s="312">
        <f t="shared" si="46"/>
        <v>0</v>
      </c>
      <c r="BR39" s="312">
        <f t="shared" si="46"/>
        <v>3180000</v>
      </c>
      <c r="BS39" s="312">
        <f t="shared" si="46"/>
        <v>0</v>
      </c>
      <c r="BT39" s="312">
        <f t="shared" ref="BT39:BX39" si="47">SUM(BT30:BT38)</f>
        <v>28680000</v>
      </c>
      <c r="BU39" s="312">
        <f t="shared" si="47"/>
        <v>0</v>
      </c>
      <c r="BV39" s="312">
        <f t="shared" si="47"/>
        <v>0</v>
      </c>
      <c r="BW39" s="312">
        <f t="shared" si="47"/>
        <v>0</v>
      </c>
      <c r="BX39" s="312">
        <f t="shared" si="47"/>
        <v>28680000</v>
      </c>
      <c r="BY39" s="298"/>
      <c r="BZ39" s="298"/>
      <c r="CA39" s="298"/>
      <c r="CB39" s="298"/>
      <c r="CC39" s="298"/>
      <c r="CD39" s="298"/>
      <c r="CE39" s="298"/>
      <c r="CF39" s="298"/>
      <c r="CG39" s="298"/>
      <c r="CH39" s="298"/>
      <c r="CI39" s="298"/>
      <c r="CJ39" s="298"/>
      <c r="CK39" s="298"/>
      <c r="CL39" s="298"/>
      <c r="CM39" s="298"/>
      <c r="CN39" s="298"/>
      <c r="CO39" s="298"/>
      <c r="CP39" s="298"/>
      <c r="CQ39" s="298"/>
      <c r="CR39" s="298"/>
      <c r="CS39" s="298"/>
      <c r="CT39" s="298"/>
      <c r="CU39" s="298"/>
      <c r="CV39" s="298"/>
      <c r="CW39" s="298"/>
      <c r="CX39" s="298"/>
      <c r="CY39" s="298"/>
      <c r="CZ39" s="298"/>
      <c r="DA39" s="298"/>
      <c r="DB39" s="298"/>
      <c r="DC39" s="298"/>
      <c r="DD39" s="298"/>
      <c r="DE39" s="298"/>
      <c r="DF39" s="298"/>
      <c r="DG39" s="298"/>
      <c r="DH39" s="298"/>
      <c r="DI39" s="298"/>
      <c r="DJ39" s="298"/>
      <c r="DK39" s="298"/>
      <c r="DL39" s="298"/>
      <c r="DM39" s="298"/>
      <c r="DN39" s="298"/>
      <c r="DO39" s="298"/>
      <c r="DP39" s="298"/>
      <c r="DQ39" s="298"/>
      <c r="DR39" s="298"/>
      <c r="DS39" s="298"/>
      <c r="DT39" s="298"/>
      <c r="DU39" s="298"/>
      <c r="DV39" s="298"/>
      <c r="DW39" s="298"/>
      <c r="DX39" s="298"/>
      <c r="DY39" s="298"/>
      <c r="DZ39" s="298"/>
      <c r="EA39" s="298"/>
      <c r="EB39" s="298"/>
      <c r="EC39" s="298"/>
      <c r="ED39" s="298"/>
      <c r="EE39" s="298"/>
      <c r="EF39" s="298"/>
      <c r="EG39" s="298"/>
      <c r="EH39" s="298"/>
      <c r="EI39" s="298"/>
      <c r="EJ39" s="298"/>
      <c r="EK39" s="298"/>
      <c r="EL39" s="298"/>
      <c r="EM39" s="298"/>
      <c r="EN39" s="298"/>
      <c r="EO39" s="298"/>
      <c r="EP39" s="298"/>
      <c r="EQ39" s="298"/>
      <c r="ER39" s="298"/>
      <c r="ES39" s="298"/>
      <c r="ET39" s="298"/>
      <c r="EU39" s="298"/>
      <c r="EV39" s="298"/>
      <c r="EW39" s="298"/>
      <c r="EX39" s="298"/>
      <c r="EY39" s="298"/>
      <c r="EZ39" s="298"/>
      <c r="FA39" s="298"/>
      <c r="FB39" s="298"/>
      <c r="FC39" s="298"/>
      <c r="FD39" s="298"/>
      <c r="FE39" s="298"/>
    </row>
    <row r="40" spans="1:161" s="571" customFormat="1" hidden="1" x14ac:dyDescent="0.2">
      <c r="A40" s="817"/>
      <c r="B40" s="575"/>
      <c r="C40" s="407"/>
      <c r="D40" s="407"/>
      <c r="E40" s="316" t="s">
        <v>408</v>
      </c>
      <c r="F40" s="317"/>
      <c r="G40" s="336"/>
      <c r="H40" s="312"/>
      <c r="I40" s="394"/>
      <c r="J40" s="394"/>
      <c r="K40" s="394"/>
      <c r="L40" s="394"/>
      <c r="M40" s="394"/>
      <c r="N40" s="394"/>
      <c r="O40" s="394"/>
      <c r="P40" s="394"/>
      <c r="Q40" s="394"/>
      <c r="R40" s="394"/>
      <c r="S40" s="394"/>
      <c r="T40" s="374"/>
      <c r="U40" s="374"/>
      <c r="V40" s="374"/>
      <c r="W40" s="374"/>
      <c r="X40" s="394"/>
      <c r="Y40" s="394"/>
      <c r="Z40" s="394"/>
      <c r="AA40" s="394"/>
      <c r="AB40" s="373"/>
      <c r="AC40" s="295"/>
      <c r="AD40" s="373"/>
      <c r="AE40" s="295"/>
      <c r="AF40" s="373"/>
      <c r="AG40" s="295"/>
      <c r="AH40" s="373"/>
      <c r="AI40" s="295"/>
      <c r="AJ40" s="373"/>
      <c r="AK40" s="295"/>
      <c r="AL40" s="373"/>
      <c r="AM40" s="295"/>
      <c r="AN40" s="373"/>
      <c r="AO40" s="295"/>
      <c r="AP40" s="373"/>
      <c r="AQ40" s="295"/>
      <c r="AR40" s="373"/>
      <c r="AS40" s="295"/>
      <c r="AT40" s="373"/>
      <c r="AU40" s="295"/>
      <c r="AV40" s="373"/>
      <c r="AW40" s="295"/>
      <c r="AX40" s="373"/>
      <c r="AY40" s="295"/>
      <c r="AZ40" s="373"/>
      <c r="BA40" s="295"/>
      <c r="BB40" s="373"/>
      <c r="BC40" s="295"/>
      <c r="BD40" s="373"/>
      <c r="BE40" s="295"/>
      <c r="BF40" s="373"/>
      <c r="BG40" s="295"/>
      <c r="BH40" s="373"/>
      <c r="BI40" s="295"/>
      <c r="BJ40" s="373"/>
      <c r="BK40" s="295"/>
      <c r="BL40" s="373"/>
      <c r="BM40" s="295"/>
      <c r="BN40" s="317"/>
      <c r="BO40" s="298"/>
      <c r="BP40" s="321">
        <f>I40</f>
        <v>0</v>
      </c>
      <c r="BQ40" s="321"/>
      <c r="BR40" s="321"/>
      <c r="BS40" s="321"/>
      <c r="BT40" s="321">
        <f t="shared" si="39"/>
        <v>0</v>
      </c>
      <c r="BU40" s="321"/>
      <c r="BV40" s="321"/>
      <c r="BW40" s="321">
        <f>BU40+BV40</f>
        <v>0</v>
      </c>
      <c r="BX40" s="322">
        <f t="shared" si="22"/>
        <v>0</v>
      </c>
      <c r="BY40" s="298"/>
      <c r="BZ40" s="298"/>
      <c r="CA40" s="298"/>
      <c r="CB40" s="298"/>
      <c r="CC40" s="298"/>
      <c r="CD40" s="298"/>
      <c r="CE40" s="298"/>
      <c r="CF40" s="298"/>
      <c r="CG40" s="298"/>
      <c r="CH40" s="298"/>
      <c r="CI40" s="298"/>
      <c r="CJ40" s="298"/>
      <c r="CK40" s="298"/>
      <c r="CL40" s="298"/>
      <c r="CM40" s="298"/>
      <c r="CN40" s="298"/>
      <c r="CO40" s="298"/>
      <c r="CP40" s="298"/>
      <c r="CQ40" s="298"/>
      <c r="CR40" s="298"/>
      <c r="CS40" s="298"/>
      <c r="CT40" s="298"/>
      <c r="CU40" s="298"/>
      <c r="CV40" s="298"/>
      <c r="CW40" s="298"/>
      <c r="CX40" s="298"/>
      <c r="CY40" s="298"/>
      <c r="CZ40" s="298"/>
      <c r="DA40" s="298"/>
      <c r="DB40" s="298"/>
      <c r="DC40" s="298"/>
      <c r="DD40" s="298"/>
      <c r="DE40" s="298"/>
      <c r="DF40" s="298"/>
      <c r="DG40" s="298"/>
      <c r="DH40" s="298"/>
      <c r="DI40" s="298"/>
      <c r="DJ40" s="298"/>
      <c r="DK40" s="298"/>
      <c r="DL40" s="298"/>
      <c r="DM40" s="298"/>
      <c r="DN40" s="298"/>
      <c r="DO40" s="298"/>
      <c r="DP40" s="298"/>
      <c r="DQ40" s="298"/>
      <c r="DR40" s="298"/>
      <c r="DS40" s="298"/>
      <c r="DT40" s="298"/>
      <c r="DU40" s="298"/>
      <c r="DV40" s="298"/>
      <c r="DW40" s="298"/>
      <c r="DX40" s="298"/>
      <c r="DY40" s="298"/>
      <c r="DZ40" s="298"/>
      <c r="EA40" s="298"/>
      <c r="EB40" s="298"/>
      <c r="EC40" s="298"/>
      <c r="ED40" s="298"/>
      <c r="EE40" s="298"/>
      <c r="EF40" s="298"/>
      <c r="EG40" s="298"/>
      <c r="EH40" s="298"/>
      <c r="EI40" s="298"/>
      <c r="EJ40" s="298"/>
      <c r="EK40" s="298"/>
      <c r="EL40" s="298"/>
      <c r="EM40" s="298"/>
      <c r="EN40" s="298"/>
      <c r="EO40" s="298"/>
      <c r="EP40" s="298"/>
      <c r="EQ40" s="298"/>
      <c r="ER40" s="298"/>
      <c r="ES40" s="298"/>
      <c r="ET40" s="298"/>
      <c r="EU40" s="298"/>
      <c r="EV40" s="298"/>
      <c r="EW40" s="298"/>
      <c r="EX40" s="298"/>
      <c r="EY40" s="298"/>
      <c r="EZ40" s="298"/>
      <c r="FA40" s="298"/>
      <c r="FB40" s="298"/>
      <c r="FC40" s="298"/>
      <c r="FD40" s="298"/>
      <c r="FE40" s="298"/>
    </row>
    <row r="41" spans="1:161" s="571" customFormat="1" hidden="1" x14ac:dyDescent="0.2">
      <c r="A41" s="817"/>
      <c r="B41" s="575"/>
      <c r="C41" s="407" t="s">
        <v>966</v>
      </c>
      <c r="D41" s="586" t="s">
        <v>1034</v>
      </c>
      <c r="E41" s="342" t="s">
        <v>960</v>
      </c>
      <c r="F41" s="317" t="s">
        <v>93</v>
      </c>
      <c r="G41" s="336">
        <v>250000</v>
      </c>
      <c r="H41" s="294">
        <f>BL41</f>
        <v>80</v>
      </c>
      <c r="I41" s="394">
        <f>H41*G41</f>
        <v>20000000</v>
      </c>
      <c r="J41" s="394">
        <f>I41*0.2</f>
        <v>4000000</v>
      </c>
      <c r="K41" s="394">
        <f>I41*0.8</f>
        <v>16000000</v>
      </c>
      <c r="L41" s="394"/>
      <c r="M41" s="394"/>
      <c r="N41" s="394"/>
      <c r="O41" s="394"/>
      <c r="P41" s="394"/>
      <c r="Q41" s="394"/>
      <c r="R41" s="394"/>
      <c r="S41" s="394"/>
      <c r="T41" s="374">
        <f>H41*0.25</f>
        <v>20</v>
      </c>
      <c r="U41" s="374">
        <f>H41*0.25</f>
        <v>20</v>
      </c>
      <c r="V41" s="374">
        <f>H41*0.25</f>
        <v>20</v>
      </c>
      <c r="W41" s="374">
        <f>H41*0.25</f>
        <v>20</v>
      </c>
      <c r="X41" s="394">
        <f>T41*I41</f>
        <v>400000000</v>
      </c>
      <c r="Y41" s="394">
        <f>U41*I41</f>
        <v>400000000</v>
      </c>
      <c r="Z41" s="394">
        <f>V41*I41</f>
        <v>400000000</v>
      </c>
      <c r="AA41" s="394">
        <f>W41*I41</f>
        <v>400000000</v>
      </c>
      <c r="AB41" s="373">
        <v>8</v>
      </c>
      <c r="AC41" s="295">
        <f t="shared" si="2"/>
        <v>2000000</v>
      </c>
      <c r="AD41" s="373">
        <v>1</v>
      </c>
      <c r="AE41" s="295">
        <f t="shared" si="3"/>
        <v>250000</v>
      </c>
      <c r="AF41" s="373">
        <v>10</v>
      </c>
      <c r="AG41" s="295">
        <f t="shared" si="4"/>
        <v>2500000</v>
      </c>
      <c r="AH41" s="373">
        <v>10</v>
      </c>
      <c r="AI41" s="295">
        <f t="shared" si="5"/>
        <v>2500000</v>
      </c>
      <c r="AJ41" s="373">
        <v>4</v>
      </c>
      <c r="AK41" s="295">
        <f t="shared" si="6"/>
        <v>1000000</v>
      </c>
      <c r="AL41" s="373">
        <v>2</v>
      </c>
      <c r="AM41" s="295">
        <f t="shared" si="7"/>
        <v>500000</v>
      </c>
      <c r="AN41" s="373">
        <v>4</v>
      </c>
      <c r="AO41" s="295">
        <f t="shared" si="8"/>
        <v>1000000</v>
      </c>
      <c r="AP41" s="373">
        <v>2</v>
      </c>
      <c r="AQ41" s="295">
        <f t="shared" si="9"/>
        <v>500000</v>
      </c>
      <c r="AR41" s="373">
        <v>4</v>
      </c>
      <c r="AS41" s="295">
        <f t="shared" si="10"/>
        <v>1000000</v>
      </c>
      <c r="AT41" s="373">
        <v>4</v>
      </c>
      <c r="AU41" s="295">
        <f t="shared" si="11"/>
        <v>1000000</v>
      </c>
      <c r="AV41" s="373">
        <v>5</v>
      </c>
      <c r="AW41" s="295">
        <f t="shared" si="12"/>
        <v>1250000</v>
      </c>
      <c r="AX41" s="373">
        <v>2</v>
      </c>
      <c r="AY41" s="295">
        <f t="shared" si="13"/>
        <v>500000</v>
      </c>
      <c r="AZ41" s="373">
        <v>2</v>
      </c>
      <c r="BA41" s="295">
        <f t="shared" si="14"/>
        <v>500000</v>
      </c>
      <c r="BB41" s="373">
        <v>1</v>
      </c>
      <c r="BC41" s="295">
        <f t="shared" si="15"/>
        <v>250000</v>
      </c>
      <c r="BD41" s="373">
        <v>10</v>
      </c>
      <c r="BE41" s="295">
        <f t="shared" si="16"/>
        <v>2500000</v>
      </c>
      <c r="BF41" s="373">
        <v>4</v>
      </c>
      <c r="BG41" s="295">
        <f t="shared" si="17"/>
        <v>1000000</v>
      </c>
      <c r="BH41" s="373">
        <v>7</v>
      </c>
      <c r="BI41" s="295">
        <f>BH41*G41</f>
        <v>1750000</v>
      </c>
      <c r="BJ41" s="373"/>
      <c r="BK41" s="295">
        <f>BJ41*G41</f>
        <v>0</v>
      </c>
      <c r="BL41" s="373">
        <f t="shared" ref="BL41:BM45" si="48">AB41+AD41+AF41+AH41+AJ41+AL41+AN41+AP41+AR41+AT41+AV41+AX41+AZ41+BB41+BD41+BF41+BH41+BJ41</f>
        <v>80</v>
      </c>
      <c r="BM41" s="295">
        <f t="shared" si="48"/>
        <v>20000000</v>
      </c>
      <c r="BN41" s="317" t="s">
        <v>291</v>
      </c>
      <c r="BO41" s="298"/>
      <c r="BP41" s="321">
        <f>I41</f>
        <v>20000000</v>
      </c>
      <c r="BQ41" s="321"/>
      <c r="BR41" s="321">
        <f>BM41</f>
        <v>20000000</v>
      </c>
      <c r="BS41" s="321"/>
      <c r="BT41" s="321">
        <f t="shared" si="39"/>
        <v>40000000</v>
      </c>
      <c r="BU41" s="321"/>
      <c r="BV41" s="321"/>
      <c r="BW41" s="321">
        <f>BU41+BV41</f>
        <v>0</v>
      </c>
      <c r="BX41" s="322">
        <f t="shared" si="22"/>
        <v>40000000</v>
      </c>
      <c r="BY41" s="298"/>
      <c r="BZ41" s="298"/>
      <c r="CA41" s="298"/>
      <c r="CB41" s="298"/>
      <c r="CC41" s="298"/>
      <c r="CD41" s="298"/>
      <c r="CE41" s="298"/>
      <c r="CF41" s="298"/>
      <c r="CG41" s="298"/>
      <c r="CH41" s="298"/>
      <c r="CI41" s="298"/>
      <c r="CJ41" s="298"/>
      <c r="CK41" s="298"/>
      <c r="CL41" s="298"/>
      <c r="CM41" s="298"/>
      <c r="CN41" s="298"/>
      <c r="CO41" s="298"/>
      <c r="CP41" s="298"/>
      <c r="CQ41" s="298"/>
      <c r="CR41" s="298"/>
      <c r="CS41" s="298"/>
      <c r="CT41" s="298"/>
      <c r="CU41" s="298"/>
      <c r="CV41" s="298"/>
      <c r="CW41" s="298"/>
      <c r="CX41" s="298"/>
      <c r="CY41" s="298"/>
      <c r="CZ41" s="298"/>
      <c r="DA41" s="298"/>
      <c r="DB41" s="298"/>
      <c r="DC41" s="298"/>
      <c r="DD41" s="298"/>
      <c r="DE41" s="298"/>
      <c r="DF41" s="298"/>
      <c r="DG41" s="298"/>
      <c r="DH41" s="298"/>
      <c r="DI41" s="298"/>
      <c r="DJ41" s="298"/>
      <c r="DK41" s="298"/>
      <c r="DL41" s="298"/>
      <c r="DM41" s="298"/>
      <c r="DN41" s="298"/>
      <c r="DO41" s="298"/>
      <c r="DP41" s="298"/>
      <c r="DQ41" s="298"/>
      <c r="DR41" s="298"/>
      <c r="DS41" s="298"/>
      <c r="DT41" s="298"/>
      <c r="DU41" s="298"/>
      <c r="DV41" s="298"/>
      <c r="DW41" s="298"/>
      <c r="DX41" s="298"/>
      <c r="DY41" s="298"/>
      <c r="DZ41" s="298"/>
      <c r="EA41" s="298"/>
      <c r="EB41" s="298"/>
      <c r="EC41" s="298"/>
      <c r="ED41" s="298"/>
      <c r="EE41" s="298"/>
      <c r="EF41" s="298"/>
      <c r="EG41" s="298"/>
      <c r="EH41" s="298"/>
      <c r="EI41" s="298"/>
      <c r="EJ41" s="298"/>
      <c r="EK41" s="298"/>
      <c r="EL41" s="298"/>
      <c r="EM41" s="298"/>
      <c r="EN41" s="298"/>
      <c r="EO41" s="298"/>
      <c r="EP41" s="298"/>
      <c r="EQ41" s="298"/>
      <c r="ER41" s="298"/>
      <c r="ES41" s="298"/>
      <c r="ET41" s="298"/>
      <c r="EU41" s="298"/>
      <c r="EV41" s="298"/>
      <c r="EW41" s="298"/>
      <c r="EX41" s="298"/>
      <c r="EY41" s="298"/>
      <c r="EZ41" s="298"/>
      <c r="FA41" s="298"/>
      <c r="FB41" s="298"/>
      <c r="FC41" s="298"/>
      <c r="FD41" s="298"/>
      <c r="FE41" s="298"/>
    </row>
    <row r="42" spans="1:161" s="571" customFormat="1" x14ac:dyDescent="0.2">
      <c r="A42" s="817"/>
      <c r="B42" s="575"/>
      <c r="C42" s="407"/>
      <c r="D42" s="586" t="s">
        <v>1035</v>
      </c>
      <c r="E42" s="342" t="s">
        <v>884</v>
      </c>
      <c r="F42" s="317" t="s">
        <v>883</v>
      </c>
      <c r="G42" s="336">
        <v>250000</v>
      </c>
      <c r="H42" s="294">
        <f>BL42</f>
        <v>50</v>
      </c>
      <c r="I42" s="394">
        <f>H42*G42</f>
        <v>12500000</v>
      </c>
      <c r="J42" s="394">
        <f>I42*0.2</f>
        <v>2500000</v>
      </c>
      <c r="K42" s="394">
        <f>I42*0.8</f>
        <v>10000000</v>
      </c>
      <c r="L42" s="394"/>
      <c r="M42" s="394"/>
      <c r="N42" s="394"/>
      <c r="O42" s="394"/>
      <c r="P42" s="394"/>
      <c r="Q42" s="394"/>
      <c r="R42" s="394"/>
      <c r="S42" s="394"/>
      <c r="T42" s="374"/>
      <c r="U42" s="374"/>
      <c r="V42" s="374"/>
      <c r="W42" s="374"/>
      <c r="X42" s="394"/>
      <c r="Y42" s="394"/>
      <c r="Z42" s="394"/>
      <c r="AA42" s="394"/>
      <c r="AB42" s="373">
        <v>3</v>
      </c>
      <c r="AC42" s="295">
        <f t="shared" si="2"/>
        <v>750000</v>
      </c>
      <c r="AD42" s="373">
        <v>3</v>
      </c>
      <c r="AE42" s="295">
        <f t="shared" si="3"/>
        <v>750000</v>
      </c>
      <c r="AF42" s="373">
        <v>5</v>
      </c>
      <c r="AG42" s="295">
        <f t="shared" si="4"/>
        <v>1250000</v>
      </c>
      <c r="AH42" s="373">
        <v>3</v>
      </c>
      <c r="AI42" s="295">
        <f t="shared" si="5"/>
        <v>750000</v>
      </c>
      <c r="AJ42" s="373">
        <v>2</v>
      </c>
      <c r="AK42" s="295">
        <f t="shared" si="6"/>
        <v>500000</v>
      </c>
      <c r="AL42" s="373">
        <v>2</v>
      </c>
      <c r="AM42" s="295">
        <f t="shared" si="7"/>
        <v>500000</v>
      </c>
      <c r="AN42" s="373">
        <v>2</v>
      </c>
      <c r="AO42" s="295">
        <f t="shared" si="8"/>
        <v>500000</v>
      </c>
      <c r="AP42" s="373">
        <v>2</v>
      </c>
      <c r="AQ42" s="295">
        <f t="shared" si="9"/>
        <v>500000</v>
      </c>
      <c r="AR42" s="373">
        <v>1</v>
      </c>
      <c r="AS42" s="295">
        <f t="shared" si="10"/>
        <v>250000</v>
      </c>
      <c r="AT42" s="373">
        <v>10</v>
      </c>
      <c r="AU42" s="295">
        <f t="shared" si="11"/>
        <v>2500000</v>
      </c>
      <c r="AV42" s="373">
        <v>2</v>
      </c>
      <c r="AW42" s="295">
        <f t="shared" si="12"/>
        <v>500000</v>
      </c>
      <c r="AX42" s="373">
        <v>2</v>
      </c>
      <c r="AY42" s="295">
        <f t="shared" si="13"/>
        <v>500000</v>
      </c>
      <c r="AZ42" s="373">
        <v>2</v>
      </c>
      <c r="BA42" s="295">
        <f t="shared" si="14"/>
        <v>500000</v>
      </c>
      <c r="BB42" s="373">
        <v>2</v>
      </c>
      <c r="BC42" s="295">
        <f t="shared" si="15"/>
        <v>500000</v>
      </c>
      <c r="BD42" s="373">
        <v>2</v>
      </c>
      <c r="BE42" s="295">
        <f t="shared" si="16"/>
        <v>500000</v>
      </c>
      <c r="BF42" s="373">
        <v>2</v>
      </c>
      <c r="BG42" s="295">
        <f t="shared" si="17"/>
        <v>500000</v>
      </c>
      <c r="BH42" s="373">
        <v>5</v>
      </c>
      <c r="BI42" s="295">
        <f>BH42*G42</f>
        <v>1250000</v>
      </c>
      <c r="BJ42" s="373"/>
      <c r="BK42" s="295"/>
      <c r="BL42" s="373">
        <f t="shared" si="48"/>
        <v>50</v>
      </c>
      <c r="BM42" s="295">
        <f t="shared" si="48"/>
        <v>12500000</v>
      </c>
      <c r="BN42" s="317" t="s">
        <v>561</v>
      </c>
      <c r="BO42" s="298"/>
      <c r="BP42" s="321">
        <f>BM42</f>
        <v>12500000</v>
      </c>
      <c r="BQ42" s="321"/>
      <c r="BR42" s="321"/>
      <c r="BS42" s="321"/>
      <c r="BT42" s="321"/>
      <c r="BU42" s="321"/>
      <c r="BV42" s="321"/>
      <c r="BW42" s="321"/>
      <c r="BX42" s="322"/>
      <c r="BY42" s="298"/>
      <c r="BZ42" s="298"/>
      <c r="CA42" s="298"/>
      <c r="CB42" s="298"/>
      <c r="CC42" s="298"/>
      <c r="CD42" s="298"/>
      <c r="CE42" s="298"/>
      <c r="CF42" s="298"/>
      <c r="CG42" s="298"/>
      <c r="CH42" s="298"/>
      <c r="CI42" s="298"/>
      <c r="CJ42" s="298"/>
      <c r="CK42" s="298"/>
      <c r="CL42" s="298"/>
      <c r="CM42" s="298"/>
      <c r="CN42" s="298"/>
      <c r="CO42" s="298"/>
      <c r="CP42" s="298"/>
      <c r="CQ42" s="298"/>
      <c r="CR42" s="298"/>
      <c r="CS42" s="298"/>
      <c r="CT42" s="298"/>
      <c r="CU42" s="298"/>
      <c r="CV42" s="298"/>
      <c r="CW42" s="298"/>
      <c r="CX42" s="298"/>
      <c r="CY42" s="298"/>
      <c r="CZ42" s="298"/>
      <c r="DA42" s="298"/>
      <c r="DB42" s="298"/>
      <c r="DC42" s="298"/>
      <c r="DD42" s="298"/>
      <c r="DE42" s="298"/>
      <c r="DF42" s="298"/>
      <c r="DG42" s="298"/>
      <c r="DH42" s="298"/>
      <c r="DI42" s="298"/>
      <c r="DJ42" s="298"/>
      <c r="DK42" s="298"/>
      <c r="DL42" s="298"/>
      <c r="DM42" s="298"/>
      <c r="DN42" s="298"/>
      <c r="DO42" s="298"/>
      <c r="DP42" s="298"/>
      <c r="DQ42" s="298"/>
      <c r="DR42" s="298"/>
      <c r="DS42" s="298"/>
      <c r="DT42" s="298"/>
      <c r="DU42" s="298"/>
      <c r="DV42" s="298"/>
      <c r="DW42" s="298"/>
      <c r="DX42" s="298"/>
      <c r="DY42" s="298"/>
      <c r="DZ42" s="298"/>
      <c r="EA42" s="298"/>
      <c r="EB42" s="298"/>
      <c r="EC42" s="298"/>
      <c r="ED42" s="298"/>
      <c r="EE42" s="298"/>
      <c r="EF42" s="298"/>
      <c r="EG42" s="298"/>
      <c r="EH42" s="298"/>
      <c r="EI42" s="298"/>
      <c r="EJ42" s="298"/>
      <c r="EK42" s="298"/>
      <c r="EL42" s="298"/>
      <c r="EM42" s="298"/>
      <c r="EN42" s="298"/>
      <c r="EO42" s="298"/>
      <c r="EP42" s="298"/>
      <c r="EQ42" s="298"/>
      <c r="ER42" s="298"/>
      <c r="ES42" s="298"/>
      <c r="ET42" s="298"/>
      <c r="EU42" s="298"/>
      <c r="EV42" s="298"/>
      <c r="EW42" s="298"/>
      <c r="EX42" s="298"/>
      <c r="EY42" s="298"/>
      <c r="EZ42" s="298"/>
      <c r="FA42" s="298"/>
      <c r="FB42" s="298"/>
      <c r="FC42" s="298"/>
      <c r="FD42" s="298"/>
      <c r="FE42" s="298"/>
    </row>
    <row r="43" spans="1:161" s="571" customFormat="1" x14ac:dyDescent="0.2">
      <c r="A43" s="817"/>
      <c r="B43" s="575"/>
      <c r="C43" s="407"/>
      <c r="D43" s="586" t="s">
        <v>1036</v>
      </c>
      <c r="E43" s="342" t="s">
        <v>893</v>
      </c>
      <c r="F43" s="317" t="s">
        <v>239</v>
      </c>
      <c r="G43" s="336">
        <v>5000</v>
      </c>
      <c r="H43" s="294">
        <f>BL43</f>
        <v>251</v>
      </c>
      <c r="I43" s="377">
        <f>BM43</f>
        <v>1995000</v>
      </c>
      <c r="J43" s="394">
        <f>I43*0.2</f>
        <v>399000</v>
      </c>
      <c r="K43" s="394">
        <f>I43*0.8</f>
        <v>1596000</v>
      </c>
      <c r="L43" s="394"/>
      <c r="M43" s="394"/>
      <c r="N43" s="394"/>
      <c r="O43" s="394"/>
      <c r="P43" s="394"/>
      <c r="Q43" s="394"/>
      <c r="R43" s="394"/>
      <c r="S43" s="394"/>
      <c r="T43" s="374"/>
      <c r="U43" s="374"/>
      <c r="V43" s="374"/>
      <c r="W43" s="374"/>
      <c r="X43" s="394"/>
      <c r="Y43" s="394"/>
      <c r="Z43" s="394"/>
      <c r="AA43" s="394"/>
      <c r="AB43" s="373">
        <v>15</v>
      </c>
      <c r="AC43" s="295">
        <f t="shared" si="2"/>
        <v>75000</v>
      </c>
      <c r="AD43" s="373">
        <v>10</v>
      </c>
      <c r="AE43" s="295">
        <f t="shared" si="3"/>
        <v>50000</v>
      </c>
      <c r="AF43" s="373">
        <v>16</v>
      </c>
      <c r="AG43" s="295">
        <f t="shared" si="4"/>
        <v>80000</v>
      </c>
      <c r="AH43" s="373">
        <v>10</v>
      </c>
      <c r="AI43" s="295">
        <f t="shared" si="5"/>
        <v>50000</v>
      </c>
      <c r="AJ43" s="373">
        <v>10</v>
      </c>
      <c r="AK43" s="295">
        <f t="shared" si="6"/>
        <v>50000</v>
      </c>
      <c r="AL43" s="373">
        <v>20</v>
      </c>
      <c r="AM43" s="295">
        <f t="shared" si="7"/>
        <v>100000</v>
      </c>
      <c r="AN43" s="373">
        <v>10</v>
      </c>
      <c r="AO43" s="295">
        <f t="shared" si="8"/>
        <v>50000</v>
      </c>
      <c r="AP43" s="373">
        <v>15</v>
      </c>
      <c r="AQ43" s="295">
        <f t="shared" si="9"/>
        <v>75000</v>
      </c>
      <c r="AR43" s="373">
        <v>5</v>
      </c>
      <c r="AS43" s="295">
        <f t="shared" si="10"/>
        <v>25000</v>
      </c>
      <c r="AT43" s="373">
        <v>10</v>
      </c>
      <c r="AU43" s="295">
        <v>900000</v>
      </c>
      <c r="AV43" s="373">
        <v>10</v>
      </c>
      <c r="AW43" s="295">
        <f t="shared" si="12"/>
        <v>50000</v>
      </c>
      <c r="AX43" s="373">
        <v>10</v>
      </c>
      <c r="AY43" s="295">
        <f t="shared" si="13"/>
        <v>50000</v>
      </c>
      <c r="AZ43" s="373">
        <v>10</v>
      </c>
      <c r="BA43" s="295">
        <f t="shared" si="14"/>
        <v>50000</v>
      </c>
      <c r="BB43" s="373">
        <v>15</v>
      </c>
      <c r="BC43" s="295">
        <f t="shared" si="15"/>
        <v>75000</v>
      </c>
      <c r="BD43" s="373">
        <v>15</v>
      </c>
      <c r="BE43" s="295">
        <f t="shared" si="16"/>
        <v>75000</v>
      </c>
      <c r="BF43" s="373">
        <v>30</v>
      </c>
      <c r="BG43" s="295">
        <f t="shared" si="17"/>
        <v>150000</v>
      </c>
      <c r="BH43" s="373">
        <v>40</v>
      </c>
      <c r="BI43" s="295">
        <v>90000</v>
      </c>
      <c r="BJ43" s="373"/>
      <c r="BK43" s="295"/>
      <c r="BL43" s="373">
        <f t="shared" si="48"/>
        <v>251</v>
      </c>
      <c r="BM43" s="295">
        <f t="shared" si="48"/>
        <v>1995000</v>
      </c>
      <c r="BN43" s="317" t="s">
        <v>561</v>
      </c>
      <c r="BO43" s="298"/>
      <c r="BP43" s="321"/>
      <c r="BQ43" s="321"/>
      <c r="BR43" s="321">
        <f>BM43</f>
        <v>1995000</v>
      </c>
      <c r="BS43" s="321"/>
      <c r="BT43" s="321"/>
      <c r="BU43" s="321"/>
      <c r="BV43" s="321"/>
      <c r="BW43" s="321"/>
      <c r="BX43" s="322"/>
      <c r="BY43" s="298"/>
      <c r="BZ43" s="298"/>
      <c r="CA43" s="298"/>
      <c r="CB43" s="298"/>
      <c r="CC43" s="298"/>
      <c r="CD43" s="298"/>
      <c r="CE43" s="298"/>
      <c r="CF43" s="298"/>
      <c r="CG43" s="298"/>
      <c r="CH43" s="298"/>
      <c r="CI43" s="298"/>
      <c r="CJ43" s="298"/>
      <c r="CK43" s="298"/>
      <c r="CL43" s="298"/>
      <c r="CM43" s="298"/>
      <c r="CN43" s="298"/>
      <c r="CO43" s="298"/>
      <c r="CP43" s="298"/>
      <c r="CQ43" s="298"/>
      <c r="CR43" s="298"/>
      <c r="CS43" s="298"/>
      <c r="CT43" s="298"/>
      <c r="CU43" s="298"/>
      <c r="CV43" s="298"/>
      <c r="CW43" s="298"/>
      <c r="CX43" s="298"/>
      <c r="CY43" s="298"/>
      <c r="CZ43" s="298"/>
      <c r="DA43" s="298"/>
      <c r="DB43" s="298"/>
      <c r="DC43" s="298"/>
      <c r="DD43" s="298"/>
      <c r="DE43" s="298"/>
      <c r="DF43" s="298"/>
      <c r="DG43" s="298"/>
      <c r="DH43" s="298"/>
      <c r="DI43" s="298"/>
      <c r="DJ43" s="298"/>
      <c r="DK43" s="298"/>
      <c r="DL43" s="298"/>
      <c r="DM43" s="298"/>
      <c r="DN43" s="298"/>
      <c r="DO43" s="298"/>
      <c r="DP43" s="298"/>
      <c r="DQ43" s="298"/>
      <c r="DR43" s="298"/>
      <c r="DS43" s="298"/>
      <c r="DT43" s="298"/>
      <c r="DU43" s="298"/>
      <c r="DV43" s="298"/>
      <c r="DW43" s="298"/>
      <c r="DX43" s="298"/>
      <c r="DY43" s="298"/>
      <c r="DZ43" s="298"/>
      <c r="EA43" s="298"/>
      <c r="EB43" s="298"/>
      <c r="EC43" s="298"/>
      <c r="ED43" s="298"/>
      <c r="EE43" s="298"/>
      <c r="EF43" s="298"/>
      <c r="EG43" s="298"/>
      <c r="EH43" s="298"/>
      <c r="EI43" s="298"/>
      <c r="EJ43" s="298"/>
      <c r="EK43" s="298"/>
      <c r="EL43" s="298"/>
      <c r="EM43" s="298"/>
      <c r="EN43" s="298"/>
      <c r="EO43" s="298"/>
      <c r="EP43" s="298"/>
      <c r="EQ43" s="298"/>
      <c r="ER43" s="298"/>
      <c r="ES43" s="298"/>
      <c r="ET43" s="298"/>
      <c r="EU43" s="298"/>
      <c r="EV43" s="298"/>
      <c r="EW43" s="298"/>
      <c r="EX43" s="298"/>
      <c r="EY43" s="298"/>
      <c r="EZ43" s="298"/>
      <c r="FA43" s="298"/>
      <c r="FB43" s="298"/>
      <c r="FC43" s="298"/>
      <c r="FD43" s="298"/>
      <c r="FE43" s="298"/>
    </row>
    <row r="44" spans="1:161" s="571" customFormat="1" hidden="1" x14ac:dyDescent="0.2">
      <c r="A44" s="817"/>
      <c r="B44" s="575"/>
      <c r="C44" s="407"/>
      <c r="D44" s="407"/>
      <c r="E44" s="342" t="s">
        <v>939</v>
      </c>
      <c r="F44" s="317" t="s">
        <v>883</v>
      </c>
      <c r="G44" s="336">
        <v>250000</v>
      </c>
      <c r="H44" s="294">
        <f>BL44</f>
        <v>0</v>
      </c>
      <c r="I44" s="394">
        <f>H44*G44</f>
        <v>0</v>
      </c>
      <c r="J44" s="394"/>
      <c r="K44" s="394"/>
      <c r="L44" s="394"/>
      <c r="M44" s="394"/>
      <c r="N44" s="394">
        <f>I44</f>
        <v>0</v>
      </c>
      <c r="O44" s="394"/>
      <c r="P44" s="394"/>
      <c r="Q44" s="394"/>
      <c r="R44" s="394"/>
      <c r="S44" s="394"/>
      <c r="T44" s="374"/>
      <c r="U44" s="374"/>
      <c r="V44" s="374"/>
      <c r="W44" s="374">
        <f>H44</f>
        <v>0</v>
      </c>
      <c r="X44" s="394"/>
      <c r="Y44" s="394"/>
      <c r="Z44" s="394"/>
      <c r="AA44" s="394">
        <f>I44</f>
        <v>0</v>
      </c>
      <c r="AB44" s="373">
        <v>0</v>
      </c>
      <c r="AC44" s="295">
        <f t="shared" si="2"/>
        <v>0</v>
      </c>
      <c r="AD44" s="373">
        <v>0</v>
      </c>
      <c r="AE44" s="295">
        <f t="shared" si="3"/>
        <v>0</v>
      </c>
      <c r="AF44" s="373">
        <v>0</v>
      </c>
      <c r="AG44" s="295">
        <f t="shared" si="4"/>
        <v>0</v>
      </c>
      <c r="AH44" s="373">
        <v>0</v>
      </c>
      <c r="AI44" s="295">
        <f t="shared" si="5"/>
        <v>0</v>
      </c>
      <c r="AJ44" s="373">
        <v>0</v>
      </c>
      <c r="AK44" s="295">
        <f t="shared" si="6"/>
        <v>0</v>
      </c>
      <c r="AL44" s="373">
        <v>0</v>
      </c>
      <c r="AM44" s="295">
        <f t="shared" si="7"/>
        <v>0</v>
      </c>
      <c r="AN44" s="373">
        <v>0</v>
      </c>
      <c r="AO44" s="295">
        <f t="shared" si="8"/>
        <v>0</v>
      </c>
      <c r="AP44" s="373">
        <v>0</v>
      </c>
      <c r="AQ44" s="295">
        <f t="shared" si="9"/>
        <v>0</v>
      </c>
      <c r="AR44" s="373">
        <v>0</v>
      </c>
      <c r="AS44" s="295">
        <f t="shared" si="10"/>
        <v>0</v>
      </c>
      <c r="AT44" s="373">
        <v>0</v>
      </c>
      <c r="AU44" s="295">
        <f t="shared" si="11"/>
        <v>0</v>
      </c>
      <c r="AV44" s="373">
        <v>0</v>
      </c>
      <c r="AW44" s="295">
        <f t="shared" si="12"/>
        <v>0</v>
      </c>
      <c r="AX44" s="373">
        <v>0</v>
      </c>
      <c r="AY44" s="295">
        <f t="shared" si="13"/>
        <v>0</v>
      </c>
      <c r="AZ44" s="373">
        <v>0</v>
      </c>
      <c r="BA44" s="295">
        <f t="shared" si="14"/>
        <v>0</v>
      </c>
      <c r="BB44" s="373">
        <v>0</v>
      </c>
      <c r="BC44" s="295">
        <f t="shared" si="15"/>
        <v>0</v>
      </c>
      <c r="BD44" s="373">
        <v>0</v>
      </c>
      <c r="BE44" s="295">
        <f t="shared" si="16"/>
        <v>0</v>
      </c>
      <c r="BF44" s="373">
        <v>0</v>
      </c>
      <c r="BG44" s="295">
        <f t="shared" si="17"/>
        <v>0</v>
      </c>
      <c r="BH44" s="373">
        <v>0</v>
      </c>
      <c r="BI44" s="295">
        <f>BH44*G44</f>
        <v>0</v>
      </c>
      <c r="BJ44" s="373"/>
      <c r="BK44" s="295"/>
      <c r="BL44" s="373">
        <f t="shared" si="48"/>
        <v>0</v>
      </c>
      <c r="BM44" s="295">
        <f t="shared" si="48"/>
        <v>0</v>
      </c>
      <c r="BN44" s="317" t="s">
        <v>560</v>
      </c>
      <c r="BO44" s="298"/>
      <c r="BP44" s="321"/>
      <c r="BQ44" s="321"/>
      <c r="BR44" s="321"/>
      <c r="BS44" s="321"/>
      <c r="BT44" s="321"/>
      <c r="BU44" s="321"/>
      <c r="BV44" s="321"/>
      <c r="BW44" s="321"/>
      <c r="BX44" s="322"/>
      <c r="BY44" s="298"/>
      <c r="BZ44" s="298"/>
      <c r="CA44" s="298"/>
      <c r="CB44" s="298"/>
      <c r="CC44" s="298"/>
      <c r="CD44" s="298"/>
      <c r="CE44" s="298"/>
      <c r="CF44" s="298"/>
      <c r="CG44" s="298"/>
      <c r="CH44" s="298"/>
      <c r="CI44" s="298"/>
      <c r="CJ44" s="298"/>
      <c r="CK44" s="298"/>
      <c r="CL44" s="298"/>
      <c r="CM44" s="298"/>
      <c r="CN44" s="298"/>
      <c r="CO44" s="298"/>
      <c r="CP44" s="298"/>
      <c r="CQ44" s="298"/>
      <c r="CR44" s="298"/>
      <c r="CS44" s="298"/>
      <c r="CT44" s="298"/>
      <c r="CU44" s="298"/>
      <c r="CV44" s="298"/>
      <c r="CW44" s="298"/>
      <c r="CX44" s="298"/>
      <c r="CY44" s="298"/>
      <c r="CZ44" s="298"/>
      <c r="DA44" s="298"/>
      <c r="DB44" s="298"/>
      <c r="DC44" s="298"/>
      <c r="DD44" s="298"/>
      <c r="DE44" s="298"/>
      <c r="DF44" s="298"/>
      <c r="DG44" s="298"/>
      <c r="DH44" s="298"/>
      <c r="DI44" s="298"/>
      <c r="DJ44" s="298"/>
      <c r="DK44" s="298"/>
      <c r="DL44" s="298"/>
      <c r="DM44" s="298"/>
      <c r="DN44" s="298"/>
      <c r="DO44" s="298"/>
      <c r="DP44" s="298"/>
      <c r="DQ44" s="298"/>
      <c r="DR44" s="298"/>
      <c r="DS44" s="298"/>
      <c r="DT44" s="298"/>
      <c r="DU44" s="298"/>
      <c r="DV44" s="298"/>
      <c r="DW44" s="298"/>
      <c r="DX44" s="298"/>
      <c r="DY44" s="298"/>
      <c r="DZ44" s="298"/>
      <c r="EA44" s="298"/>
      <c r="EB44" s="298"/>
      <c r="EC44" s="298"/>
      <c r="ED44" s="298"/>
      <c r="EE44" s="298"/>
      <c r="EF44" s="298"/>
      <c r="EG44" s="298"/>
      <c r="EH44" s="298"/>
      <c r="EI44" s="298"/>
      <c r="EJ44" s="298"/>
      <c r="EK44" s="298"/>
      <c r="EL44" s="298"/>
      <c r="EM44" s="298"/>
      <c r="EN44" s="298"/>
      <c r="EO44" s="298"/>
      <c r="EP44" s="298"/>
      <c r="EQ44" s="298"/>
      <c r="ER44" s="298"/>
      <c r="ES44" s="298"/>
      <c r="ET44" s="298"/>
      <c r="EU44" s="298"/>
      <c r="EV44" s="298"/>
      <c r="EW44" s="298"/>
      <c r="EX44" s="298"/>
      <c r="EY44" s="298"/>
      <c r="EZ44" s="298"/>
      <c r="FA44" s="298"/>
      <c r="FB44" s="298"/>
      <c r="FC44" s="298"/>
      <c r="FD44" s="298"/>
      <c r="FE44" s="298"/>
    </row>
    <row r="45" spans="1:161" s="571" customFormat="1" ht="25.5" hidden="1" x14ac:dyDescent="0.2">
      <c r="A45" s="817"/>
      <c r="B45" s="575"/>
      <c r="C45" s="407"/>
      <c r="D45" s="407"/>
      <c r="E45" s="335" t="s">
        <v>873</v>
      </c>
      <c r="F45" s="317" t="s">
        <v>93</v>
      </c>
      <c r="G45" s="336">
        <v>500000</v>
      </c>
      <c r="H45" s="294">
        <f>BL45</f>
        <v>0</v>
      </c>
      <c r="I45" s="394">
        <f>H45*G45</f>
        <v>0</v>
      </c>
      <c r="J45" s="394"/>
      <c r="K45" s="394"/>
      <c r="L45" s="394">
        <f>I45</f>
        <v>0</v>
      </c>
      <c r="M45" s="394"/>
      <c r="N45" s="394"/>
      <c r="O45" s="394"/>
      <c r="P45" s="394"/>
      <c r="Q45" s="394"/>
      <c r="R45" s="394"/>
      <c r="S45" s="394"/>
      <c r="T45" s="374">
        <f>H45*0.25</f>
        <v>0</v>
      </c>
      <c r="U45" s="374">
        <f>H45*0.25</f>
        <v>0</v>
      </c>
      <c r="V45" s="374">
        <f>H45*0.25</f>
        <v>0</v>
      </c>
      <c r="W45" s="374">
        <f>H45*0.25</f>
        <v>0</v>
      </c>
      <c r="X45" s="394">
        <f>T45*I45</f>
        <v>0</v>
      </c>
      <c r="Y45" s="394">
        <f>U45*I45</f>
        <v>0</v>
      </c>
      <c r="Z45" s="394">
        <f>V45*I45</f>
        <v>0</v>
      </c>
      <c r="AA45" s="394">
        <f>W45*I45</f>
        <v>0</v>
      </c>
      <c r="AB45" s="373">
        <v>0</v>
      </c>
      <c r="AC45" s="295">
        <f t="shared" si="2"/>
        <v>0</v>
      </c>
      <c r="AD45" s="373">
        <v>0</v>
      </c>
      <c r="AE45" s="295">
        <f t="shared" si="3"/>
        <v>0</v>
      </c>
      <c r="AF45" s="373">
        <v>0</v>
      </c>
      <c r="AG45" s="295">
        <f t="shared" si="4"/>
        <v>0</v>
      </c>
      <c r="AH45" s="373">
        <v>0</v>
      </c>
      <c r="AI45" s="295">
        <f t="shared" si="5"/>
        <v>0</v>
      </c>
      <c r="AJ45" s="373">
        <v>0</v>
      </c>
      <c r="AK45" s="295">
        <f t="shared" si="6"/>
        <v>0</v>
      </c>
      <c r="AL45" s="373">
        <v>0</v>
      </c>
      <c r="AM45" s="295">
        <f t="shared" si="7"/>
        <v>0</v>
      </c>
      <c r="AN45" s="373">
        <v>0</v>
      </c>
      <c r="AO45" s="295">
        <f t="shared" si="8"/>
        <v>0</v>
      </c>
      <c r="AP45" s="373">
        <v>0</v>
      </c>
      <c r="AQ45" s="295">
        <f t="shared" si="9"/>
        <v>0</v>
      </c>
      <c r="AR45" s="373">
        <v>0</v>
      </c>
      <c r="AS45" s="295">
        <f t="shared" si="10"/>
        <v>0</v>
      </c>
      <c r="AT45" s="373">
        <v>0</v>
      </c>
      <c r="AU45" s="295">
        <f t="shared" si="11"/>
        <v>0</v>
      </c>
      <c r="AV45" s="373">
        <v>0</v>
      </c>
      <c r="AW45" s="295">
        <f t="shared" si="12"/>
        <v>0</v>
      </c>
      <c r="AX45" s="373">
        <v>0</v>
      </c>
      <c r="AY45" s="295">
        <f t="shared" si="13"/>
        <v>0</v>
      </c>
      <c r="AZ45" s="373">
        <v>0</v>
      </c>
      <c r="BA45" s="295">
        <f t="shared" si="14"/>
        <v>0</v>
      </c>
      <c r="BB45" s="373">
        <v>0</v>
      </c>
      <c r="BC45" s="295">
        <f t="shared" si="15"/>
        <v>0</v>
      </c>
      <c r="BD45" s="373">
        <v>0</v>
      </c>
      <c r="BE45" s="295">
        <f t="shared" si="16"/>
        <v>0</v>
      </c>
      <c r="BF45" s="373">
        <v>0</v>
      </c>
      <c r="BG45" s="295">
        <f t="shared" si="17"/>
        <v>0</v>
      </c>
      <c r="BH45" s="373">
        <v>0</v>
      </c>
      <c r="BI45" s="295">
        <f>BH45*G45</f>
        <v>0</v>
      </c>
      <c r="BJ45" s="373"/>
      <c r="BK45" s="295"/>
      <c r="BL45" s="373">
        <f t="shared" si="48"/>
        <v>0</v>
      </c>
      <c r="BM45" s="295">
        <f t="shared" si="48"/>
        <v>0</v>
      </c>
      <c r="BN45" s="317" t="s">
        <v>542</v>
      </c>
      <c r="BO45" s="298"/>
      <c r="BP45" s="321">
        <f>I45</f>
        <v>0</v>
      </c>
      <c r="BQ45" s="321"/>
      <c r="BR45" s="321"/>
      <c r="BS45" s="321"/>
      <c r="BT45" s="321">
        <f t="shared" si="39"/>
        <v>0</v>
      </c>
      <c r="BU45" s="321"/>
      <c r="BV45" s="321"/>
      <c r="BW45" s="321"/>
      <c r="BX45" s="322">
        <f t="shared" si="22"/>
        <v>0</v>
      </c>
      <c r="BY45" s="298"/>
      <c r="BZ45" s="298"/>
      <c r="CA45" s="298"/>
      <c r="CB45" s="298"/>
      <c r="CC45" s="298"/>
      <c r="CD45" s="298"/>
      <c r="CE45" s="298"/>
      <c r="CF45" s="298"/>
      <c r="CG45" s="298"/>
      <c r="CH45" s="298"/>
      <c r="CI45" s="298"/>
      <c r="CJ45" s="298"/>
      <c r="CK45" s="298"/>
      <c r="CL45" s="298"/>
      <c r="CM45" s="298"/>
      <c r="CN45" s="298"/>
      <c r="CO45" s="298"/>
      <c r="CP45" s="298"/>
      <c r="CQ45" s="298"/>
      <c r="CR45" s="298"/>
      <c r="CS45" s="298"/>
      <c r="CT45" s="298"/>
      <c r="CU45" s="298"/>
      <c r="CV45" s="298"/>
      <c r="CW45" s="298"/>
      <c r="CX45" s="298"/>
      <c r="CY45" s="298"/>
      <c r="CZ45" s="298"/>
      <c r="DA45" s="298"/>
      <c r="DB45" s="298"/>
      <c r="DC45" s="298"/>
      <c r="DD45" s="298"/>
      <c r="DE45" s="298"/>
      <c r="DF45" s="298"/>
      <c r="DG45" s="298"/>
      <c r="DH45" s="298"/>
      <c r="DI45" s="298"/>
      <c r="DJ45" s="298"/>
      <c r="DK45" s="298"/>
      <c r="DL45" s="298"/>
      <c r="DM45" s="298"/>
      <c r="DN45" s="298"/>
      <c r="DO45" s="298"/>
      <c r="DP45" s="298"/>
      <c r="DQ45" s="298"/>
      <c r="DR45" s="298"/>
      <c r="DS45" s="298"/>
      <c r="DT45" s="298"/>
      <c r="DU45" s="298"/>
      <c r="DV45" s="298"/>
      <c r="DW45" s="298"/>
      <c r="DX45" s="298"/>
      <c r="DY45" s="298"/>
      <c r="DZ45" s="298"/>
      <c r="EA45" s="298"/>
      <c r="EB45" s="298"/>
      <c r="EC45" s="298"/>
      <c r="ED45" s="298"/>
      <c r="EE45" s="298"/>
      <c r="EF45" s="298"/>
      <c r="EG45" s="298"/>
      <c r="EH45" s="298"/>
      <c r="EI45" s="298"/>
      <c r="EJ45" s="298"/>
      <c r="EK45" s="298"/>
      <c r="EL45" s="298"/>
      <c r="EM45" s="298"/>
      <c r="EN45" s="298"/>
      <c r="EO45" s="298"/>
      <c r="EP45" s="298"/>
      <c r="EQ45" s="298"/>
      <c r="ER45" s="298"/>
      <c r="ES45" s="298"/>
      <c r="ET45" s="298"/>
      <c r="EU45" s="298"/>
      <c r="EV45" s="298"/>
      <c r="EW45" s="298"/>
      <c r="EX45" s="298"/>
      <c r="EY45" s="298"/>
      <c r="EZ45" s="298"/>
      <c r="FA45" s="298"/>
      <c r="FB45" s="298"/>
      <c r="FC45" s="298"/>
      <c r="FD45" s="298"/>
      <c r="FE45" s="298"/>
    </row>
    <row r="46" spans="1:161" s="619" customFormat="1" hidden="1" x14ac:dyDescent="0.2">
      <c r="A46" s="817"/>
      <c r="B46" s="411"/>
      <c r="C46" s="412"/>
      <c r="D46" s="412"/>
      <c r="E46" s="344" t="s">
        <v>543</v>
      </c>
      <c r="F46" s="336"/>
      <c r="G46" s="336"/>
      <c r="H46" s="312">
        <f>SUM(H41:H45)</f>
        <v>381</v>
      </c>
      <c r="I46" s="312">
        <f t="shared" ref="I46:BT46" si="49">SUM(I41:I45)</f>
        <v>34495000</v>
      </c>
      <c r="J46" s="312">
        <f t="shared" si="49"/>
        <v>6899000</v>
      </c>
      <c r="K46" s="312">
        <f t="shared" si="49"/>
        <v>27596000</v>
      </c>
      <c r="L46" s="312">
        <f t="shared" si="49"/>
        <v>0</v>
      </c>
      <c r="M46" s="312">
        <f t="shared" si="49"/>
        <v>0</v>
      </c>
      <c r="N46" s="312">
        <f t="shared" si="49"/>
        <v>0</v>
      </c>
      <c r="O46" s="312">
        <f t="shared" si="49"/>
        <v>0</v>
      </c>
      <c r="P46" s="312">
        <f t="shared" si="49"/>
        <v>0</v>
      </c>
      <c r="Q46" s="312">
        <f t="shared" si="49"/>
        <v>0</v>
      </c>
      <c r="R46" s="312">
        <f t="shared" si="49"/>
        <v>0</v>
      </c>
      <c r="S46" s="312">
        <f t="shared" si="49"/>
        <v>0</v>
      </c>
      <c r="T46" s="312">
        <f t="shared" si="49"/>
        <v>20</v>
      </c>
      <c r="U46" s="312">
        <f t="shared" si="49"/>
        <v>20</v>
      </c>
      <c r="V46" s="312">
        <f t="shared" si="49"/>
        <v>20</v>
      </c>
      <c r="W46" s="312">
        <f t="shared" si="49"/>
        <v>20</v>
      </c>
      <c r="X46" s="312">
        <f t="shared" si="49"/>
        <v>400000000</v>
      </c>
      <c r="Y46" s="312">
        <f t="shared" si="49"/>
        <v>400000000</v>
      </c>
      <c r="Z46" s="312">
        <f t="shared" si="49"/>
        <v>400000000</v>
      </c>
      <c r="AA46" s="312">
        <f t="shared" si="49"/>
        <v>400000000</v>
      </c>
      <c r="AB46" s="312">
        <f t="shared" si="49"/>
        <v>26</v>
      </c>
      <c r="AC46" s="312">
        <f t="shared" si="49"/>
        <v>2825000</v>
      </c>
      <c r="AD46" s="312">
        <f t="shared" si="49"/>
        <v>14</v>
      </c>
      <c r="AE46" s="312">
        <f t="shared" si="49"/>
        <v>1050000</v>
      </c>
      <c r="AF46" s="312">
        <f t="shared" si="49"/>
        <v>31</v>
      </c>
      <c r="AG46" s="312">
        <f t="shared" si="49"/>
        <v>3830000</v>
      </c>
      <c r="AH46" s="312">
        <f t="shared" si="49"/>
        <v>23</v>
      </c>
      <c r="AI46" s="312">
        <f t="shared" si="49"/>
        <v>3300000</v>
      </c>
      <c r="AJ46" s="312">
        <f t="shared" si="49"/>
        <v>16</v>
      </c>
      <c r="AK46" s="312">
        <f t="shared" si="49"/>
        <v>1550000</v>
      </c>
      <c r="AL46" s="312">
        <f t="shared" si="49"/>
        <v>24</v>
      </c>
      <c r="AM46" s="312">
        <f t="shared" si="49"/>
        <v>1100000</v>
      </c>
      <c r="AN46" s="312">
        <f t="shared" si="49"/>
        <v>16</v>
      </c>
      <c r="AO46" s="312">
        <f t="shared" si="49"/>
        <v>1550000</v>
      </c>
      <c r="AP46" s="312">
        <f t="shared" si="49"/>
        <v>19</v>
      </c>
      <c r="AQ46" s="312">
        <f t="shared" si="49"/>
        <v>1075000</v>
      </c>
      <c r="AR46" s="312">
        <f t="shared" si="49"/>
        <v>10</v>
      </c>
      <c r="AS46" s="312">
        <f t="shared" si="49"/>
        <v>1275000</v>
      </c>
      <c r="AT46" s="312">
        <f t="shared" si="49"/>
        <v>24</v>
      </c>
      <c r="AU46" s="312">
        <f t="shared" si="49"/>
        <v>4400000</v>
      </c>
      <c r="AV46" s="312">
        <f t="shared" si="49"/>
        <v>17</v>
      </c>
      <c r="AW46" s="312">
        <f t="shared" si="49"/>
        <v>1800000</v>
      </c>
      <c r="AX46" s="312">
        <f t="shared" si="49"/>
        <v>14</v>
      </c>
      <c r="AY46" s="312">
        <f t="shared" si="49"/>
        <v>1050000</v>
      </c>
      <c r="AZ46" s="312">
        <f t="shared" si="49"/>
        <v>14</v>
      </c>
      <c r="BA46" s="312">
        <f t="shared" si="49"/>
        <v>1050000</v>
      </c>
      <c r="BB46" s="312">
        <f t="shared" si="49"/>
        <v>18</v>
      </c>
      <c r="BC46" s="312">
        <f t="shared" si="49"/>
        <v>825000</v>
      </c>
      <c r="BD46" s="312">
        <f t="shared" si="49"/>
        <v>27</v>
      </c>
      <c r="BE46" s="312">
        <f t="shared" si="49"/>
        <v>3075000</v>
      </c>
      <c r="BF46" s="312">
        <f t="shared" si="49"/>
        <v>36</v>
      </c>
      <c r="BG46" s="312">
        <f t="shared" si="49"/>
        <v>1650000</v>
      </c>
      <c r="BH46" s="312">
        <f t="shared" si="49"/>
        <v>52</v>
      </c>
      <c r="BI46" s="312">
        <f t="shared" si="49"/>
        <v>3090000</v>
      </c>
      <c r="BJ46" s="312">
        <f t="shared" si="49"/>
        <v>0</v>
      </c>
      <c r="BK46" s="312">
        <f t="shared" si="49"/>
        <v>0</v>
      </c>
      <c r="BL46" s="312">
        <f t="shared" si="49"/>
        <v>381</v>
      </c>
      <c r="BM46" s="312">
        <f t="shared" si="49"/>
        <v>34495000</v>
      </c>
      <c r="BN46" s="312">
        <f t="shared" si="49"/>
        <v>0</v>
      </c>
      <c r="BO46" s="312">
        <f t="shared" si="49"/>
        <v>0</v>
      </c>
      <c r="BP46" s="312">
        <f t="shared" si="49"/>
        <v>32500000</v>
      </c>
      <c r="BQ46" s="312">
        <f t="shared" si="49"/>
        <v>0</v>
      </c>
      <c r="BR46" s="312">
        <f t="shared" si="49"/>
        <v>21995000</v>
      </c>
      <c r="BS46" s="312">
        <f t="shared" si="49"/>
        <v>0</v>
      </c>
      <c r="BT46" s="312">
        <f t="shared" si="49"/>
        <v>40000000</v>
      </c>
      <c r="BU46" s="312">
        <f>SUM(BU41:BU45)</f>
        <v>0</v>
      </c>
      <c r="BV46" s="312">
        <f>SUM(BV41:BV45)</f>
        <v>0</v>
      </c>
      <c r="BW46" s="312">
        <f>SUM(BW41:BW45)</f>
        <v>0</v>
      </c>
      <c r="BX46" s="312">
        <f>SUM(BX41:BX45)</f>
        <v>40000000</v>
      </c>
      <c r="BY46" s="300"/>
      <c r="BZ46" s="300"/>
      <c r="CA46" s="300"/>
      <c r="CB46" s="300"/>
      <c r="CC46" s="300"/>
      <c r="CD46" s="300"/>
      <c r="CE46" s="300"/>
      <c r="CF46" s="300"/>
      <c r="CG46" s="300"/>
      <c r="CH46" s="300"/>
      <c r="CI46" s="300"/>
      <c r="CJ46" s="300"/>
      <c r="CK46" s="300"/>
      <c r="CL46" s="300"/>
      <c r="CM46" s="300"/>
      <c r="CN46" s="300"/>
      <c r="CO46" s="300"/>
      <c r="CP46" s="300"/>
      <c r="CQ46" s="300"/>
      <c r="CR46" s="300"/>
      <c r="CS46" s="300"/>
      <c r="CT46" s="300"/>
      <c r="CU46" s="300"/>
      <c r="CV46" s="300"/>
      <c r="CW46" s="300"/>
      <c r="CX46" s="300"/>
      <c r="CY46" s="300"/>
      <c r="CZ46" s="300"/>
      <c r="DA46" s="300"/>
      <c r="DB46" s="300"/>
      <c r="DC46" s="300"/>
      <c r="DD46" s="300"/>
      <c r="DE46" s="300"/>
      <c r="DF46" s="300"/>
      <c r="DG46" s="300"/>
      <c r="DH46" s="300"/>
      <c r="DI46" s="300"/>
      <c r="DJ46" s="300"/>
      <c r="DK46" s="300"/>
      <c r="DL46" s="300"/>
      <c r="DM46" s="300"/>
      <c r="DN46" s="300"/>
      <c r="DO46" s="300"/>
      <c r="DP46" s="300"/>
      <c r="DQ46" s="300"/>
      <c r="DR46" s="300"/>
      <c r="DS46" s="300"/>
      <c r="DT46" s="300"/>
      <c r="DU46" s="300"/>
      <c r="DV46" s="300"/>
      <c r="DW46" s="300"/>
      <c r="DX46" s="300"/>
      <c r="DY46" s="300"/>
      <c r="DZ46" s="300"/>
      <c r="EA46" s="300"/>
      <c r="EB46" s="300"/>
      <c r="EC46" s="300"/>
      <c r="ED46" s="300"/>
      <c r="EE46" s="300"/>
      <c r="EF46" s="300"/>
      <c r="EG46" s="300"/>
      <c r="EH46" s="300"/>
      <c r="EI46" s="300"/>
      <c r="EJ46" s="300"/>
      <c r="EK46" s="300"/>
      <c r="EL46" s="300"/>
      <c r="EM46" s="300"/>
      <c r="EN46" s="300"/>
      <c r="EO46" s="300"/>
      <c r="EP46" s="300"/>
      <c r="EQ46" s="300"/>
      <c r="ER46" s="300"/>
      <c r="ES46" s="300"/>
      <c r="ET46" s="300"/>
      <c r="EU46" s="300"/>
      <c r="EV46" s="300"/>
      <c r="EW46" s="300"/>
      <c r="EX46" s="300"/>
      <c r="EY46" s="300"/>
      <c r="EZ46" s="300"/>
      <c r="FA46" s="300"/>
      <c r="FB46" s="300"/>
      <c r="FC46" s="300"/>
      <c r="FD46" s="300"/>
      <c r="FE46" s="300"/>
    </row>
    <row r="47" spans="1:161" s="571" customFormat="1" hidden="1" x14ac:dyDescent="0.2">
      <c r="A47" s="817"/>
      <c r="B47" s="575"/>
      <c r="C47" s="407"/>
      <c r="D47" s="407"/>
      <c r="E47" s="316" t="s">
        <v>409</v>
      </c>
      <c r="F47" s="317"/>
      <c r="G47" s="336"/>
      <c r="H47" s="312"/>
      <c r="I47" s="394"/>
      <c r="J47" s="394"/>
      <c r="K47" s="394"/>
      <c r="L47" s="394"/>
      <c r="M47" s="394"/>
      <c r="N47" s="394"/>
      <c r="O47" s="394"/>
      <c r="P47" s="394"/>
      <c r="Q47" s="394"/>
      <c r="R47" s="394"/>
      <c r="S47" s="394"/>
      <c r="T47" s="413"/>
      <c r="U47" s="374"/>
      <c r="V47" s="374"/>
      <c r="W47" s="374"/>
      <c r="X47" s="394"/>
      <c r="Y47" s="394"/>
      <c r="Z47" s="394"/>
      <c r="AA47" s="394"/>
      <c r="AB47" s="373"/>
      <c r="AC47" s="295">
        <f t="shared" si="2"/>
        <v>0</v>
      </c>
      <c r="AD47" s="373">
        <v>1</v>
      </c>
      <c r="AE47" s="295">
        <f t="shared" si="3"/>
        <v>0</v>
      </c>
      <c r="AF47" s="373"/>
      <c r="AG47" s="295">
        <f t="shared" si="4"/>
        <v>0</v>
      </c>
      <c r="AH47" s="373"/>
      <c r="AI47" s="295">
        <f t="shared" si="5"/>
        <v>0</v>
      </c>
      <c r="AJ47" s="373"/>
      <c r="AK47" s="295">
        <f t="shared" si="6"/>
        <v>0</v>
      </c>
      <c r="AL47" s="373"/>
      <c r="AM47" s="295">
        <f t="shared" si="7"/>
        <v>0</v>
      </c>
      <c r="AN47" s="373"/>
      <c r="AO47" s="295">
        <f t="shared" si="8"/>
        <v>0</v>
      </c>
      <c r="AP47" s="373"/>
      <c r="AQ47" s="295">
        <f t="shared" si="9"/>
        <v>0</v>
      </c>
      <c r="AR47" s="373"/>
      <c r="AS47" s="295">
        <f t="shared" si="10"/>
        <v>0</v>
      </c>
      <c r="AT47" s="373"/>
      <c r="AU47" s="295">
        <f t="shared" si="11"/>
        <v>0</v>
      </c>
      <c r="AV47" s="373"/>
      <c r="AW47" s="295">
        <f t="shared" si="12"/>
        <v>0</v>
      </c>
      <c r="AX47" s="373"/>
      <c r="AY47" s="295">
        <f t="shared" si="13"/>
        <v>0</v>
      </c>
      <c r="AZ47" s="373"/>
      <c r="BA47" s="295">
        <f t="shared" si="14"/>
        <v>0</v>
      </c>
      <c r="BB47" s="373"/>
      <c r="BC47" s="295">
        <f t="shared" si="15"/>
        <v>0</v>
      </c>
      <c r="BD47" s="373"/>
      <c r="BE47" s="295">
        <f t="shared" si="16"/>
        <v>0</v>
      </c>
      <c r="BF47" s="373"/>
      <c r="BG47" s="295">
        <f t="shared" si="17"/>
        <v>0</v>
      </c>
      <c r="BH47" s="373"/>
      <c r="BI47" s="295">
        <f>BH47*G47</f>
        <v>0</v>
      </c>
      <c r="BJ47" s="373"/>
      <c r="BK47" s="295">
        <f>BJ47*G47</f>
        <v>0</v>
      </c>
      <c r="BL47" s="373"/>
      <c r="BM47" s="295"/>
      <c r="BN47" s="317"/>
      <c r="BO47" s="298"/>
      <c r="BP47" s="321">
        <f>I47</f>
        <v>0</v>
      </c>
      <c r="BQ47" s="321"/>
      <c r="BR47" s="321"/>
      <c r="BS47" s="321"/>
      <c r="BT47" s="321">
        <f t="shared" si="39"/>
        <v>0</v>
      </c>
      <c r="BU47" s="321"/>
      <c r="BV47" s="321"/>
      <c r="BW47" s="321">
        <f>BU47+BV47</f>
        <v>0</v>
      </c>
      <c r="BX47" s="322">
        <f t="shared" si="22"/>
        <v>0</v>
      </c>
      <c r="BY47" s="298"/>
      <c r="BZ47" s="298"/>
      <c r="CA47" s="298"/>
      <c r="CB47" s="298"/>
      <c r="CC47" s="298"/>
      <c r="CD47" s="298"/>
      <c r="CE47" s="298"/>
      <c r="CF47" s="298"/>
      <c r="CG47" s="298"/>
      <c r="CH47" s="298"/>
      <c r="CI47" s="298"/>
      <c r="CJ47" s="298"/>
      <c r="CK47" s="298"/>
      <c r="CL47" s="298"/>
      <c r="CM47" s="298"/>
      <c r="CN47" s="298"/>
      <c r="CO47" s="298"/>
      <c r="CP47" s="298"/>
      <c r="CQ47" s="298"/>
      <c r="CR47" s="298"/>
      <c r="CS47" s="298"/>
      <c r="CT47" s="298"/>
      <c r="CU47" s="298"/>
      <c r="CV47" s="298"/>
      <c r="CW47" s="298"/>
      <c r="CX47" s="298"/>
      <c r="CY47" s="298"/>
      <c r="CZ47" s="298"/>
      <c r="DA47" s="298"/>
      <c r="DB47" s="298"/>
      <c r="DC47" s="298"/>
      <c r="DD47" s="298"/>
      <c r="DE47" s="298"/>
      <c r="DF47" s="298"/>
      <c r="DG47" s="298"/>
      <c r="DH47" s="298"/>
      <c r="DI47" s="298"/>
      <c r="DJ47" s="298"/>
      <c r="DK47" s="298"/>
      <c r="DL47" s="298"/>
      <c r="DM47" s="298"/>
      <c r="DN47" s="298"/>
      <c r="DO47" s="298"/>
      <c r="DP47" s="298"/>
      <c r="DQ47" s="298"/>
      <c r="DR47" s="298"/>
      <c r="DS47" s="298"/>
      <c r="DT47" s="298"/>
      <c r="DU47" s="298"/>
      <c r="DV47" s="298"/>
      <c r="DW47" s="298"/>
      <c r="DX47" s="298"/>
      <c r="DY47" s="298"/>
      <c r="DZ47" s="298"/>
      <c r="EA47" s="298"/>
      <c r="EB47" s="298"/>
      <c r="EC47" s="298"/>
      <c r="ED47" s="298"/>
      <c r="EE47" s="298"/>
      <c r="EF47" s="298"/>
      <c r="EG47" s="298"/>
      <c r="EH47" s="298"/>
      <c r="EI47" s="298"/>
      <c r="EJ47" s="298"/>
      <c r="EK47" s="298"/>
      <c r="EL47" s="298"/>
      <c r="EM47" s="298"/>
      <c r="EN47" s="298"/>
      <c r="EO47" s="298"/>
      <c r="EP47" s="298"/>
      <c r="EQ47" s="298"/>
      <c r="ER47" s="298"/>
      <c r="ES47" s="298"/>
      <c r="ET47" s="298"/>
      <c r="EU47" s="298"/>
      <c r="EV47" s="298"/>
      <c r="EW47" s="298"/>
      <c r="EX47" s="298"/>
      <c r="EY47" s="298"/>
      <c r="EZ47" s="298"/>
      <c r="FA47" s="298"/>
      <c r="FB47" s="298"/>
      <c r="FC47" s="298"/>
      <c r="FD47" s="298"/>
      <c r="FE47" s="298"/>
    </row>
    <row r="48" spans="1:161" s="571" customFormat="1" ht="25.5" hidden="1" x14ac:dyDescent="0.2">
      <c r="A48" s="817"/>
      <c r="B48" s="575"/>
      <c r="C48" s="407"/>
      <c r="D48" s="407"/>
      <c r="E48" s="335" t="s">
        <v>635</v>
      </c>
      <c r="F48" s="317" t="s">
        <v>98</v>
      </c>
      <c r="G48" s="336">
        <v>500000</v>
      </c>
      <c r="H48" s="294">
        <f>BL48</f>
        <v>0</v>
      </c>
      <c r="I48" s="394">
        <f>H48*G48</f>
        <v>0</v>
      </c>
      <c r="J48" s="394"/>
      <c r="K48" s="394"/>
      <c r="L48" s="394">
        <f>I48*1</f>
        <v>0</v>
      </c>
      <c r="M48" s="394"/>
      <c r="N48" s="394"/>
      <c r="O48" s="394"/>
      <c r="P48" s="394"/>
      <c r="Q48" s="394"/>
      <c r="R48" s="394"/>
      <c r="S48" s="394"/>
      <c r="T48" s="413">
        <f>H48*0.25</f>
        <v>0</v>
      </c>
      <c r="U48" s="374">
        <f>H48*0.25</f>
        <v>0</v>
      </c>
      <c r="V48" s="374">
        <f>H48*0.25</f>
        <v>0</v>
      </c>
      <c r="W48" s="374">
        <f>H48*0.25</f>
        <v>0</v>
      </c>
      <c r="X48" s="394">
        <f>T48*I48</f>
        <v>0</v>
      </c>
      <c r="Y48" s="394">
        <f>U48*I48</f>
        <v>0</v>
      </c>
      <c r="Z48" s="394">
        <f>V48*I48</f>
        <v>0</v>
      </c>
      <c r="AA48" s="394">
        <f>W48*I48</f>
        <v>0</v>
      </c>
      <c r="AB48" s="373">
        <v>0</v>
      </c>
      <c r="AC48" s="295">
        <f t="shared" si="2"/>
        <v>0</v>
      </c>
      <c r="AD48" s="373">
        <v>0</v>
      </c>
      <c r="AE48" s="295">
        <f t="shared" si="3"/>
        <v>0</v>
      </c>
      <c r="AF48" s="373">
        <v>0</v>
      </c>
      <c r="AG48" s="295">
        <f t="shared" si="4"/>
        <v>0</v>
      </c>
      <c r="AH48" s="373">
        <v>0</v>
      </c>
      <c r="AI48" s="295">
        <f t="shared" si="5"/>
        <v>0</v>
      </c>
      <c r="AJ48" s="373">
        <v>0</v>
      </c>
      <c r="AK48" s="295">
        <f t="shared" si="6"/>
        <v>0</v>
      </c>
      <c r="AL48" s="373">
        <v>0</v>
      </c>
      <c r="AM48" s="295">
        <f t="shared" si="7"/>
        <v>0</v>
      </c>
      <c r="AN48" s="373">
        <v>0</v>
      </c>
      <c r="AO48" s="295">
        <f t="shared" si="8"/>
        <v>0</v>
      </c>
      <c r="AP48" s="373">
        <v>0</v>
      </c>
      <c r="AQ48" s="295">
        <f t="shared" si="9"/>
        <v>0</v>
      </c>
      <c r="AR48" s="373">
        <v>0</v>
      </c>
      <c r="AS48" s="295">
        <f t="shared" si="10"/>
        <v>0</v>
      </c>
      <c r="AT48" s="373">
        <v>0</v>
      </c>
      <c r="AU48" s="295">
        <f t="shared" si="11"/>
        <v>0</v>
      </c>
      <c r="AV48" s="373">
        <v>0</v>
      </c>
      <c r="AW48" s="295">
        <f t="shared" si="12"/>
        <v>0</v>
      </c>
      <c r="AX48" s="373">
        <v>0</v>
      </c>
      <c r="AY48" s="295">
        <f t="shared" si="13"/>
        <v>0</v>
      </c>
      <c r="AZ48" s="373">
        <v>0</v>
      </c>
      <c r="BA48" s="295">
        <f t="shared" si="14"/>
        <v>0</v>
      </c>
      <c r="BB48" s="373">
        <v>0</v>
      </c>
      <c r="BC48" s="295">
        <f t="shared" si="15"/>
        <v>0</v>
      </c>
      <c r="BD48" s="373">
        <v>0</v>
      </c>
      <c r="BE48" s="295">
        <f t="shared" si="16"/>
        <v>0</v>
      </c>
      <c r="BF48" s="373">
        <v>0</v>
      </c>
      <c r="BG48" s="295">
        <f t="shared" si="17"/>
        <v>0</v>
      </c>
      <c r="BH48" s="373">
        <v>0</v>
      </c>
      <c r="BI48" s="295">
        <f>BH48*G48</f>
        <v>0</v>
      </c>
      <c r="BJ48" s="373"/>
      <c r="BK48" s="295">
        <f>BJ48*G48</f>
        <v>0</v>
      </c>
      <c r="BL48" s="373">
        <f t="shared" ref="BL48:BM51" si="50">AB48+AD48+AF48+AH48+AJ48+AL48+AN48+AP48+AR48+AT48+AV48+AX48+AZ48+BB48+BD48+BF48+BH48+BJ48</f>
        <v>0</v>
      </c>
      <c r="BM48" s="295">
        <f t="shared" si="50"/>
        <v>0</v>
      </c>
      <c r="BN48" s="317" t="s">
        <v>542</v>
      </c>
      <c r="BO48" s="298"/>
      <c r="BP48" s="321"/>
      <c r="BQ48" s="321"/>
      <c r="BR48" s="321">
        <f>BM48</f>
        <v>0</v>
      </c>
      <c r="BS48" s="321"/>
      <c r="BT48" s="321">
        <f t="shared" si="39"/>
        <v>0</v>
      </c>
      <c r="BU48" s="321"/>
      <c r="BV48" s="321"/>
      <c r="BW48" s="321">
        <f>BU48+BV48</f>
        <v>0</v>
      </c>
      <c r="BX48" s="322">
        <f t="shared" si="22"/>
        <v>0</v>
      </c>
      <c r="BY48" s="298"/>
      <c r="BZ48" s="298"/>
      <c r="CA48" s="298"/>
      <c r="CB48" s="298"/>
      <c r="CC48" s="298"/>
      <c r="CD48" s="298"/>
      <c r="CE48" s="298"/>
      <c r="CF48" s="298"/>
      <c r="CG48" s="298"/>
      <c r="CH48" s="298"/>
      <c r="CI48" s="298"/>
      <c r="CJ48" s="298"/>
      <c r="CK48" s="298"/>
      <c r="CL48" s="298"/>
      <c r="CM48" s="298"/>
      <c r="CN48" s="298"/>
      <c r="CO48" s="298"/>
      <c r="CP48" s="298"/>
      <c r="CQ48" s="298"/>
      <c r="CR48" s="298"/>
      <c r="CS48" s="298"/>
      <c r="CT48" s="298"/>
      <c r="CU48" s="298"/>
      <c r="CV48" s="298"/>
      <c r="CW48" s="298"/>
      <c r="CX48" s="298"/>
      <c r="CY48" s="298"/>
      <c r="CZ48" s="298"/>
      <c r="DA48" s="298"/>
      <c r="DB48" s="298"/>
      <c r="DC48" s="298"/>
      <c r="DD48" s="298"/>
      <c r="DE48" s="298"/>
      <c r="DF48" s="298"/>
      <c r="DG48" s="298"/>
      <c r="DH48" s="298"/>
      <c r="DI48" s="298"/>
      <c r="DJ48" s="298"/>
      <c r="DK48" s="298"/>
      <c r="DL48" s="298"/>
      <c r="DM48" s="298"/>
      <c r="DN48" s="298"/>
      <c r="DO48" s="298"/>
      <c r="DP48" s="298"/>
      <c r="DQ48" s="298"/>
      <c r="DR48" s="298"/>
      <c r="DS48" s="298"/>
      <c r="DT48" s="298"/>
      <c r="DU48" s="298"/>
      <c r="DV48" s="298"/>
      <c r="DW48" s="298"/>
      <c r="DX48" s="298"/>
      <c r="DY48" s="298"/>
      <c r="DZ48" s="298"/>
      <c r="EA48" s="298"/>
      <c r="EB48" s="298"/>
      <c r="EC48" s="298"/>
      <c r="ED48" s="298"/>
      <c r="EE48" s="298"/>
      <c r="EF48" s="298"/>
      <c r="EG48" s="298"/>
      <c r="EH48" s="298"/>
      <c r="EI48" s="298"/>
      <c r="EJ48" s="298"/>
      <c r="EK48" s="298"/>
      <c r="EL48" s="298"/>
      <c r="EM48" s="298"/>
      <c r="EN48" s="298"/>
      <c r="EO48" s="298"/>
      <c r="EP48" s="298"/>
      <c r="EQ48" s="298"/>
      <c r="ER48" s="298"/>
      <c r="ES48" s="298"/>
      <c r="ET48" s="298"/>
      <c r="EU48" s="298"/>
      <c r="EV48" s="298"/>
      <c r="EW48" s="298"/>
      <c r="EX48" s="298"/>
      <c r="EY48" s="298"/>
      <c r="EZ48" s="298"/>
      <c r="FA48" s="298"/>
      <c r="FB48" s="298"/>
      <c r="FC48" s="298"/>
      <c r="FD48" s="298"/>
      <c r="FE48" s="298"/>
    </row>
    <row r="49" spans="1:161" x14ac:dyDescent="0.2">
      <c r="A49" s="817"/>
      <c r="B49" s="414"/>
      <c r="C49" s="403"/>
      <c r="D49" s="403"/>
      <c r="E49" s="342" t="s">
        <v>983</v>
      </c>
      <c r="F49" s="317" t="s">
        <v>98</v>
      </c>
      <c r="G49" s="336">
        <v>850000</v>
      </c>
      <c r="H49" s="294">
        <f>BL49</f>
        <v>0</v>
      </c>
      <c r="I49" s="394">
        <f>H49*G49</f>
        <v>0</v>
      </c>
      <c r="J49" s="373">
        <f>I49*0.2</f>
        <v>0</v>
      </c>
      <c r="K49" s="373">
        <f>I49*0.8</f>
        <v>0</v>
      </c>
      <c r="L49" s="373"/>
      <c r="M49" s="373"/>
      <c r="N49" s="373"/>
      <c r="O49" s="373"/>
      <c r="P49" s="373"/>
      <c r="Q49" s="373"/>
      <c r="R49" s="373">
        <f>I49*0</f>
        <v>0</v>
      </c>
      <c r="S49" s="373"/>
      <c r="T49" s="373">
        <f>H49*0.25</f>
        <v>0</v>
      </c>
      <c r="U49" s="373">
        <f>H49*0.25</f>
        <v>0</v>
      </c>
      <c r="V49" s="373">
        <f>H49*0.25</f>
        <v>0</v>
      </c>
      <c r="W49" s="373">
        <f>H49*0.25</f>
        <v>0</v>
      </c>
      <c r="X49" s="373">
        <f>T49*I49</f>
        <v>0</v>
      </c>
      <c r="Y49" s="373">
        <f>U49*I49</f>
        <v>0</v>
      </c>
      <c r="Z49" s="373">
        <f>V49*I49</f>
        <v>0</v>
      </c>
      <c r="AA49" s="373">
        <f>W49*I49</f>
        <v>0</v>
      </c>
      <c r="AB49" s="373">
        <v>0</v>
      </c>
      <c r="AC49" s="373">
        <f t="shared" si="2"/>
        <v>0</v>
      </c>
      <c r="AD49" s="373">
        <v>0</v>
      </c>
      <c r="AE49" s="295">
        <f t="shared" si="3"/>
        <v>0</v>
      </c>
      <c r="AF49" s="373">
        <v>0</v>
      </c>
      <c r="AG49" s="373">
        <f t="shared" si="4"/>
        <v>0</v>
      </c>
      <c r="AH49" s="373">
        <v>0</v>
      </c>
      <c r="AI49" s="373">
        <f t="shared" si="5"/>
        <v>0</v>
      </c>
      <c r="AJ49" s="373">
        <v>0</v>
      </c>
      <c r="AK49" s="373">
        <f t="shared" si="6"/>
        <v>0</v>
      </c>
      <c r="AL49" s="373">
        <v>0</v>
      </c>
      <c r="AM49" s="373">
        <f t="shared" si="7"/>
        <v>0</v>
      </c>
      <c r="AN49" s="373">
        <v>0</v>
      </c>
      <c r="AO49" s="373">
        <f t="shared" si="8"/>
        <v>0</v>
      </c>
      <c r="AP49" s="373">
        <v>0</v>
      </c>
      <c r="AQ49" s="373">
        <f t="shared" si="9"/>
        <v>0</v>
      </c>
      <c r="AR49" s="373">
        <v>0</v>
      </c>
      <c r="AS49" s="373">
        <f t="shared" si="10"/>
        <v>0</v>
      </c>
      <c r="AT49" s="373">
        <v>0</v>
      </c>
      <c r="AU49" s="373">
        <f t="shared" si="11"/>
        <v>0</v>
      </c>
      <c r="AV49" s="373">
        <v>0</v>
      </c>
      <c r="AW49" s="373">
        <f t="shared" si="12"/>
        <v>0</v>
      </c>
      <c r="AX49" s="373">
        <v>0</v>
      </c>
      <c r="AY49" s="373">
        <f t="shared" si="13"/>
        <v>0</v>
      </c>
      <c r="AZ49" s="373">
        <v>0</v>
      </c>
      <c r="BA49" s="373">
        <f t="shared" si="14"/>
        <v>0</v>
      </c>
      <c r="BB49" s="373">
        <v>0</v>
      </c>
      <c r="BC49" s="373">
        <f t="shared" si="15"/>
        <v>0</v>
      </c>
      <c r="BD49" s="373">
        <v>0</v>
      </c>
      <c r="BE49" s="373">
        <f t="shared" si="16"/>
        <v>0</v>
      </c>
      <c r="BF49" s="373">
        <v>0</v>
      </c>
      <c r="BG49" s="373">
        <f t="shared" si="17"/>
        <v>0</v>
      </c>
      <c r="BH49" s="373">
        <v>0</v>
      </c>
      <c r="BI49" s="373">
        <f>BH49*G49</f>
        <v>0</v>
      </c>
      <c r="BJ49" s="373"/>
      <c r="BK49" s="373">
        <f>BJ49*G49</f>
        <v>0</v>
      </c>
      <c r="BL49" s="415">
        <f t="shared" si="50"/>
        <v>0</v>
      </c>
      <c r="BM49" s="373">
        <f t="shared" si="50"/>
        <v>0</v>
      </c>
      <c r="BN49" s="317" t="s">
        <v>214</v>
      </c>
      <c r="BO49" s="416"/>
      <c r="BP49" s="403"/>
      <c r="BQ49" s="403"/>
      <c r="BR49" s="321">
        <f>BM49</f>
        <v>0</v>
      </c>
      <c r="BS49" s="403">
        <f>SUM(BS28:BS48)</f>
        <v>0</v>
      </c>
      <c r="BT49" s="321">
        <f t="shared" si="39"/>
        <v>0</v>
      </c>
      <c r="BU49" s="403">
        <f>SUM(BU28:BU48)</f>
        <v>0</v>
      </c>
      <c r="BV49" s="403">
        <f>SUM(BV28:BV48)</f>
        <v>0</v>
      </c>
      <c r="BW49" s="403">
        <f>SUM(BW28:BW48)</f>
        <v>0</v>
      </c>
      <c r="BX49" s="322">
        <f t="shared" si="22"/>
        <v>0</v>
      </c>
    </row>
    <row r="50" spans="1:161" x14ac:dyDescent="0.2">
      <c r="A50" s="817"/>
      <c r="B50" s="575"/>
      <c r="C50" s="314">
        <v>31500</v>
      </c>
      <c r="D50" s="586" t="s">
        <v>1037</v>
      </c>
      <c r="E50" s="342" t="s">
        <v>410</v>
      </c>
      <c r="F50" s="317" t="s">
        <v>93</v>
      </c>
      <c r="G50" s="336" t="s">
        <v>309</v>
      </c>
      <c r="H50" s="294">
        <f>BL50</f>
        <v>1040</v>
      </c>
      <c r="I50" s="294">
        <f t="shared" ref="I50:AA50" si="51">BM50</f>
        <v>4800000</v>
      </c>
      <c r="J50" s="373">
        <f>I50*0</f>
        <v>0</v>
      </c>
      <c r="K50" s="373">
        <f>I50*0.8</f>
        <v>3840000</v>
      </c>
      <c r="L50" s="294">
        <f t="shared" si="51"/>
        <v>0</v>
      </c>
      <c r="M50" s="294">
        <f t="shared" si="51"/>
        <v>0</v>
      </c>
      <c r="N50" s="294">
        <v>0</v>
      </c>
      <c r="O50" s="294">
        <f t="shared" si="51"/>
        <v>0</v>
      </c>
      <c r="P50" s="294">
        <v>0</v>
      </c>
      <c r="Q50" s="294">
        <f t="shared" si="51"/>
        <v>0</v>
      </c>
      <c r="R50" s="294">
        <f>I50*0.2</f>
        <v>960000</v>
      </c>
      <c r="S50" s="294">
        <f t="shared" si="51"/>
        <v>0</v>
      </c>
      <c r="T50" s="294">
        <f t="shared" si="51"/>
        <v>4800000</v>
      </c>
      <c r="U50" s="294">
        <f t="shared" si="51"/>
        <v>0</v>
      </c>
      <c r="V50" s="294">
        <f t="shared" si="51"/>
        <v>0</v>
      </c>
      <c r="W50" s="294">
        <f t="shared" si="51"/>
        <v>0</v>
      </c>
      <c r="X50" s="294">
        <f t="shared" si="51"/>
        <v>0</v>
      </c>
      <c r="Y50" s="294">
        <f t="shared" si="51"/>
        <v>0</v>
      </c>
      <c r="Z50" s="294">
        <f t="shared" si="51"/>
        <v>0</v>
      </c>
      <c r="AA50" s="294">
        <f t="shared" si="51"/>
        <v>0</v>
      </c>
      <c r="AB50" s="294">
        <v>50</v>
      </c>
      <c r="AC50" s="373">
        <f t="shared" si="2"/>
        <v>250000</v>
      </c>
      <c r="AD50" s="373">
        <v>0</v>
      </c>
      <c r="AE50" s="373">
        <f t="shared" si="3"/>
        <v>0</v>
      </c>
      <c r="AF50" s="373">
        <v>100</v>
      </c>
      <c r="AG50" s="295">
        <f t="shared" si="4"/>
        <v>500000</v>
      </c>
      <c r="AH50" s="373">
        <v>50</v>
      </c>
      <c r="AI50" s="295">
        <f t="shared" si="5"/>
        <v>250000</v>
      </c>
      <c r="AJ50" s="373">
        <v>0</v>
      </c>
      <c r="AK50" s="295">
        <f t="shared" si="6"/>
        <v>0</v>
      </c>
      <c r="AL50" s="373">
        <v>0</v>
      </c>
      <c r="AM50" s="295">
        <f t="shared" si="7"/>
        <v>0</v>
      </c>
      <c r="AN50" s="373">
        <v>50</v>
      </c>
      <c r="AO50" s="295">
        <f t="shared" si="8"/>
        <v>250000</v>
      </c>
      <c r="AP50" s="373">
        <v>100</v>
      </c>
      <c r="AQ50" s="295">
        <f t="shared" si="9"/>
        <v>500000</v>
      </c>
      <c r="AR50" s="373">
        <v>40</v>
      </c>
      <c r="AS50" s="295">
        <f t="shared" si="10"/>
        <v>200000</v>
      </c>
      <c r="AT50" s="373">
        <v>100</v>
      </c>
      <c r="AU50" s="295">
        <v>100000</v>
      </c>
      <c r="AV50" s="373">
        <v>110</v>
      </c>
      <c r="AW50" s="295">
        <f t="shared" si="12"/>
        <v>550000</v>
      </c>
      <c r="AX50" s="373">
        <v>100</v>
      </c>
      <c r="AY50" s="295">
        <f t="shared" si="13"/>
        <v>500000</v>
      </c>
      <c r="AZ50" s="373">
        <v>90</v>
      </c>
      <c r="BA50" s="295">
        <f t="shared" si="14"/>
        <v>450000</v>
      </c>
      <c r="BB50" s="373">
        <v>0</v>
      </c>
      <c r="BC50" s="295">
        <f t="shared" si="15"/>
        <v>0</v>
      </c>
      <c r="BD50" s="373">
        <v>100</v>
      </c>
      <c r="BE50" s="295">
        <f t="shared" si="16"/>
        <v>500000</v>
      </c>
      <c r="BF50" s="373">
        <v>100</v>
      </c>
      <c r="BG50" s="295">
        <f t="shared" si="17"/>
        <v>500000</v>
      </c>
      <c r="BH50" s="373">
        <v>50</v>
      </c>
      <c r="BI50" s="295">
        <f>BH50*G50</f>
        <v>250000</v>
      </c>
      <c r="BJ50" s="373"/>
      <c r="BK50" s="295">
        <f>BJ50*G50</f>
        <v>0</v>
      </c>
      <c r="BL50" s="373">
        <f t="shared" si="50"/>
        <v>1040</v>
      </c>
      <c r="BM50" s="295">
        <f t="shared" si="50"/>
        <v>4800000</v>
      </c>
      <c r="BN50" s="317" t="s">
        <v>214</v>
      </c>
      <c r="BP50" s="321"/>
      <c r="BQ50" s="321"/>
      <c r="BR50" s="321">
        <f>BM50</f>
        <v>4800000</v>
      </c>
      <c r="BS50" s="321"/>
      <c r="BT50" s="321">
        <f t="shared" si="39"/>
        <v>4800000</v>
      </c>
      <c r="BU50" s="321"/>
      <c r="BV50" s="321"/>
      <c r="BW50" s="321"/>
      <c r="BX50" s="322">
        <f t="shared" si="22"/>
        <v>4800000</v>
      </c>
    </row>
    <row r="51" spans="1:161" hidden="1" x14ac:dyDescent="0.2">
      <c r="A51" s="817"/>
      <c r="B51" s="575"/>
      <c r="C51" s="417"/>
      <c r="D51" s="417"/>
      <c r="E51" s="342" t="s">
        <v>949</v>
      </c>
      <c r="F51" s="317" t="s">
        <v>98</v>
      </c>
      <c r="G51" s="336">
        <v>1000000</v>
      </c>
      <c r="H51" s="294">
        <v>0</v>
      </c>
      <c r="I51" s="294">
        <f>H51*G51</f>
        <v>0</v>
      </c>
      <c r="J51" s="373"/>
      <c r="K51" s="373"/>
      <c r="L51" s="394">
        <f>I51*1</f>
        <v>0</v>
      </c>
      <c r="M51" s="295"/>
      <c r="N51" s="295"/>
      <c r="O51" s="295"/>
      <c r="P51" s="295"/>
      <c r="Q51" s="295"/>
      <c r="R51" s="295"/>
      <c r="S51" s="295"/>
      <c r="T51" s="374">
        <f>H51*0.25</f>
        <v>0</v>
      </c>
      <c r="U51" s="374">
        <f>H51*0.25</f>
        <v>0</v>
      </c>
      <c r="V51" s="374">
        <f>H51*0.25</f>
        <v>0</v>
      </c>
      <c r="W51" s="374">
        <f>H51*0.25</f>
        <v>0</v>
      </c>
      <c r="X51" s="295">
        <f>T51*G51</f>
        <v>0</v>
      </c>
      <c r="Y51" s="295">
        <f>U51*G51</f>
        <v>0</v>
      </c>
      <c r="Z51" s="295">
        <f>V51*G51</f>
        <v>0</v>
      </c>
      <c r="AA51" s="295">
        <f>W51*G51</f>
        <v>0</v>
      </c>
      <c r="AB51" s="373">
        <v>0</v>
      </c>
      <c r="AC51" s="295">
        <f t="shared" si="2"/>
        <v>0</v>
      </c>
      <c r="AD51" s="373">
        <v>0</v>
      </c>
      <c r="AE51" s="295">
        <f t="shared" si="3"/>
        <v>0</v>
      </c>
      <c r="AF51" s="373">
        <v>0</v>
      </c>
      <c r="AG51" s="295">
        <f t="shared" si="4"/>
        <v>0</v>
      </c>
      <c r="AH51" s="373">
        <v>0</v>
      </c>
      <c r="AI51" s="295">
        <f t="shared" si="5"/>
        <v>0</v>
      </c>
      <c r="AJ51" s="373">
        <v>0</v>
      </c>
      <c r="AK51" s="295">
        <f t="shared" si="6"/>
        <v>0</v>
      </c>
      <c r="AL51" s="373">
        <v>0</v>
      </c>
      <c r="AM51" s="295">
        <f t="shared" si="7"/>
        <v>0</v>
      </c>
      <c r="AN51" s="373">
        <v>0</v>
      </c>
      <c r="AO51" s="295">
        <f t="shared" si="8"/>
        <v>0</v>
      </c>
      <c r="AP51" s="373">
        <v>0</v>
      </c>
      <c r="AQ51" s="295">
        <f t="shared" si="9"/>
        <v>0</v>
      </c>
      <c r="AR51" s="373">
        <v>0</v>
      </c>
      <c r="AS51" s="295">
        <f t="shared" si="10"/>
        <v>0</v>
      </c>
      <c r="AT51" s="373">
        <v>0</v>
      </c>
      <c r="AU51" s="295">
        <f t="shared" si="11"/>
        <v>0</v>
      </c>
      <c r="AV51" s="373">
        <v>0</v>
      </c>
      <c r="AW51" s="295">
        <f t="shared" si="12"/>
        <v>0</v>
      </c>
      <c r="AX51" s="373">
        <v>0</v>
      </c>
      <c r="AY51" s="295">
        <f t="shared" si="13"/>
        <v>0</v>
      </c>
      <c r="AZ51" s="373">
        <v>0</v>
      </c>
      <c r="BA51" s="295">
        <f t="shared" si="14"/>
        <v>0</v>
      </c>
      <c r="BB51" s="373">
        <v>0</v>
      </c>
      <c r="BC51" s="295">
        <f t="shared" si="15"/>
        <v>0</v>
      </c>
      <c r="BD51" s="373">
        <v>0</v>
      </c>
      <c r="BE51" s="295">
        <f t="shared" si="16"/>
        <v>0</v>
      </c>
      <c r="BF51" s="373">
        <v>0</v>
      </c>
      <c r="BG51" s="295">
        <f t="shared" si="17"/>
        <v>0</v>
      </c>
      <c r="BH51" s="373">
        <v>0</v>
      </c>
      <c r="BI51" s="295">
        <f>BH51*G51</f>
        <v>0</v>
      </c>
      <c r="BJ51" s="373"/>
      <c r="BK51" s="295">
        <f>BJ51*G51</f>
        <v>0</v>
      </c>
      <c r="BL51" s="373">
        <f t="shared" si="50"/>
        <v>0</v>
      </c>
      <c r="BM51" s="295">
        <f t="shared" si="50"/>
        <v>0</v>
      </c>
      <c r="BN51" s="317" t="s">
        <v>542</v>
      </c>
      <c r="BP51" s="321"/>
      <c r="BQ51" s="321"/>
      <c r="BR51" s="321">
        <f>BM51</f>
        <v>0</v>
      </c>
      <c r="BS51" s="321"/>
      <c r="BT51" s="321">
        <f t="shared" si="39"/>
        <v>0</v>
      </c>
      <c r="BU51" s="321"/>
      <c r="BV51" s="321"/>
      <c r="BW51" s="321"/>
      <c r="BX51" s="322">
        <f t="shared" si="22"/>
        <v>0</v>
      </c>
    </row>
    <row r="52" spans="1:161" s="571" customFormat="1" hidden="1" x14ac:dyDescent="0.2">
      <c r="A52" s="817"/>
      <c r="B52" s="575"/>
      <c r="C52" s="407"/>
      <c r="D52" s="407"/>
      <c r="E52" s="316" t="s">
        <v>411</v>
      </c>
      <c r="F52" s="343" t="s">
        <v>111</v>
      </c>
      <c r="G52" s="344"/>
      <c r="H52" s="312">
        <f>SUM(H48:H51)</f>
        <v>1040</v>
      </c>
      <c r="I52" s="312">
        <f t="shared" ref="I52:BT52" si="52">SUM(I48:I51)</f>
        <v>4800000</v>
      </c>
      <c r="J52" s="312">
        <f t="shared" si="52"/>
        <v>0</v>
      </c>
      <c r="K52" s="312">
        <f t="shared" si="52"/>
        <v>3840000</v>
      </c>
      <c r="L52" s="312">
        <f t="shared" si="52"/>
        <v>0</v>
      </c>
      <c r="M52" s="312">
        <f t="shared" si="52"/>
        <v>0</v>
      </c>
      <c r="N52" s="312">
        <f t="shared" si="52"/>
        <v>0</v>
      </c>
      <c r="O52" s="312">
        <f t="shared" si="52"/>
        <v>0</v>
      </c>
      <c r="P52" s="312">
        <f t="shared" si="52"/>
        <v>0</v>
      </c>
      <c r="Q52" s="312">
        <f t="shared" si="52"/>
        <v>0</v>
      </c>
      <c r="R52" s="312">
        <f t="shared" si="52"/>
        <v>960000</v>
      </c>
      <c r="S52" s="312">
        <f t="shared" si="52"/>
        <v>0</v>
      </c>
      <c r="T52" s="312">
        <f t="shared" si="52"/>
        <v>4800000</v>
      </c>
      <c r="U52" s="312">
        <f t="shared" si="52"/>
        <v>0</v>
      </c>
      <c r="V52" s="312">
        <f t="shared" si="52"/>
        <v>0</v>
      </c>
      <c r="W52" s="312">
        <f t="shared" si="52"/>
        <v>0</v>
      </c>
      <c r="X52" s="312">
        <f t="shared" si="52"/>
        <v>0</v>
      </c>
      <c r="Y52" s="312">
        <f t="shared" si="52"/>
        <v>0</v>
      </c>
      <c r="Z52" s="312">
        <f t="shared" si="52"/>
        <v>0</v>
      </c>
      <c r="AA52" s="312">
        <f t="shared" si="52"/>
        <v>0</v>
      </c>
      <c r="AB52" s="312">
        <f t="shared" si="52"/>
        <v>50</v>
      </c>
      <c r="AC52" s="312">
        <f t="shared" si="52"/>
        <v>250000</v>
      </c>
      <c r="AD52" s="312">
        <f t="shared" si="52"/>
        <v>0</v>
      </c>
      <c r="AE52" s="312">
        <f t="shared" si="52"/>
        <v>0</v>
      </c>
      <c r="AF52" s="312">
        <f t="shared" si="52"/>
        <v>100</v>
      </c>
      <c r="AG52" s="312">
        <f t="shared" si="52"/>
        <v>500000</v>
      </c>
      <c r="AH52" s="312">
        <f t="shared" si="52"/>
        <v>50</v>
      </c>
      <c r="AI52" s="312">
        <f t="shared" si="52"/>
        <v>250000</v>
      </c>
      <c r="AJ52" s="312">
        <f t="shared" si="52"/>
        <v>0</v>
      </c>
      <c r="AK52" s="312">
        <f t="shared" si="52"/>
        <v>0</v>
      </c>
      <c r="AL52" s="312">
        <f t="shared" si="52"/>
        <v>0</v>
      </c>
      <c r="AM52" s="312">
        <f t="shared" si="52"/>
        <v>0</v>
      </c>
      <c r="AN52" s="312">
        <f t="shared" si="52"/>
        <v>50</v>
      </c>
      <c r="AO52" s="312">
        <f t="shared" si="52"/>
        <v>250000</v>
      </c>
      <c r="AP52" s="312">
        <f t="shared" si="52"/>
        <v>100</v>
      </c>
      <c r="AQ52" s="312">
        <f t="shared" si="52"/>
        <v>500000</v>
      </c>
      <c r="AR52" s="312">
        <f t="shared" si="52"/>
        <v>40</v>
      </c>
      <c r="AS52" s="312">
        <f t="shared" si="52"/>
        <v>200000</v>
      </c>
      <c r="AT52" s="312">
        <f t="shared" si="52"/>
        <v>100</v>
      </c>
      <c r="AU52" s="312">
        <f t="shared" si="52"/>
        <v>100000</v>
      </c>
      <c r="AV52" s="312">
        <f t="shared" si="52"/>
        <v>110</v>
      </c>
      <c r="AW52" s="312">
        <f t="shared" si="52"/>
        <v>550000</v>
      </c>
      <c r="AX52" s="312">
        <f t="shared" si="52"/>
        <v>100</v>
      </c>
      <c r="AY52" s="312">
        <f t="shared" si="52"/>
        <v>500000</v>
      </c>
      <c r="AZ52" s="312">
        <f t="shared" si="52"/>
        <v>90</v>
      </c>
      <c r="BA52" s="312">
        <f t="shared" si="52"/>
        <v>450000</v>
      </c>
      <c r="BB52" s="312">
        <f t="shared" si="52"/>
        <v>0</v>
      </c>
      <c r="BC52" s="312">
        <f t="shared" si="52"/>
        <v>0</v>
      </c>
      <c r="BD52" s="312">
        <f t="shared" si="52"/>
        <v>100</v>
      </c>
      <c r="BE52" s="312">
        <f t="shared" si="52"/>
        <v>500000</v>
      </c>
      <c r="BF52" s="312">
        <f t="shared" si="52"/>
        <v>100</v>
      </c>
      <c r="BG52" s="312">
        <f t="shared" si="52"/>
        <v>500000</v>
      </c>
      <c r="BH52" s="312">
        <f t="shared" si="52"/>
        <v>50</v>
      </c>
      <c r="BI52" s="312">
        <f t="shared" si="52"/>
        <v>250000</v>
      </c>
      <c r="BJ52" s="312">
        <f t="shared" si="52"/>
        <v>0</v>
      </c>
      <c r="BK52" s="312">
        <f t="shared" si="52"/>
        <v>0</v>
      </c>
      <c r="BL52" s="312">
        <f t="shared" si="52"/>
        <v>1040</v>
      </c>
      <c r="BM52" s="312">
        <f t="shared" si="52"/>
        <v>4800000</v>
      </c>
      <c r="BN52" s="312">
        <f t="shared" si="52"/>
        <v>0</v>
      </c>
      <c r="BO52" s="312">
        <f t="shared" si="52"/>
        <v>0</v>
      </c>
      <c r="BP52" s="312">
        <f t="shared" si="52"/>
        <v>0</v>
      </c>
      <c r="BQ52" s="312">
        <f t="shared" si="52"/>
        <v>0</v>
      </c>
      <c r="BR52" s="312">
        <f t="shared" si="52"/>
        <v>4800000</v>
      </c>
      <c r="BS52" s="312">
        <f t="shared" si="52"/>
        <v>0</v>
      </c>
      <c r="BT52" s="312">
        <f t="shared" si="52"/>
        <v>4800000</v>
      </c>
      <c r="BU52" s="312">
        <f>SUM(BU48:BU51)</f>
        <v>0</v>
      </c>
      <c r="BV52" s="312">
        <f>SUM(BV48:BV51)</f>
        <v>0</v>
      </c>
      <c r="BW52" s="312">
        <f>SUM(BW48:BW51)</f>
        <v>0</v>
      </c>
      <c r="BX52" s="312">
        <f>SUM(BX48:BX51)</f>
        <v>4800000</v>
      </c>
      <c r="BY52" s="297"/>
      <c r="BZ52" s="297"/>
      <c r="CA52" s="297"/>
      <c r="CB52" s="297"/>
      <c r="CC52" s="297"/>
      <c r="CD52" s="297"/>
      <c r="CE52" s="297"/>
      <c r="CF52" s="297"/>
      <c r="CG52" s="297"/>
      <c r="CH52" s="297"/>
      <c r="CI52" s="297"/>
      <c r="CJ52" s="297"/>
      <c r="CK52" s="297"/>
      <c r="CL52" s="297"/>
      <c r="CM52" s="297"/>
      <c r="CN52" s="297"/>
      <c r="CO52" s="297"/>
      <c r="CP52" s="297"/>
      <c r="CQ52" s="297"/>
      <c r="CR52" s="297"/>
      <c r="CS52" s="297"/>
      <c r="CT52" s="297"/>
      <c r="CU52" s="297"/>
      <c r="CV52" s="297"/>
      <c r="CW52" s="297"/>
      <c r="CX52" s="297"/>
      <c r="CY52" s="297"/>
      <c r="CZ52" s="297"/>
      <c r="DA52" s="297"/>
      <c r="DB52" s="297"/>
      <c r="DC52" s="297"/>
      <c r="DD52" s="297"/>
      <c r="DE52" s="297"/>
      <c r="DF52" s="297"/>
      <c r="DG52" s="297"/>
      <c r="DH52" s="297"/>
      <c r="DI52" s="297"/>
      <c r="DJ52" s="297"/>
      <c r="DK52" s="297"/>
      <c r="DL52" s="297"/>
      <c r="DM52" s="297"/>
      <c r="DN52" s="297"/>
      <c r="DO52" s="297"/>
      <c r="DP52" s="297"/>
      <c r="DQ52" s="297"/>
      <c r="DR52" s="297"/>
      <c r="DS52" s="297"/>
      <c r="DT52" s="297"/>
      <c r="DU52" s="297"/>
      <c r="DV52" s="297"/>
      <c r="DW52" s="297"/>
      <c r="DX52" s="297"/>
      <c r="DY52" s="297"/>
      <c r="DZ52" s="297"/>
      <c r="EA52" s="297"/>
      <c r="EB52" s="297"/>
      <c r="EC52" s="297"/>
      <c r="ED52" s="297"/>
      <c r="EE52" s="297"/>
      <c r="EF52" s="297"/>
      <c r="EG52" s="297"/>
      <c r="EH52" s="297"/>
      <c r="EI52" s="297"/>
      <c r="EJ52" s="297"/>
      <c r="EK52" s="297"/>
      <c r="EL52" s="297"/>
      <c r="EM52" s="297"/>
      <c r="EN52" s="297"/>
      <c r="EO52" s="297"/>
      <c r="EP52" s="297"/>
      <c r="EQ52" s="297"/>
      <c r="ER52" s="297"/>
      <c r="ES52" s="297"/>
      <c r="ET52" s="297"/>
      <c r="EU52" s="297"/>
      <c r="EV52" s="297"/>
      <c r="EW52" s="297"/>
      <c r="EX52" s="297"/>
      <c r="EY52" s="297"/>
      <c r="EZ52" s="297"/>
      <c r="FA52" s="297"/>
      <c r="FB52" s="297"/>
      <c r="FC52" s="297"/>
      <c r="FD52" s="297"/>
      <c r="FE52" s="297"/>
    </row>
    <row r="53" spans="1:161" s="571" customFormat="1" hidden="1" x14ac:dyDescent="0.2">
      <c r="A53" s="817"/>
      <c r="B53" s="575"/>
      <c r="C53" s="407"/>
      <c r="D53" s="407"/>
      <c r="E53" s="405" t="s">
        <v>335</v>
      </c>
      <c r="F53" s="343" t="s">
        <v>111</v>
      </c>
      <c r="G53" s="344" t="s">
        <v>111</v>
      </c>
      <c r="H53" s="418">
        <f t="shared" ref="H53:AY53" si="53">H52+H41+H39+H28+H19+H15+H46</f>
        <v>2086</v>
      </c>
      <c r="I53" s="418">
        <f t="shared" si="53"/>
        <v>142625000</v>
      </c>
      <c r="J53" s="418">
        <f t="shared" si="53"/>
        <v>11535000</v>
      </c>
      <c r="K53" s="418">
        <f t="shared" si="53"/>
        <v>50780000</v>
      </c>
      <c r="L53" s="418">
        <f t="shared" si="53"/>
        <v>0</v>
      </c>
      <c r="M53" s="418">
        <f t="shared" si="53"/>
        <v>10900000</v>
      </c>
      <c r="N53" s="418">
        <f t="shared" si="53"/>
        <v>68250000</v>
      </c>
      <c r="O53" s="418">
        <f t="shared" si="53"/>
        <v>0</v>
      </c>
      <c r="P53" s="418">
        <f t="shared" si="53"/>
        <v>0</v>
      </c>
      <c r="Q53" s="418">
        <f t="shared" si="53"/>
        <v>0</v>
      </c>
      <c r="R53" s="418">
        <f t="shared" si="53"/>
        <v>1160000</v>
      </c>
      <c r="S53" s="418">
        <f t="shared" si="53"/>
        <v>0</v>
      </c>
      <c r="T53" s="418">
        <f t="shared" si="53"/>
        <v>4800182.25</v>
      </c>
      <c r="U53" s="418">
        <f t="shared" si="53"/>
        <v>182.25</v>
      </c>
      <c r="V53" s="418">
        <f t="shared" si="53"/>
        <v>182.25</v>
      </c>
      <c r="W53" s="418">
        <f t="shared" si="53"/>
        <v>182.25</v>
      </c>
      <c r="X53" s="418">
        <f t="shared" si="53"/>
        <v>1363645000</v>
      </c>
      <c r="Y53" s="418">
        <f t="shared" si="53"/>
        <v>1363645000</v>
      </c>
      <c r="Z53" s="418">
        <f t="shared" si="53"/>
        <v>1363645000</v>
      </c>
      <c r="AA53" s="418">
        <f t="shared" si="53"/>
        <v>1363645000</v>
      </c>
      <c r="AB53" s="418">
        <f t="shared" si="53"/>
        <v>94</v>
      </c>
      <c r="AC53" s="418">
        <f t="shared" si="53"/>
        <v>8195000</v>
      </c>
      <c r="AD53" s="418">
        <f t="shared" si="53"/>
        <v>17</v>
      </c>
      <c r="AE53" s="418">
        <f t="shared" si="53"/>
        <v>2800000</v>
      </c>
      <c r="AF53" s="418">
        <f t="shared" si="53"/>
        <v>149</v>
      </c>
      <c r="AG53" s="418">
        <f t="shared" si="53"/>
        <v>12530000</v>
      </c>
      <c r="AH53" s="418">
        <f t="shared" si="53"/>
        <v>126</v>
      </c>
      <c r="AI53" s="418">
        <f t="shared" si="53"/>
        <v>14690000</v>
      </c>
      <c r="AJ53" s="418">
        <f t="shared" si="53"/>
        <v>37</v>
      </c>
      <c r="AK53" s="418">
        <f t="shared" si="53"/>
        <v>4130000</v>
      </c>
      <c r="AL53" s="418">
        <f t="shared" si="53"/>
        <v>32</v>
      </c>
      <c r="AM53" s="418">
        <f t="shared" si="53"/>
        <v>7100000</v>
      </c>
      <c r="AN53" s="418">
        <f t="shared" si="53"/>
        <v>82</v>
      </c>
      <c r="AO53" s="418">
        <f t="shared" si="53"/>
        <v>4480000</v>
      </c>
      <c r="AP53" s="418">
        <f t="shared" si="53"/>
        <v>154</v>
      </c>
      <c r="AQ53" s="418">
        <f t="shared" si="53"/>
        <v>7615000</v>
      </c>
      <c r="AR53" s="418">
        <f t="shared" si="53"/>
        <v>61</v>
      </c>
      <c r="AS53" s="418">
        <f t="shared" si="53"/>
        <v>3755000</v>
      </c>
      <c r="AT53" s="418">
        <f t="shared" si="53"/>
        <v>137</v>
      </c>
      <c r="AU53" s="418">
        <f t="shared" si="53"/>
        <v>12700000</v>
      </c>
      <c r="AV53" s="418">
        <f t="shared" si="53"/>
        <v>168</v>
      </c>
      <c r="AW53" s="418">
        <f t="shared" si="53"/>
        <v>13300000</v>
      </c>
      <c r="AX53" s="418">
        <f t="shared" si="53"/>
        <v>232</v>
      </c>
      <c r="AY53" s="418">
        <f t="shared" si="53"/>
        <v>12050000</v>
      </c>
      <c r="AZ53" s="418">
        <f t="shared" ref="AZ53:BM53" si="54">AZ52+AZ41+AZ39+AZ28+AZ19+AZ15+AZ46</f>
        <v>302</v>
      </c>
      <c r="BA53" s="418">
        <f t="shared" si="54"/>
        <v>13500000</v>
      </c>
      <c r="BB53" s="418">
        <f t="shared" si="54"/>
        <v>41</v>
      </c>
      <c r="BC53" s="418">
        <f t="shared" si="54"/>
        <v>3135000</v>
      </c>
      <c r="BD53" s="418">
        <f t="shared" si="54"/>
        <v>182</v>
      </c>
      <c r="BE53" s="418">
        <f t="shared" si="54"/>
        <v>8925000</v>
      </c>
      <c r="BF53" s="418">
        <f t="shared" si="54"/>
        <v>157</v>
      </c>
      <c r="BG53" s="418">
        <f t="shared" si="54"/>
        <v>4630000</v>
      </c>
      <c r="BH53" s="418">
        <f t="shared" si="54"/>
        <v>114</v>
      </c>
      <c r="BI53" s="418">
        <f t="shared" si="54"/>
        <v>8090000</v>
      </c>
      <c r="BJ53" s="418">
        <f t="shared" si="54"/>
        <v>1</v>
      </c>
      <c r="BK53" s="418">
        <f t="shared" si="54"/>
        <v>1000000</v>
      </c>
      <c r="BL53" s="418">
        <f t="shared" si="54"/>
        <v>2086</v>
      </c>
      <c r="BM53" s="418">
        <f t="shared" si="54"/>
        <v>142625000</v>
      </c>
      <c r="BN53" s="418"/>
      <c r="BO53" s="418">
        <f t="shared" ref="BO53:BX53" si="55">BO52+BO41+BO39+BO28+BO19+BO15+BO46</f>
        <v>0</v>
      </c>
      <c r="BP53" s="418">
        <f t="shared" si="55"/>
        <v>126900000</v>
      </c>
      <c r="BQ53" s="418">
        <f t="shared" si="55"/>
        <v>0</v>
      </c>
      <c r="BR53" s="418">
        <f t="shared" si="55"/>
        <v>49975000</v>
      </c>
      <c r="BS53" s="418">
        <f t="shared" si="55"/>
        <v>0</v>
      </c>
      <c r="BT53" s="418">
        <f t="shared" si="55"/>
        <v>162380000</v>
      </c>
      <c r="BU53" s="418">
        <f t="shared" si="55"/>
        <v>0</v>
      </c>
      <c r="BV53" s="418">
        <f t="shared" si="55"/>
        <v>0</v>
      </c>
      <c r="BW53" s="418">
        <f t="shared" si="55"/>
        <v>0</v>
      </c>
      <c r="BX53" s="418">
        <f t="shared" si="55"/>
        <v>162380000</v>
      </c>
      <c r="BY53" s="297"/>
      <c r="BZ53" s="297"/>
      <c r="CA53" s="297"/>
      <c r="CB53" s="297"/>
      <c r="CC53" s="297"/>
      <c r="CD53" s="297"/>
      <c r="CE53" s="297"/>
      <c r="CF53" s="297"/>
      <c r="CG53" s="297"/>
      <c r="CH53" s="297"/>
      <c r="CI53" s="297"/>
      <c r="CJ53" s="297"/>
      <c r="CK53" s="297"/>
      <c r="CL53" s="297"/>
      <c r="CM53" s="297"/>
      <c r="CN53" s="297"/>
      <c r="CO53" s="297"/>
      <c r="CP53" s="297"/>
      <c r="CQ53" s="297"/>
      <c r="CR53" s="297"/>
      <c r="CS53" s="297"/>
      <c r="CT53" s="297"/>
      <c r="CU53" s="297"/>
      <c r="CV53" s="297"/>
      <c r="CW53" s="297"/>
      <c r="CX53" s="297"/>
      <c r="CY53" s="297"/>
      <c r="CZ53" s="297"/>
      <c r="DA53" s="297"/>
      <c r="DB53" s="297"/>
      <c r="DC53" s="297"/>
      <c r="DD53" s="297"/>
      <c r="DE53" s="297"/>
      <c r="DF53" s="297"/>
      <c r="DG53" s="297"/>
      <c r="DH53" s="297"/>
      <c r="DI53" s="297"/>
      <c r="DJ53" s="297"/>
      <c r="DK53" s="297"/>
      <c r="DL53" s="297"/>
      <c r="DM53" s="297"/>
      <c r="DN53" s="297"/>
      <c r="DO53" s="297"/>
      <c r="DP53" s="297"/>
      <c r="DQ53" s="297"/>
      <c r="DR53" s="297"/>
      <c r="DS53" s="297"/>
      <c r="DT53" s="297"/>
      <c r="DU53" s="297"/>
      <c r="DV53" s="297"/>
      <c r="DW53" s="297"/>
      <c r="DX53" s="297"/>
      <c r="DY53" s="297"/>
      <c r="DZ53" s="297"/>
      <c r="EA53" s="297"/>
      <c r="EB53" s="297"/>
      <c r="EC53" s="297"/>
      <c r="ED53" s="297"/>
      <c r="EE53" s="297"/>
      <c r="EF53" s="297"/>
      <c r="EG53" s="297"/>
      <c r="EH53" s="297"/>
      <c r="EI53" s="297"/>
      <c r="EJ53" s="297"/>
      <c r="EK53" s="297"/>
      <c r="EL53" s="297"/>
      <c r="EM53" s="297"/>
      <c r="EN53" s="297"/>
      <c r="EO53" s="297"/>
      <c r="EP53" s="297"/>
      <c r="EQ53" s="297"/>
      <c r="ER53" s="297"/>
      <c r="ES53" s="297"/>
      <c r="ET53" s="297"/>
      <c r="EU53" s="297"/>
      <c r="EV53" s="297"/>
      <c r="EW53" s="297"/>
      <c r="EX53" s="297"/>
      <c r="EY53" s="297"/>
      <c r="EZ53" s="297"/>
      <c r="FA53" s="297"/>
      <c r="FB53" s="297"/>
      <c r="FC53" s="297"/>
      <c r="FD53" s="297"/>
      <c r="FE53" s="297"/>
    </row>
    <row r="55" spans="1:161" x14ac:dyDescent="0.25">
      <c r="I55" s="620">
        <f>I53-J55</f>
        <v>0</v>
      </c>
      <c r="J55" s="620">
        <f>SUM(J53:S53)</f>
        <v>142625000</v>
      </c>
    </row>
    <row r="56" spans="1:161" x14ac:dyDescent="0.25">
      <c r="BM56" s="623"/>
    </row>
  </sheetData>
  <autoFilter ref="A8:FE53" xr:uid="{00000000-0001-0000-0900-000000000000}">
    <filterColumn colId="65">
      <filters>
        <filter val="IFAD ( 80% ), BEN ( 20% )"/>
        <filter val="IFAD (80%)"/>
        <filter val="IFAD(80%), BEN ( 20% )"/>
      </filters>
    </filterColumn>
  </autoFilter>
  <mergeCells count="46">
    <mergeCell ref="D8:D9"/>
    <mergeCell ref="A4:C4"/>
    <mergeCell ref="E4:S4"/>
    <mergeCell ref="A1:C1"/>
    <mergeCell ref="E1:S1"/>
    <mergeCell ref="A2:C2"/>
    <mergeCell ref="E2:S2"/>
    <mergeCell ref="A3:C3"/>
    <mergeCell ref="E3:S3"/>
    <mergeCell ref="A5:C5"/>
    <mergeCell ref="E5:S5"/>
    <mergeCell ref="A6:F6"/>
    <mergeCell ref="H6:I6"/>
    <mergeCell ref="J6:S6"/>
    <mergeCell ref="E7:E8"/>
    <mergeCell ref="F7:F8"/>
    <mergeCell ref="G7:G8"/>
    <mergeCell ref="H7:H8"/>
    <mergeCell ref="I7:I8"/>
    <mergeCell ref="AJ6:AK7"/>
    <mergeCell ref="AL6:AM7"/>
    <mergeCell ref="AN6:AO7"/>
    <mergeCell ref="AP6:AQ7"/>
    <mergeCell ref="AD6:AE7"/>
    <mergeCell ref="BD6:BE7"/>
    <mergeCell ref="BF6:BG7"/>
    <mergeCell ref="AT6:AU7"/>
    <mergeCell ref="AX6:AY7"/>
    <mergeCell ref="AZ6:BA7"/>
    <mergeCell ref="AV6:AW7"/>
    <mergeCell ref="BX7:BX8"/>
    <mergeCell ref="A9:A53"/>
    <mergeCell ref="BH6:BI7"/>
    <mergeCell ref="BJ6:BK7"/>
    <mergeCell ref="BL6:BM7"/>
    <mergeCell ref="BN6:BN8"/>
    <mergeCell ref="C7:C8"/>
    <mergeCell ref="T6:W7"/>
    <mergeCell ref="X6:AA7"/>
    <mergeCell ref="AB6:AC7"/>
    <mergeCell ref="AR6:AS7"/>
    <mergeCell ref="AF6:AG7"/>
    <mergeCell ref="AH6:AI7"/>
    <mergeCell ref="BP7:BT7"/>
    <mergeCell ref="BU7:BW7"/>
    <mergeCell ref="BB6:BC7"/>
  </mergeCells>
  <phoneticPr fontId="28" type="noConversion"/>
  <pageMargins left="0.26" right="0.34" top="0.75" bottom="0.75" header="0.3" footer="0.3"/>
  <pageSetup paperSize="9"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5" filterMode="1">
    <tabColor rgb="FF00B0F0"/>
    <pageSetUpPr fitToPage="1"/>
  </sheetPr>
  <dimension ref="A1:BV48"/>
  <sheetViews>
    <sheetView zoomScale="70" zoomScaleNormal="70" workbookViewId="0">
      <pane xSplit="7" ySplit="9" topLeftCell="AN10" activePane="bottomRight" state="frozen"/>
      <selection pane="topRight" activeCell="H1" sqref="H1"/>
      <selection pane="bottomLeft" activeCell="A10" sqref="A10"/>
      <selection pane="bottomRight" activeCell="C52" sqref="C52"/>
    </sheetView>
  </sheetViews>
  <sheetFormatPr defaultColWidth="9.140625" defaultRowHeight="15.75" x14ac:dyDescent="0.25"/>
  <cols>
    <col min="1" max="1" width="10.42578125" style="176" bestFit="1" customWidth="1"/>
    <col min="2" max="2" width="10.42578125" style="176" customWidth="1"/>
    <col min="3" max="3" width="55.42578125" style="624" bestFit="1" customWidth="1"/>
    <col min="4" max="4" width="7.140625" style="176" customWidth="1"/>
    <col min="5" max="5" width="13.28515625" style="176" customWidth="1"/>
    <col min="6" max="6" width="11.85546875" style="625" customWidth="1"/>
    <col min="7" max="7" width="16.42578125" style="176" customWidth="1"/>
    <col min="8" max="8" width="14.5703125" style="176" bestFit="1" customWidth="1"/>
    <col min="9" max="9" width="15.7109375" style="176" bestFit="1" customWidth="1"/>
    <col min="10" max="10" width="11.5703125" style="176" bestFit="1" customWidth="1"/>
    <col min="11" max="11" width="14.140625" style="176" bestFit="1" customWidth="1"/>
    <col min="12" max="12" width="18.85546875" style="176" customWidth="1"/>
    <col min="13" max="13" width="13.42578125" style="176" bestFit="1" customWidth="1"/>
    <col min="14" max="14" width="6.140625" style="176" bestFit="1" customWidth="1"/>
    <col min="15" max="15" width="8" style="176" bestFit="1" customWidth="1"/>
    <col min="16" max="16" width="16.85546875" style="176" bestFit="1" customWidth="1"/>
    <col min="17" max="17" width="9.28515625" style="176" bestFit="1" customWidth="1"/>
    <col min="18" max="18" width="6.5703125" style="176" bestFit="1" customWidth="1"/>
    <col min="19" max="21" width="6.42578125" style="176" bestFit="1" customWidth="1"/>
    <col min="22" max="22" width="15.85546875" style="196" bestFit="1" customWidth="1"/>
    <col min="23" max="25" width="15.7109375" style="196" bestFit="1" customWidth="1"/>
    <col min="26" max="26" width="7.85546875" style="176" bestFit="1" customWidth="1"/>
    <col min="27" max="27" width="14.42578125" style="196" bestFit="1" customWidth="1"/>
    <col min="28" max="28" width="5.140625" style="176" customWidth="1"/>
    <col min="29" max="29" width="16.28515625" style="176" customWidth="1"/>
    <col min="30" max="30" width="6" style="176" bestFit="1" customWidth="1"/>
    <col min="31" max="31" width="14.42578125" style="176" bestFit="1" customWidth="1"/>
    <col min="32" max="32" width="9.28515625" style="176" customWidth="1"/>
    <col min="33" max="33" width="16.5703125" style="176" customWidth="1"/>
    <col min="34" max="34" width="5.140625" style="176" customWidth="1"/>
    <col min="35" max="35" width="14.42578125" style="176" bestFit="1" customWidth="1"/>
    <col min="36" max="36" width="8.28515625" style="176" customWidth="1"/>
    <col min="37" max="37" width="16" style="176" customWidth="1"/>
    <col min="38" max="38" width="5.5703125" style="176" bestFit="1" customWidth="1"/>
    <col min="39" max="39" width="17.5703125" style="176" customWidth="1"/>
    <col min="40" max="40" width="5.140625" style="176" customWidth="1"/>
    <col min="41" max="41" width="16" style="176" customWidth="1"/>
    <col min="42" max="42" width="5.5703125" style="176" bestFit="1" customWidth="1"/>
    <col min="43" max="43" width="14.42578125" style="176" bestFit="1" customWidth="1"/>
    <col min="44" max="44" width="6.42578125" style="176" bestFit="1" customWidth="1"/>
    <col min="45" max="45" width="14.42578125" style="176" bestFit="1" customWidth="1"/>
    <col min="46" max="46" width="5.85546875" style="176" bestFit="1" customWidth="1"/>
    <col min="47" max="47" width="15.85546875" style="176" customWidth="1"/>
    <col min="48" max="48" width="6.140625" style="176" bestFit="1" customWidth="1"/>
    <col min="49" max="49" width="14.5703125" style="176" bestFit="1" customWidth="1"/>
    <col min="50" max="50" width="9.28515625" style="176" customWidth="1"/>
    <col min="51" max="51" width="14.42578125" style="176" bestFit="1" customWidth="1"/>
    <col min="52" max="52" width="8.5703125" style="176" customWidth="1"/>
    <col min="53" max="53" width="15.42578125" style="176" customWidth="1"/>
    <col min="54" max="54" width="6.5703125" style="176" bestFit="1" customWidth="1"/>
    <col min="55" max="55" width="14.42578125" style="176" bestFit="1" customWidth="1"/>
    <col min="56" max="56" width="5.140625" style="176" customWidth="1"/>
    <col min="57" max="57" width="14.42578125" style="176" bestFit="1" customWidth="1"/>
    <col min="58" max="58" width="6.42578125" style="176" bestFit="1" customWidth="1"/>
    <col min="59" max="59" width="14.42578125" style="176" bestFit="1" customWidth="1"/>
    <col min="60" max="60" width="5.140625" style="176" customWidth="1"/>
    <col min="61" max="61" width="13.7109375" style="176" bestFit="1" customWidth="1"/>
    <col min="62" max="62" width="7.85546875" style="176" customWidth="1"/>
    <col min="63" max="63" width="15.7109375" style="176" bestFit="1" customWidth="1"/>
    <col min="64" max="64" width="24.7109375" style="176" bestFit="1" customWidth="1"/>
    <col min="65" max="65" width="9.140625" style="176" customWidth="1"/>
    <col min="66" max="66" width="17.140625" style="176" bestFit="1" customWidth="1"/>
    <col min="67" max="67" width="15.28515625" style="176" bestFit="1" customWidth="1"/>
    <col min="68" max="68" width="18.140625" style="176" bestFit="1" customWidth="1"/>
    <col min="69" max="69" width="7.7109375" style="176" bestFit="1" customWidth="1"/>
    <col min="70" max="70" width="18.28515625" style="176" bestFit="1" customWidth="1"/>
    <col min="71" max="71" width="9.140625" style="176" customWidth="1"/>
    <col min="72" max="72" width="8.7109375" style="176" bestFit="1" customWidth="1"/>
    <col min="73" max="73" width="9.28515625" style="176" bestFit="1" customWidth="1"/>
    <col min="74" max="74" width="17.28515625" style="176" bestFit="1" customWidth="1"/>
    <col min="75" max="76" width="9.140625" style="176" customWidth="1"/>
    <col min="77" max="16384" width="9.140625" style="176"/>
  </cols>
  <sheetData>
    <row r="1" spans="1:74" x14ac:dyDescent="0.25">
      <c r="A1" s="576"/>
      <c r="B1" s="589"/>
      <c r="C1" s="747" t="s">
        <v>153</v>
      </c>
      <c r="D1" s="747"/>
      <c r="E1" s="747"/>
      <c r="F1" s="747"/>
      <c r="G1" s="747"/>
      <c r="H1" s="747"/>
      <c r="I1" s="747"/>
      <c r="J1" s="747"/>
      <c r="K1" s="747"/>
      <c r="L1" s="747"/>
      <c r="M1" s="747"/>
      <c r="N1" s="747"/>
      <c r="O1" s="747"/>
      <c r="P1" s="747"/>
      <c r="Q1" s="747"/>
      <c r="R1" s="180"/>
      <c r="S1" s="180"/>
      <c r="T1" s="180"/>
      <c r="U1" s="180"/>
    </row>
    <row r="2" spans="1:74" x14ac:dyDescent="0.25">
      <c r="A2" s="576"/>
      <c r="B2" s="589"/>
      <c r="C2" s="747" t="s">
        <v>154</v>
      </c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  <c r="P2" s="747"/>
      <c r="Q2" s="747"/>
      <c r="R2" s="180"/>
      <c r="S2" s="180"/>
      <c r="T2" s="180"/>
      <c r="U2" s="180"/>
    </row>
    <row r="3" spans="1:74" x14ac:dyDescent="0.25">
      <c r="A3" s="576"/>
      <c r="B3" s="589"/>
      <c r="C3" s="747" t="s">
        <v>950</v>
      </c>
      <c r="D3" s="747"/>
      <c r="E3" s="747"/>
      <c r="F3" s="747"/>
      <c r="G3" s="747"/>
      <c r="H3" s="747"/>
      <c r="I3" s="747"/>
      <c r="J3" s="747"/>
      <c r="K3" s="747"/>
      <c r="L3" s="747"/>
      <c r="M3" s="747"/>
      <c r="N3" s="747"/>
      <c r="O3" s="747"/>
      <c r="P3" s="747"/>
      <c r="Q3" s="747"/>
      <c r="R3" s="180"/>
      <c r="S3" s="180"/>
      <c r="T3" s="180"/>
      <c r="U3" s="180"/>
      <c r="Z3" s="175" t="s">
        <v>288</v>
      </c>
      <c r="AA3" s="175">
        <v>8.34</v>
      </c>
      <c r="AB3" s="175"/>
      <c r="AC3" s="175">
        <v>2.85</v>
      </c>
      <c r="AD3" s="175"/>
      <c r="AE3" s="175">
        <v>8.3800000000000008</v>
      </c>
      <c r="AF3" s="175"/>
      <c r="AG3" s="175">
        <v>7.49</v>
      </c>
      <c r="AH3" s="175"/>
      <c r="AI3" s="175">
        <v>3.33</v>
      </c>
      <c r="AJ3" s="175"/>
      <c r="AK3" s="175">
        <v>6.64</v>
      </c>
      <c r="AL3" s="175"/>
      <c r="AM3" s="175">
        <v>3.67</v>
      </c>
      <c r="AN3" s="175"/>
      <c r="AO3" s="175">
        <v>5.0599999999999996</v>
      </c>
      <c r="AP3" s="175"/>
      <c r="AQ3" s="175">
        <v>5.94</v>
      </c>
      <c r="AR3" s="175"/>
      <c r="AS3" s="175">
        <v>6.85</v>
      </c>
      <c r="AT3" s="175"/>
      <c r="AU3" s="175">
        <v>7.45</v>
      </c>
      <c r="AV3" s="175"/>
      <c r="AW3" s="175">
        <v>5.13</v>
      </c>
      <c r="AX3" s="175"/>
      <c r="AY3" s="175">
        <v>4.8600000000000003</v>
      </c>
      <c r="AZ3" s="175"/>
      <c r="BA3" s="175">
        <v>5.79</v>
      </c>
      <c r="BB3" s="175"/>
      <c r="BC3" s="175">
        <v>5.3</v>
      </c>
      <c r="BD3" s="175"/>
      <c r="BE3" s="175">
        <v>3.47</v>
      </c>
      <c r="BF3" s="175"/>
      <c r="BG3" s="175">
        <v>9.42</v>
      </c>
      <c r="BH3" s="175"/>
      <c r="BI3" s="175"/>
      <c r="BJ3" s="175"/>
      <c r="BK3" s="175"/>
    </row>
    <row r="4" spans="1:74" x14ac:dyDescent="0.25">
      <c r="A4" s="576"/>
      <c r="B4" s="589"/>
      <c r="C4" s="747" t="s">
        <v>91</v>
      </c>
      <c r="D4" s="747"/>
      <c r="E4" s="747"/>
      <c r="F4" s="747"/>
      <c r="G4" s="747"/>
      <c r="H4" s="747"/>
      <c r="I4" s="747"/>
      <c r="J4" s="747"/>
      <c r="K4" s="747"/>
      <c r="L4" s="747"/>
      <c r="M4" s="747"/>
      <c r="N4" s="747"/>
      <c r="O4" s="747"/>
      <c r="P4" s="747"/>
      <c r="Q4" s="747"/>
      <c r="R4" s="180"/>
      <c r="S4" s="180"/>
      <c r="T4" s="180"/>
      <c r="U4" s="180"/>
      <c r="Z4" s="175" t="s">
        <v>286</v>
      </c>
      <c r="AA4" s="175">
        <v>48</v>
      </c>
      <c r="AB4" s="175"/>
      <c r="AC4" s="175">
        <v>23</v>
      </c>
      <c r="AD4" s="175"/>
      <c r="AE4" s="175">
        <v>80</v>
      </c>
      <c r="AF4" s="175"/>
      <c r="AG4" s="175">
        <v>105</v>
      </c>
      <c r="AH4" s="175"/>
      <c r="AI4" s="175">
        <v>43</v>
      </c>
      <c r="AJ4" s="175"/>
      <c r="AK4" s="175">
        <v>75</v>
      </c>
      <c r="AL4" s="175"/>
      <c r="AM4" s="175">
        <v>41</v>
      </c>
      <c r="AN4" s="175"/>
      <c r="AO4" s="175">
        <v>101</v>
      </c>
      <c r="AP4" s="175"/>
      <c r="AQ4" s="175">
        <v>8</v>
      </c>
      <c r="AR4" s="175"/>
      <c r="AS4" s="175">
        <v>33</v>
      </c>
      <c r="AT4" s="175"/>
      <c r="AU4" s="175">
        <v>53</v>
      </c>
      <c r="AV4" s="175"/>
      <c r="AW4" s="175">
        <v>52</v>
      </c>
      <c r="AX4" s="175"/>
      <c r="AY4" s="175">
        <v>76</v>
      </c>
      <c r="AZ4" s="175"/>
      <c r="BA4" s="175">
        <v>82</v>
      </c>
      <c r="BB4" s="175"/>
      <c r="BC4" s="175">
        <v>104</v>
      </c>
      <c r="BD4" s="175"/>
      <c r="BE4" s="175">
        <v>147</v>
      </c>
      <c r="BF4" s="175"/>
      <c r="BG4" s="175">
        <v>54</v>
      </c>
      <c r="BH4" s="175"/>
      <c r="BI4" s="175"/>
      <c r="BJ4" s="175"/>
      <c r="BK4" s="175"/>
    </row>
    <row r="5" spans="1:74" x14ac:dyDescent="0.25">
      <c r="A5" s="576"/>
      <c r="B5" s="589"/>
      <c r="C5" s="747" t="s">
        <v>165</v>
      </c>
      <c r="D5" s="747"/>
      <c r="E5" s="747"/>
      <c r="F5" s="747"/>
      <c r="G5" s="747"/>
      <c r="H5" s="747"/>
      <c r="I5" s="747"/>
      <c r="J5" s="747"/>
      <c r="K5" s="747"/>
      <c r="L5" s="747"/>
      <c r="M5" s="747"/>
      <c r="N5" s="747"/>
      <c r="O5" s="747"/>
      <c r="P5" s="747"/>
      <c r="Q5" s="747"/>
      <c r="R5" s="180"/>
      <c r="S5" s="180"/>
      <c r="T5" s="180"/>
      <c r="U5" s="180"/>
      <c r="Z5" s="175" t="s">
        <v>287</v>
      </c>
      <c r="AA5" s="177">
        <f>AA4/1125*100</f>
        <v>4.2666666666666666</v>
      </c>
      <c r="AB5" s="177">
        <f t="shared" ref="AB5:BG5" si="0">AB4/1125*100</f>
        <v>0</v>
      </c>
      <c r="AC5" s="177">
        <f t="shared" si="0"/>
        <v>2.0444444444444447</v>
      </c>
      <c r="AD5" s="177">
        <f t="shared" si="0"/>
        <v>0</v>
      </c>
      <c r="AE5" s="177">
        <f t="shared" si="0"/>
        <v>7.1111111111111107</v>
      </c>
      <c r="AF5" s="177">
        <f t="shared" si="0"/>
        <v>0</v>
      </c>
      <c r="AG5" s="177">
        <f t="shared" si="0"/>
        <v>9.3333333333333339</v>
      </c>
      <c r="AH5" s="177">
        <f t="shared" si="0"/>
        <v>0</v>
      </c>
      <c r="AI5" s="177">
        <f t="shared" si="0"/>
        <v>3.822222222222222</v>
      </c>
      <c r="AJ5" s="177">
        <f t="shared" si="0"/>
        <v>0</v>
      </c>
      <c r="AK5" s="177">
        <f t="shared" si="0"/>
        <v>6.666666666666667</v>
      </c>
      <c r="AL5" s="177">
        <f t="shared" si="0"/>
        <v>0</v>
      </c>
      <c r="AM5" s="177">
        <f t="shared" si="0"/>
        <v>3.6444444444444448</v>
      </c>
      <c r="AN5" s="177">
        <f t="shared" si="0"/>
        <v>0</v>
      </c>
      <c r="AO5" s="177">
        <f t="shared" si="0"/>
        <v>8.9777777777777779</v>
      </c>
      <c r="AP5" s="177">
        <f t="shared" si="0"/>
        <v>0</v>
      </c>
      <c r="AQ5" s="177">
        <f t="shared" si="0"/>
        <v>0.71111111111111114</v>
      </c>
      <c r="AR5" s="177">
        <f t="shared" si="0"/>
        <v>0</v>
      </c>
      <c r="AS5" s="177">
        <f t="shared" si="0"/>
        <v>2.9333333333333331</v>
      </c>
      <c r="AT5" s="177">
        <f t="shared" si="0"/>
        <v>0</v>
      </c>
      <c r="AU5" s="177">
        <f t="shared" si="0"/>
        <v>4.7111111111111112</v>
      </c>
      <c r="AV5" s="177">
        <f t="shared" si="0"/>
        <v>0</v>
      </c>
      <c r="AW5" s="177">
        <f t="shared" si="0"/>
        <v>4.6222222222222218</v>
      </c>
      <c r="AX5" s="177">
        <f t="shared" si="0"/>
        <v>0</v>
      </c>
      <c r="AY5" s="177">
        <f t="shared" si="0"/>
        <v>6.7555555555555546</v>
      </c>
      <c r="AZ5" s="177">
        <f t="shared" si="0"/>
        <v>0</v>
      </c>
      <c r="BA5" s="177">
        <f t="shared" si="0"/>
        <v>7.2888888888888896</v>
      </c>
      <c r="BB5" s="177">
        <f t="shared" si="0"/>
        <v>0</v>
      </c>
      <c r="BC5" s="177">
        <f t="shared" si="0"/>
        <v>9.2444444444444436</v>
      </c>
      <c r="BD5" s="177">
        <f t="shared" si="0"/>
        <v>0</v>
      </c>
      <c r="BE5" s="177">
        <f t="shared" si="0"/>
        <v>13.066666666666665</v>
      </c>
      <c r="BF5" s="177">
        <f t="shared" si="0"/>
        <v>0</v>
      </c>
      <c r="BG5" s="177">
        <f t="shared" si="0"/>
        <v>4.8</v>
      </c>
      <c r="BH5" s="175"/>
      <c r="BI5" s="175"/>
      <c r="BJ5" s="175"/>
      <c r="BK5" s="175"/>
    </row>
    <row r="6" spans="1:74" x14ac:dyDescent="0.25"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</row>
    <row r="7" spans="1:74" x14ac:dyDescent="0.25">
      <c r="A7" s="844"/>
      <c r="B7" s="844"/>
      <c r="C7" s="844"/>
      <c r="D7" s="845"/>
      <c r="E7" s="846" t="s">
        <v>21</v>
      </c>
      <c r="F7" s="847"/>
      <c r="G7" s="848"/>
      <c r="H7" s="761" t="s">
        <v>152</v>
      </c>
      <c r="I7" s="762"/>
      <c r="J7" s="762"/>
      <c r="K7" s="762"/>
      <c r="L7" s="762"/>
      <c r="M7" s="762"/>
      <c r="N7" s="762"/>
      <c r="O7" s="762"/>
      <c r="P7" s="762"/>
      <c r="Q7" s="763"/>
      <c r="R7" s="853" t="s">
        <v>60</v>
      </c>
      <c r="S7" s="854"/>
      <c r="T7" s="854"/>
      <c r="U7" s="855"/>
      <c r="V7" s="733" t="s">
        <v>6</v>
      </c>
      <c r="W7" s="859"/>
      <c r="X7" s="859"/>
      <c r="Y7" s="734"/>
      <c r="Z7" s="840" t="s">
        <v>180</v>
      </c>
      <c r="AA7" s="841"/>
      <c r="AB7" s="840" t="s">
        <v>181</v>
      </c>
      <c r="AC7" s="841"/>
      <c r="AD7" s="770" t="s">
        <v>182</v>
      </c>
      <c r="AE7" s="770"/>
      <c r="AF7" s="770" t="s">
        <v>183</v>
      </c>
      <c r="AG7" s="770"/>
      <c r="AH7" s="770" t="s">
        <v>252</v>
      </c>
      <c r="AI7" s="770"/>
      <c r="AJ7" s="770" t="s">
        <v>185</v>
      </c>
      <c r="AK7" s="770"/>
      <c r="AL7" s="770" t="s">
        <v>186</v>
      </c>
      <c r="AM7" s="770"/>
      <c r="AN7" s="770" t="s">
        <v>187</v>
      </c>
      <c r="AO7" s="770"/>
      <c r="AP7" s="770" t="s">
        <v>188</v>
      </c>
      <c r="AQ7" s="770"/>
      <c r="AR7" s="770" t="s">
        <v>189</v>
      </c>
      <c r="AS7" s="770"/>
      <c r="AT7" s="770" t="s">
        <v>190</v>
      </c>
      <c r="AU7" s="770"/>
      <c r="AV7" s="770" t="s">
        <v>191</v>
      </c>
      <c r="AW7" s="770"/>
      <c r="AX7" s="770" t="s">
        <v>192</v>
      </c>
      <c r="AY7" s="770"/>
      <c r="AZ7" s="770" t="s">
        <v>193</v>
      </c>
      <c r="BA7" s="770"/>
      <c r="BB7" s="770" t="s">
        <v>194</v>
      </c>
      <c r="BC7" s="770"/>
      <c r="BD7" s="852" t="s">
        <v>195</v>
      </c>
      <c r="BE7" s="852"/>
      <c r="BF7" s="770" t="s">
        <v>196</v>
      </c>
      <c r="BG7" s="770"/>
      <c r="BH7" s="770" t="s">
        <v>197</v>
      </c>
      <c r="BI7" s="770"/>
      <c r="BJ7" s="770" t="s">
        <v>17</v>
      </c>
      <c r="BK7" s="851"/>
      <c r="BL7" s="740" t="s">
        <v>230</v>
      </c>
    </row>
    <row r="8" spans="1:74" s="218" customFormat="1" ht="31.5" x14ac:dyDescent="0.25">
      <c r="A8" s="849" t="s">
        <v>24</v>
      </c>
      <c r="B8" s="588"/>
      <c r="C8" s="771" t="s">
        <v>12</v>
      </c>
      <c r="D8" s="771" t="s">
        <v>14</v>
      </c>
      <c r="E8" s="563" t="s">
        <v>22</v>
      </c>
      <c r="F8" s="419" t="s">
        <v>23</v>
      </c>
      <c r="G8" s="771" t="s">
        <v>57</v>
      </c>
      <c r="H8" s="16" t="s">
        <v>200</v>
      </c>
      <c r="I8" s="16" t="s">
        <v>201</v>
      </c>
      <c r="J8" s="16" t="s">
        <v>202</v>
      </c>
      <c r="K8" s="16" t="s">
        <v>203</v>
      </c>
      <c r="L8" s="16" t="s">
        <v>204</v>
      </c>
      <c r="M8" s="16" t="s">
        <v>205</v>
      </c>
      <c r="N8" s="16" t="s">
        <v>919</v>
      </c>
      <c r="O8" s="16" t="s">
        <v>206</v>
      </c>
      <c r="P8" s="16" t="s">
        <v>207</v>
      </c>
      <c r="Q8" s="16" t="s">
        <v>768</v>
      </c>
      <c r="R8" s="856"/>
      <c r="S8" s="857"/>
      <c r="T8" s="857"/>
      <c r="U8" s="858"/>
      <c r="V8" s="735"/>
      <c r="W8" s="860"/>
      <c r="X8" s="860"/>
      <c r="Y8" s="736"/>
      <c r="Z8" s="842"/>
      <c r="AA8" s="843"/>
      <c r="AB8" s="842"/>
      <c r="AC8" s="843"/>
      <c r="AD8" s="770" t="s">
        <v>44</v>
      </c>
      <c r="AE8" s="770"/>
      <c r="AF8" s="770" t="s">
        <v>45</v>
      </c>
      <c r="AG8" s="770"/>
      <c r="AH8" s="770" t="s">
        <v>46</v>
      </c>
      <c r="AI8" s="770"/>
      <c r="AJ8" s="770" t="s">
        <v>47</v>
      </c>
      <c r="AK8" s="770"/>
      <c r="AL8" s="770" t="s">
        <v>48</v>
      </c>
      <c r="AM8" s="770"/>
      <c r="AN8" s="770" t="s">
        <v>49</v>
      </c>
      <c r="AO8" s="770"/>
      <c r="AP8" s="770" t="s">
        <v>50</v>
      </c>
      <c r="AQ8" s="770"/>
      <c r="AR8" s="770" t="s">
        <v>51</v>
      </c>
      <c r="AS8" s="770"/>
      <c r="AT8" s="770" t="s">
        <v>52</v>
      </c>
      <c r="AU8" s="770"/>
      <c r="AV8" s="770" t="s">
        <v>53</v>
      </c>
      <c r="AW8" s="770"/>
      <c r="AX8" s="770" t="s">
        <v>54</v>
      </c>
      <c r="AY8" s="770"/>
      <c r="AZ8" s="770" t="s">
        <v>55</v>
      </c>
      <c r="BA8" s="770"/>
      <c r="BB8" s="770" t="s">
        <v>40</v>
      </c>
      <c r="BC8" s="770"/>
      <c r="BD8" s="852" t="s">
        <v>37</v>
      </c>
      <c r="BE8" s="852"/>
      <c r="BF8" s="770"/>
      <c r="BG8" s="770"/>
      <c r="BH8" s="770"/>
      <c r="BI8" s="770"/>
      <c r="BJ8" s="770"/>
      <c r="BK8" s="851"/>
      <c r="BL8" s="740"/>
      <c r="BN8" s="746" t="s">
        <v>228</v>
      </c>
      <c r="BO8" s="746"/>
      <c r="BP8" s="746"/>
      <c r="BQ8" s="746"/>
      <c r="BR8" s="746"/>
      <c r="BS8" s="746" t="s">
        <v>229</v>
      </c>
      <c r="BT8" s="746"/>
      <c r="BU8" s="746"/>
      <c r="BV8" s="740" t="s">
        <v>17</v>
      </c>
    </row>
    <row r="9" spans="1:74" s="218" customFormat="1" ht="47.25" x14ac:dyDescent="0.25">
      <c r="A9" s="850"/>
      <c r="B9" s="849" t="s">
        <v>24</v>
      </c>
      <c r="C9" s="772"/>
      <c r="D9" s="772"/>
      <c r="E9" s="564"/>
      <c r="F9" s="420"/>
      <c r="G9" s="772"/>
      <c r="H9" s="183"/>
      <c r="I9" s="183"/>
      <c r="J9" s="183"/>
      <c r="K9" s="183"/>
      <c r="L9" s="183"/>
      <c r="M9" s="183"/>
      <c r="N9" s="421"/>
      <c r="O9" s="421"/>
      <c r="P9" s="421"/>
      <c r="Q9" s="421"/>
      <c r="R9" s="556" t="s">
        <v>7</v>
      </c>
      <c r="S9" s="556" t="s">
        <v>8</v>
      </c>
      <c r="T9" s="556" t="s">
        <v>9</v>
      </c>
      <c r="U9" s="556" t="s">
        <v>10</v>
      </c>
      <c r="V9" s="422" t="s">
        <v>7</v>
      </c>
      <c r="W9" s="422" t="s">
        <v>8</v>
      </c>
      <c r="X9" s="422" t="s">
        <v>9</v>
      </c>
      <c r="Y9" s="422" t="s">
        <v>10</v>
      </c>
      <c r="Z9" s="423" t="s">
        <v>14</v>
      </c>
      <c r="AA9" s="424" t="s">
        <v>15</v>
      </c>
      <c r="AB9" s="425" t="s">
        <v>14</v>
      </c>
      <c r="AC9" s="425" t="s">
        <v>15</v>
      </c>
      <c r="AD9" s="425" t="s">
        <v>14</v>
      </c>
      <c r="AE9" s="425" t="s">
        <v>15</v>
      </c>
      <c r="AF9" s="425" t="s">
        <v>14</v>
      </c>
      <c r="AG9" s="425" t="s">
        <v>15</v>
      </c>
      <c r="AH9" s="425" t="s">
        <v>14</v>
      </c>
      <c r="AI9" s="425" t="s">
        <v>15</v>
      </c>
      <c r="AJ9" s="425" t="s">
        <v>14</v>
      </c>
      <c r="AK9" s="425" t="s">
        <v>15</v>
      </c>
      <c r="AL9" s="425" t="s">
        <v>14</v>
      </c>
      <c r="AM9" s="425" t="s">
        <v>15</v>
      </c>
      <c r="AN9" s="425" t="s">
        <v>14</v>
      </c>
      <c r="AO9" s="425" t="s">
        <v>15</v>
      </c>
      <c r="AP9" s="425" t="s">
        <v>14</v>
      </c>
      <c r="AQ9" s="425" t="s">
        <v>15</v>
      </c>
      <c r="AR9" s="425" t="s">
        <v>14</v>
      </c>
      <c r="AS9" s="425" t="s">
        <v>15</v>
      </c>
      <c r="AT9" s="425" t="s">
        <v>14</v>
      </c>
      <c r="AU9" s="425" t="s">
        <v>15</v>
      </c>
      <c r="AV9" s="425" t="s">
        <v>14</v>
      </c>
      <c r="AW9" s="425" t="s">
        <v>15</v>
      </c>
      <c r="AX9" s="425" t="s">
        <v>14</v>
      </c>
      <c r="AY9" s="425" t="s">
        <v>15</v>
      </c>
      <c r="AZ9" s="425" t="s">
        <v>14</v>
      </c>
      <c r="BA9" s="425" t="s">
        <v>15</v>
      </c>
      <c r="BB9" s="425" t="s">
        <v>14</v>
      </c>
      <c r="BC9" s="425" t="s">
        <v>15</v>
      </c>
      <c r="BD9" s="425" t="s">
        <v>14</v>
      </c>
      <c r="BE9" s="425" t="s">
        <v>15</v>
      </c>
      <c r="BF9" s="425" t="s">
        <v>14</v>
      </c>
      <c r="BG9" s="425" t="s">
        <v>15</v>
      </c>
      <c r="BH9" s="425" t="s">
        <v>14</v>
      </c>
      <c r="BI9" s="425" t="s">
        <v>15</v>
      </c>
      <c r="BJ9" s="425" t="s">
        <v>14</v>
      </c>
      <c r="BK9" s="426" t="s">
        <v>15</v>
      </c>
      <c r="BL9" s="740"/>
      <c r="BN9" s="16" t="s">
        <v>219</v>
      </c>
      <c r="BO9" s="28" t="s">
        <v>220</v>
      </c>
      <c r="BP9" s="28" t="s">
        <v>221</v>
      </c>
      <c r="BQ9" s="565" t="s">
        <v>222</v>
      </c>
      <c r="BR9" s="28" t="s">
        <v>223</v>
      </c>
      <c r="BS9" s="28" t="s">
        <v>224</v>
      </c>
      <c r="BT9" s="28" t="s">
        <v>225</v>
      </c>
      <c r="BU9" s="28" t="s">
        <v>226</v>
      </c>
      <c r="BV9" s="740"/>
    </row>
    <row r="10" spans="1:74" hidden="1" x14ac:dyDescent="0.25">
      <c r="A10" s="579">
        <v>32000</v>
      </c>
      <c r="B10" s="850"/>
      <c r="C10" s="185" t="s">
        <v>316</v>
      </c>
      <c r="D10" s="186"/>
      <c r="E10" s="186"/>
      <c r="F10" s="427"/>
      <c r="G10" s="428"/>
      <c r="H10" s="428"/>
      <c r="I10" s="428"/>
      <c r="J10" s="428"/>
      <c r="K10" s="428"/>
      <c r="L10" s="428"/>
      <c r="M10" s="428"/>
      <c r="N10" s="428"/>
      <c r="O10" s="428"/>
      <c r="P10" s="428"/>
      <c r="Q10" s="429"/>
      <c r="R10" s="430"/>
      <c r="S10" s="430"/>
      <c r="T10" s="430"/>
      <c r="U10" s="430"/>
      <c r="V10" s="431"/>
      <c r="W10" s="431"/>
      <c r="X10" s="431"/>
      <c r="Y10" s="431"/>
      <c r="Z10" s="555"/>
      <c r="AA10" s="432"/>
      <c r="AB10" s="555"/>
      <c r="AC10" s="432"/>
      <c r="AD10" s="555"/>
      <c r="AE10" s="432"/>
      <c r="AF10" s="555"/>
      <c r="AG10" s="432"/>
      <c r="AH10" s="555"/>
      <c r="AI10" s="432"/>
      <c r="AJ10" s="555"/>
      <c r="AK10" s="432"/>
      <c r="AL10" s="555"/>
      <c r="AM10" s="432"/>
      <c r="AN10" s="555"/>
      <c r="AO10" s="432"/>
      <c r="AP10" s="555"/>
      <c r="AQ10" s="432"/>
      <c r="AR10" s="555"/>
      <c r="AS10" s="432"/>
      <c r="AT10" s="555"/>
      <c r="AU10" s="432"/>
      <c r="AV10" s="555"/>
      <c r="AW10" s="432"/>
      <c r="AX10" s="555"/>
      <c r="AY10" s="432"/>
      <c r="AZ10" s="555"/>
      <c r="BA10" s="432"/>
      <c r="BB10" s="555"/>
      <c r="BC10" s="432"/>
      <c r="BD10" s="555"/>
      <c r="BE10" s="432"/>
      <c r="BF10" s="555"/>
      <c r="BG10" s="432"/>
      <c r="BH10" s="555"/>
      <c r="BI10" s="432"/>
      <c r="BJ10" s="555"/>
      <c r="BK10" s="433"/>
      <c r="BL10" s="186"/>
      <c r="BN10" s="190"/>
      <c r="BO10" s="190"/>
      <c r="BP10" s="190"/>
      <c r="BQ10" s="190"/>
      <c r="BR10" s="190"/>
      <c r="BS10" s="190"/>
      <c r="BT10" s="190"/>
      <c r="BU10" s="190"/>
      <c r="BV10" s="8"/>
    </row>
    <row r="11" spans="1:74" hidden="1" x14ac:dyDescent="0.25">
      <c r="A11" s="579">
        <v>32100</v>
      </c>
      <c r="B11" s="590"/>
      <c r="C11" s="185" t="s">
        <v>366</v>
      </c>
      <c r="D11" s="186"/>
      <c r="E11" s="186"/>
      <c r="F11" s="434"/>
      <c r="G11" s="8"/>
      <c r="H11" s="8"/>
      <c r="I11" s="8"/>
      <c r="J11" s="8"/>
      <c r="K11" s="8"/>
      <c r="L11" s="8"/>
      <c r="M11" s="8"/>
      <c r="N11" s="8"/>
      <c r="O11" s="8"/>
      <c r="P11" s="8"/>
      <c r="Q11" s="435"/>
      <c r="R11" s="429"/>
      <c r="S11" s="429"/>
      <c r="T11" s="436"/>
      <c r="U11" s="437"/>
      <c r="V11" s="438"/>
      <c r="W11" s="438"/>
      <c r="X11" s="438"/>
      <c r="Y11" s="438"/>
      <c r="Z11" s="8"/>
      <c r="AA11" s="7"/>
      <c r="AB11" s="8"/>
      <c r="AC11" s="7"/>
      <c r="AD11" s="8"/>
      <c r="AE11" s="7"/>
      <c r="AF11" s="8"/>
      <c r="AG11" s="7"/>
      <c r="AH11" s="8"/>
      <c r="AI11" s="7"/>
      <c r="AJ11" s="8"/>
      <c r="AK11" s="7"/>
      <c r="AL11" s="8"/>
      <c r="AM11" s="7"/>
      <c r="AN11" s="8"/>
      <c r="AO11" s="7"/>
      <c r="AP11" s="8"/>
      <c r="AQ11" s="7"/>
      <c r="AR11" s="8"/>
      <c r="AS11" s="7"/>
      <c r="AT11" s="8"/>
      <c r="AU11" s="7"/>
      <c r="AV11" s="8"/>
      <c r="AW11" s="7"/>
      <c r="AX11" s="8"/>
      <c r="AY11" s="7"/>
      <c r="AZ11" s="8"/>
      <c r="BA11" s="7"/>
      <c r="BB11" s="8"/>
      <c r="BC11" s="7"/>
      <c r="BD11" s="8"/>
      <c r="BE11" s="7"/>
      <c r="BF11" s="8"/>
      <c r="BG11" s="7"/>
      <c r="BH11" s="8"/>
      <c r="BI11" s="7"/>
      <c r="BJ11" s="8"/>
      <c r="BK11" s="439"/>
      <c r="BL11" s="186"/>
      <c r="BN11" s="190"/>
      <c r="BO11" s="190"/>
      <c r="BP11" s="190"/>
      <c r="BQ11" s="190"/>
      <c r="BR11" s="190"/>
      <c r="BS11" s="190"/>
      <c r="BT11" s="190"/>
      <c r="BU11" s="190"/>
      <c r="BV11" s="167">
        <f>BR11+BU11</f>
        <v>0</v>
      </c>
    </row>
    <row r="12" spans="1:74" x14ac:dyDescent="0.25">
      <c r="A12" s="579"/>
      <c r="B12" s="586" t="s">
        <v>1038</v>
      </c>
      <c r="C12" s="192" t="s">
        <v>367</v>
      </c>
      <c r="D12" s="186" t="s">
        <v>93</v>
      </c>
      <c r="E12" s="193" t="s">
        <v>340</v>
      </c>
      <c r="F12" s="427">
        <f t="shared" ref="F12:F14" si="1">BJ12</f>
        <v>0</v>
      </c>
      <c r="G12" s="440">
        <f>F12*E12</f>
        <v>0</v>
      </c>
      <c r="H12" s="440">
        <f>G12*0</f>
        <v>0</v>
      </c>
      <c r="I12" s="440">
        <f t="shared" ref="I12:I19" si="2">G12*0.8</f>
        <v>0</v>
      </c>
      <c r="J12" s="440">
        <f>G12*0</f>
        <v>0</v>
      </c>
      <c r="K12" s="440">
        <f>G12*0</f>
        <v>0</v>
      </c>
      <c r="L12" s="440">
        <f>G12*0</f>
        <v>0</v>
      </c>
      <c r="M12" s="440">
        <f>G12*0</f>
        <v>0</v>
      </c>
      <c r="N12" s="440">
        <f>G12*0</f>
        <v>0</v>
      </c>
      <c r="O12" s="441">
        <f>G12*0</f>
        <v>0</v>
      </c>
      <c r="P12" s="441">
        <f>G12*0.2</f>
        <v>0</v>
      </c>
      <c r="Q12" s="231">
        <f>G12*0</f>
        <v>0</v>
      </c>
      <c r="R12" s="254">
        <f>F12*0.25</f>
        <v>0</v>
      </c>
      <c r="S12" s="254">
        <f>F12*0.25</f>
        <v>0</v>
      </c>
      <c r="T12" s="254">
        <f>F12*0.25</f>
        <v>0</v>
      </c>
      <c r="U12" s="254">
        <f>F12*0.25</f>
        <v>0</v>
      </c>
      <c r="V12" s="188">
        <f>R12*E12</f>
        <v>0</v>
      </c>
      <c r="W12" s="188">
        <f>S12*E12</f>
        <v>0</v>
      </c>
      <c r="X12" s="188">
        <f>T12*E12</f>
        <v>0</v>
      </c>
      <c r="Y12" s="188">
        <f>U12*E12</f>
        <v>0</v>
      </c>
      <c r="Z12" s="32">
        <v>0</v>
      </c>
      <c r="AA12" s="188">
        <f>Z12*E12</f>
        <v>0</v>
      </c>
      <c r="AB12" s="32">
        <v>0</v>
      </c>
      <c r="AC12" s="188">
        <f>AB12*E12</f>
        <v>0</v>
      </c>
      <c r="AD12" s="32">
        <v>0</v>
      </c>
      <c r="AE12" s="188">
        <f>AD12*E12</f>
        <v>0</v>
      </c>
      <c r="AF12" s="32">
        <v>0</v>
      </c>
      <c r="AG12" s="188">
        <f>AF12*E12</f>
        <v>0</v>
      </c>
      <c r="AH12" s="32">
        <v>0</v>
      </c>
      <c r="AI12" s="188">
        <f>AH12*E12</f>
        <v>0</v>
      </c>
      <c r="AJ12" s="32">
        <v>0</v>
      </c>
      <c r="AK12" s="188">
        <f>AJ12*E12</f>
        <v>0</v>
      </c>
      <c r="AL12" s="32">
        <v>0</v>
      </c>
      <c r="AM12" s="188">
        <f>AL12*E12</f>
        <v>0</v>
      </c>
      <c r="AN12" s="32">
        <v>0</v>
      </c>
      <c r="AO12" s="188">
        <f>AN12*E12</f>
        <v>0</v>
      </c>
      <c r="AP12" s="32">
        <v>0</v>
      </c>
      <c r="AQ12" s="188">
        <f>AP12*E12</f>
        <v>0</v>
      </c>
      <c r="AR12" s="32">
        <v>0</v>
      </c>
      <c r="AS12" s="188">
        <f>AR12*E12</f>
        <v>0</v>
      </c>
      <c r="AT12" s="32">
        <v>0</v>
      </c>
      <c r="AU12" s="188">
        <f>AT12*E12</f>
        <v>0</v>
      </c>
      <c r="AV12" s="32">
        <v>0</v>
      </c>
      <c r="AW12" s="188">
        <f>AV12*E12</f>
        <v>0</v>
      </c>
      <c r="AX12" s="32">
        <v>0</v>
      </c>
      <c r="AY12" s="188">
        <f>AX12*E12</f>
        <v>0</v>
      </c>
      <c r="AZ12" s="32">
        <v>0</v>
      </c>
      <c r="BA12" s="188">
        <f>AZ12*E12</f>
        <v>0</v>
      </c>
      <c r="BB12" s="32">
        <v>0</v>
      </c>
      <c r="BC12" s="188">
        <f>BB12*E12</f>
        <v>0</v>
      </c>
      <c r="BD12" s="32">
        <v>0</v>
      </c>
      <c r="BE12" s="188">
        <f>BD12*E12</f>
        <v>0</v>
      </c>
      <c r="BF12" s="32">
        <v>0</v>
      </c>
      <c r="BG12" s="188">
        <f>BF12*E12</f>
        <v>0</v>
      </c>
      <c r="BH12" s="32"/>
      <c r="BI12" s="188">
        <f>BH12*E12</f>
        <v>0</v>
      </c>
      <c r="BJ12" s="8">
        <f t="shared" ref="BJ12:BK19" si="3">Z12+AB12+AD12+AF12+AH12+AJ12+AL12+AN12+AP12+AR12+AT12+AV12+AX12+AZ12+BB12+BD12+BF12+BH12</f>
        <v>0</v>
      </c>
      <c r="BK12" s="439">
        <f t="shared" si="3"/>
        <v>0</v>
      </c>
      <c r="BL12" s="186" t="s">
        <v>214</v>
      </c>
      <c r="BN12" s="190"/>
      <c r="BO12" s="190"/>
      <c r="BP12" s="190">
        <f>G12</f>
        <v>0</v>
      </c>
      <c r="BQ12" s="190"/>
      <c r="BR12" s="190">
        <f>BN12+BO12+BP12+BQ12</f>
        <v>0</v>
      </c>
      <c r="BS12" s="190"/>
      <c r="BT12" s="190"/>
      <c r="BU12" s="190">
        <f>BS12+BT12</f>
        <v>0</v>
      </c>
      <c r="BV12" s="167">
        <f t="shared" ref="BV12:BV44" si="4">BR12+BU12</f>
        <v>0</v>
      </c>
    </row>
    <row r="13" spans="1:74" x14ac:dyDescent="0.25">
      <c r="A13" s="442"/>
      <c r="B13" s="586" t="s">
        <v>1039</v>
      </c>
      <c r="C13" s="192" t="s">
        <v>683</v>
      </c>
      <c r="D13" s="186" t="s">
        <v>603</v>
      </c>
      <c r="E13" s="193">
        <v>750</v>
      </c>
      <c r="F13" s="427">
        <f t="shared" si="1"/>
        <v>0</v>
      </c>
      <c r="G13" s="440">
        <f>F13*E13</f>
        <v>0</v>
      </c>
      <c r="H13" s="440">
        <f>G13*0.2</f>
        <v>0</v>
      </c>
      <c r="I13" s="440">
        <f t="shared" si="2"/>
        <v>0</v>
      </c>
      <c r="J13" s="440">
        <f>G13*0</f>
        <v>0</v>
      </c>
      <c r="K13" s="440">
        <f>G13*0</f>
        <v>0</v>
      </c>
      <c r="L13" s="440">
        <f>G13*0</f>
        <v>0</v>
      </c>
      <c r="M13" s="440">
        <f>G13*0</f>
        <v>0</v>
      </c>
      <c r="N13" s="440">
        <f>G13*0</f>
        <v>0</v>
      </c>
      <c r="O13" s="441">
        <f>G13*0</f>
        <v>0</v>
      </c>
      <c r="P13" s="441">
        <f>G13*0</f>
        <v>0</v>
      </c>
      <c r="Q13" s="231">
        <f>G13*0</f>
        <v>0</v>
      </c>
      <c r="R13" s="254">
        <f>F13*0.25</f>
        <v>0</v>
      </c>
      <c r="S13" s="254">
        <f>F13*0.25</f>
        <v>0</v>
      </c>
      <c r="T13" s="254">
        <f>F13*0.25</f>
        <v>0</v>
      </c>
      <c r="U13" s="254">
        <f>F13*0.25</f>
        <v>0</v>
      </c>
      <c r="V13" s="188">
        <f>R13*E13</f>
        <v>0</v>
      </c>
      <c r="W13" s="188">
        <f>S13*E13</f>
        <v>0</v>
      </c>
      <c r="X13" s="188">
        <f>T13*E13</f>
        <v>0</v>
      </c>
      <c r="Y13" s="188">
        <f>U13*E13</f>
        <v>0</v>
      </c>
      <c r="Z13" s="8">
        <v>0</v>
      </c>
      <c r="AA13" s="188">
        <f t="shared" ref="AA13:AA44" si="5">Z13*E13</f>
        <v>0</v>
      </c>
      <c r="AB13" s="8">
        <v>0</v>
      </c>
      <c r="AC13" s="188">
        <f t="shared" ref="AC13:AC44" si="6">AB13*E13</f>
        <v>0</v>
      </c>
      <c r="AD13" s="8">
        <v>0</v>
      </c>
      <c r="AE13" s="188">
        <f t="shared" ref="AE13:AE44" si="7">AD13*E13</f>
        <v>0</v>
      </c>
      <c r="AF13" s="8">
        <v>0</v>
      </c>
      <c r="AG13" s="188">
        <f t="shared" ref="AG13:AG44" si="8">AF13*E13</f>
        <v>0</v>
      </c>
      <c r="AH13" s="8">
        <v>0</v>
      </c>
      <c r="AI13" s="188">
        <f t="shared" ref="AI13:AI44" si="9">AH13*E13</f>
        <v>0</v>
      </c>
      <c r="AJ13" s="8">
        <v>0</v>
      </c>
      <c r="AK13" s="188">
        <f t="shared" ref="AK13:AK44" si="10">AJ13*E13</f>
        <v>0</v>
      </c>
      <c r="AL13" s="8">
        <v>0</v>
      </c>
      <c r="AM13" s="188">
        <f t="shared" ref="AM13:AM44" si="11">AL13*E13</f>
        <v>0</v>
      </c>
      <c r="AN13" s="8">
        <v>0</v>
      </c>
      <c r="AO13" s="188">
        <f t="shared" ref="AO13:AO44" si="12">AN13*E13</f>
        <v>0</v>
      </c>
      <c r="AP13" s="8">
        <v>0</v>
      </c>
      <c r="AQ13" s="188">
        <f t="shared" ref="AQ13:AQ44" si="13">AP13*E13</f>
        <v>0</v>
      </c>
      <c r="AR13" s="8">
        <v>0</v>
      </c>
      <c r="AS13" s="188">
        <f>AR13*E13</f>
        <v>0</v>
      </c>
      <c r="AT13" s="8">
        <v>0</v>
      </c>
      <c r="AU13" s="188">
        <f t="shared" ref="AU13:AU44" si="14">AT13*E13</f>
        <v>0</v>
      </c>
      <c r="AV13" s="8">
        <v>0</v>
      </c>
      <c r="AW13" s="188">
        <f t="shared" ref="AW13:AW44" si="15">AV13*E13</f>
        <v>0</v>
      </c>
      <c r="AX13" s="8">
        <v>0</v>
      </c>
      <c r="AY13" s="188">
        <f t="shared" ref="AY13:AY44" si="16">AX13*E13</f>
        <v>0</v>
      </c>
      <c r="AZ13" s="8">
        <v>0</v>
      </c>
      <c r="BA13" s="188">
        <f t="shared" ref="BA13:BA44" si="17">AZ13*E13</f>
        <v>0</v>
      </c>
      <c r="BB13" s="8">
        <v>0</v>
      </c>
      <c r="BC13" s="188">
        <f>BB13*E13</f>
        <v>0</v>
      </c>
      <c r="BD13" s="8">
        <v>0</v>
      </c>
      <c r="BE13" s="188">
        <f t="shared" ref="BE13:BE44" si="18">BD13*E13</f>
        <v>0</v>
      </c>
      <c r="BF13" s="8">
        <v>0</v>
      </c>
      <c r="BG13" s="188">
        <f t="shared" ref="BG13:BG44" si="19">BF13*E13</f>
        <v>0</v>
      </c>
      <c r="BH13" s="8"/>
      <c r="BI13" s="188">
        <f t="shared" ref="BI13:BI44" si="20">BH13*E13</f>
        <v>0</v>
      </c>
      <c r="BJ13" s="8">
        <f t="shared" si="3"/>
        <v>0</v>
      </c>
      <c r="BK13" s="439">
        <f t="shared" si="3"/>
        <v>0</v>
      </c>
      <c r="BL13" s="186" t="s">
        <v>214</v>
      </c>
      <c r="BN13" s="190">
        <f>G13</f>
        <v>0</v>
      </c>
      <c r="BO13" s="190"/>
      <c r="BP13" s="190"/>
      <c r="BQ13" s="190"/>
      <c r="BR13" s="190">
        <f t="shared" ref="BR13:BR44" si="21">BN13+BO13+BP13+BQ13</f>
        <v>0</v>
      </c>
      <c r="BS13" s="190"/>
      <c r="BT13" s="190"/>
      <c r="BU13" s="190">
        <f>BS13+BT13</f>
        <v>0</v>
      </c>
      <c r="BV13" s="167">
        <f t="shared" si="4"/>
        <v>0</v>
      </c>
    </row>
    <row r="14" spans="1:74" hidden="1" x14ac:dyDescent="0.25">
      <c r="A14" s="442" t="s">
        <v>964</v>
      </c>
      <c r="B14" s="442"/>
      <c r="C14" s="192" t="s">
        <v>938</v>
      </c>
      <c r="D14" s="186"/>
      <c r="E14" s="193">
        <v>4000</v>
      </c>
      <c r="F14" s="427">
        <f t="shared" si="1"/>
        <v>0</v>
      </c>
      <c r="G14" s="440">
        <f>BK14</f>
        <v>0</v>
      </c>
      <c r="H14" s="440"/>
      <c r="I14" s="440"/>
      <c r="J14" s="440"/>
      <c r="K14" s="440"/>
      <c r="L14" s="440">
        <f>G14</f>
        <v>0</v>
      </c>
      <c r="M14" s="440"/>
      <c r="N14" s="440"/>
      <c r="O14" s="441"/>
      <c r="P14" s="441"/>
      <c r="Q14" s="231"/>
      <c r="R14" s="254"/>
      <c r="S14" s="254"/>
      <c r="T14" s="254"/>
      <c r="U14" s="254"/>
      <c r="V14" s="188"/>
      <c r="W14" s="188"/>
      <c r="X14" s="188"/>
      <c r="Y14" s="188"/>
      <c r="Z14" s="8"/>
      <c r="AA14" s="188"/>
      <c r="AB14" s="443"/>
      <c r="AC14" s="188"/>
      <c r="AD14" s="443"/>
      <c r="AE14" s="188"/>
      <c r="AF14" s="443">
        <v>0</v>
      </c>
      <c r="AG14" s="188"/>
      <c r="AH14" s="443"/>
      <c r="AI14" s="188"/>
      <c r="AJ14" s="443">
        <v>0</v>
      </c>
      <c r="AK14" s="188"/>
      <c r="AL14" s="443">
        <v>0</v>
      </c>
      <c r="AM14" s="188">
        <v>0</v>
      </c>
      <c r="AN14" s="443"/>
      <c r="AO14" s="188"/>
      <c r="AP14" s="443"/>
      <c r="AQ14" s="188"/>
      <c r="AR14" s="443"/>
      <c r="AS14" s="188"/>
      <c r="AT14" s="443"/>
      <c r="AU14" s="188">
        <v>0</v>
      </c>
      <c r="AV14" s="443">
        <v>0</v>
      </c>
      <c r="AW14" s="188">
        <v>0</v>
      </c>
      <c r="AX14" s="443"/>
      <c r="AY14" s="188"/>
      <c r="AZ14" s="443"/>
      <c r="BA14" s="188"/>
      <c r="BB14" s="443"/>
      <c r="BC14" s="188"/>
      <c r="BD14" s="443"/>
      <c r="BE14" s="188"/>
      <c r="BF14" s="443"/>
      <c r="BG14" s="188"/>
      <c r="BH14" s="443"/>
      <c r="BI14" s="188"/>
      <c r="BJ14" s="8">
        <f t="shared" ref="BJ14" si="22">Z14+AB14+AD14+AF14+AH14+AJ14+AL14+AN14+AP14+AR14+AT14+AV14+AX14+AZ14+BB14+BD14+BF14+BH14</f>
        <v>0</v>
      </c>
      <c r="BK14" s="439">
        <f t="shared" si="3"/>
        <v>0</v>
      </c>
      <c r="BL14" s="186" t="s">
        <v>531</v>
      </c>
      <c r="BN14" s="190"/>
      <c r="BO14" s="444"/>
      <c r="BP14" s="444"/>
      <c r="BQ14" s="444"/>
      <c r="BR14" s="190"/>
      <c r="BS14" s="190"/>
      <c r="BT14" s="190"/>
      <c r="BU14" s="190"/>
      <c r="BV14" s="167"/>
    </row>
    <row r="15" spans="1:74" x14ac:dyDescent="0.25">
      <c r="A15" s="442"/>
      <c r="B15" s="586" t="s">
        <v>1040</v>
      </c>
      <c r="C15" s="192" t="s">
        <v>682</v>
      </c>
      <c r="D15" s="186" t="s">
        <v>634</v>
      </c>
      <c r="E15" s="193">
        <v>20000</v>
      </c>
      <c r="F15" s="427">
        <f t="shared" ref="F15:G19" si="23">BJ15</f>
        <v>84</v>
      </c>
      <c r="G15" s="427">
        <f t="shared" si="23"/>
        <v>1660000</v>
      </c>
      <c r="H15" s="440">
        <f>G15*0</f>
        <v>0</v>
      </c>
      <c r="I15" s="440">
        <f t="shared" si="2"/>
        <v>1328000</v>
      </c>
      <c r="J15" s="440">
        <f>G15*0</f>
        <v>0</v>
      </c>
      <c r="K15" s="440">
        <f>G15*0</f>
        <v>0</v>
      </c>
      <c r="L15" s="440">
        <f>G15*0</f>
        <v>0</v>
      </c>
      <c r="M15" s="440">
        <f>G15*0</f>
        <v>0</v>
      </c>
      <c r="N15" s="440">
        <f>G15*0</f>
        <v>0</v>
      </c>
      <c r="O15" s="441">
        <f>G15*0</f>
        <v>0</v>
      </c>
      <c r="P15" s="441">
        <f>G15*0.2</f>
        <v>332000</v>
      </c>
      <c r="Q15" s="231">
        <f>G15*0</f>
        <v>0</v>
      </c>
      <c r="R15" s="254"/>
      <c r="S15" s="254"/>
      <c r="T15" s="254"/>
      <c r="U15" s="254"/>
      <c r="V15" s="188"/>
      <c r="W15" s="188"/>
      <c r="X15" s="188"/>
      <c r="Y15" s="188"/>
      <c r="Z15" s="8">
        <v>2</v>
      </c>
      <c r="AA15" s="188">
        <f t="shared" si="5"/>
        <v>40000</v>
      </c>
      <c r="AB15" s="443">
        <v>20</v>
      </c>
      <c r="AC15" s="188">
        <f t="shared" si="6"/>
        <v>400000</v>
      </c>
      <c r="AD15" s="443">
        <v>0</v>
      </c>
      <c r="AE15" s="188">
        <f t="shared" si="7"/>
        <v>0</v>
      </c>
      <c r="AF15" s="443">
        <v>10</v>
      </c>
      <c r="AG15" s="188">
        <f t="shared" si="8"/>
        <v>200000</v>
      </c>
      <c r="AH15" s="443">
        <v>0</v>
      </c>
      <c r="AI15" s="188">
        <f t="shared" si="9"/>
        <v>0</v>
      </c>
      <c r="AJ15" s="443">
        <v>0</v>
      </c>
      <c r="AK15" s="188">
        <f t="shared" si="10"/>
        <v>0</v>
      </c>
      <c r="AL15" s="443">
        <v>0</v>
      </c>
      <c r="AM15" s="188">
        <f t="shared" si="11"/>
        <v>0</v>
      </c>
      <c r="AN15" s="443">
        <v>20</v>
      </c>
      <c r="AO15" s="188">
        <v>500000</v>
      </c>
      <c r="AP15" s="443">
        <v>0</v>
      </c>
      <c r="AQ15" s="188">
        <f t="shared" si="13"/>
        <v>0</v>
      </c>
      <c r="AR15" s="443">
        <v>0</v>
      </c>
      <c r="AS15" s="188">
        <f t="shared" ref="AS15:AS44" si="24">AR15*E15</f>
        <v>0</v>
      </c>
      <c r="AT15" s="443">
        <v>7</v>
      </c>
      <c r="AU15" s="188">
        <f t="shared" si="14"/>
        <v>140000</v>
      </c>
      <c r="AV15" s="443">
        <v>10</v>
      </c>
      <c r="AW15" s="188">
        <f t="shared" si="15"/>
        <v>200000</v>
      </c>
      <c r="AX15" s="443">
        <v>0</v>
      </c>
      <c r="AY15" s="188">
        <f t="shared" si="16"/>
        <v>0</v>
      </c>
      <c r="AZ15" s="443">
        <v>5</v>
      </c>
      <c r="BA15" s="188">
        <f t="shared" si="17"/>
        <v>100000</v>
      </c>
      <c r="BB15" s="443">
        <v>10</v>
      </c>
      <c r="BC15" s="188">
        <v>80000</v>
      </c>
      <c r="BD15" s="443">
        <v>0</v>
      </c>
      <c r="BE15" s="188">
        <f t="shared" si="18"/>
        <v>0</v>
      </c>
      <c r="BF15" s="443">
        <v>0</v>
      </c>
      <c r="BG15" s="188">
        <f t="shared" si="19"/>
        <v>0</v>
      </c>
      <c r="BH15" s="443"/>
      <c r="BI15" s="188"/>
      <c r="BJ15" s="8">
        <f>Z15+AB15+AD15+AF15+AH15+AJ15+AL15+AN15+AP15+AR15+AT15+AV15+AX15+AZ15+BB15+BD15+BF15+BH15</f>
        <v>84</v>
      </c>
      <c r="BK15" s="439">
        <f t="shared" si="3"/>
        <v>1660000</v>
      </c>
      <c r="BL15" s="186" t="s">
        <v>214</v>
      </c>
      <c r="BN15" s="190"/>
      <c r="BO15" s="444"/>
      <c r="BP15" s="444">
        <f>G15</f>
        <v>1660000</v>
      </c>
      <c r="BQ15" s="444"/>
      <c r="BR15" s="190"/>
      <c r="BS15" s="190"/>
      <c r="BT15" s="190"/>
      <c r="BU15" s="190"/>
      <c r="BV15" s="167"/>
    </row>
    <row r="16" spans="1:74" x14ac:dyDescent="0.25">
      <c r="A16" s="442" t="s">
        <v>964</v>
      </c>
      <c r="B16" s="586" t="s">
        <v>1041</v>
      </c>
      <c r="C16" s="192" t="s">
        <v>980</v>
      </c>
      <c r="D16" s="186" t="s">
        <v>16</v>
      </c>
      <c r="E16" s="193">
        <v>300000</v>
      </c>
      <c r="F16" s="427">
        <v>17</v>
      </c>
      <c r="G16" s="427">
        <f>F16*E16</f>
        <v>5100000</v>
      </c>
      <c r="H16" s="440">
        <f>G16*0</f>
        <v>0</v>
      </c>
      <c r="I16" s="440">
        <f t="shared" si="2"/>
        <v>4080000</v>
      </c>
      <c r="J16" s="440">
        <f>G16*0</f>
        <v>0</v>
      </c>
      <c r="K16" s="440">
        <f>G16*0</f>
        <v>0</v>
      </c>
      <c r="L16" s="440">
        <f>G16*0</f>
        <v>0</v>
      </c>
      <c r="M16" s="440">
        <f>G16*0</f>
        <v>0</v>
      </c>
      <c r="N16" s="440">
        <f>G16*0</f>
        <v>0</v>
      </c>
      <c r="O16" s="441">
        <f>G16*0</f>
        <v>0</v>
      </c>
      <c r="P16" s="441">
        <f>G16*0.2</f>
        <v>1020000</v>
      </c>
      <c r="Q16" s="231">
        <f>G16*0</f>
        <v>0</v>
      </c>
      <c r="R16" s="254"/>
      <c r="S16" s="254"/>
      <c r="T16" s="254"/>
      <c r="U16" s="254"/>
      <c r="V16" s="188"/>
      <c r="W16" s="188"/>
      <c r="X16" s="188"/>
      <c r="Y16" s="188"/>
      <c r="Z16" s="8">
        <v>1</v>
      </c>
      <c r="AA16" s="188">
        <f t="shared" si="5"/>
        <v>300000</v>
      </c>
      <c r="AB16" s="443">
        <v>1</v>
      </c>
      <c r="AC16" s="188">
        <f t="shared" si="6"/>
        <v>300000</v>
      </c>
      <c r="AD16" s="443">
        <v>1</v>
      </c>
      <c r="AE16" s="188">
        <f t="shared" si="7"/>
        <v>300000</v>
      </c>
      <c r="AF16" s="443">
        <v>1</v>
      </c>
      <c r="AG16" s="188">
        <f t="shared" si="8"/>
        <v>300000</v>
      </c>
      <c r="AH16" s="443">
        <v>1</v>
      </c>
      <c r="AI16" s="188">
        <f t="shared" si="9"/>
        <v>300000</v>
      </c>
      <c r="AJ16" s="443">
        <v>1</v>
      </c>
      <c r="AK16" s="188">
        <f t="shared" si="10"/>
        <v>300000</v>
      </c>
      <c r="AL16" s="443">
        <v>1</v>
      </c>
      <c r="AM16" s="188">
        <f t="shared" si="11"/>
        <v>300000</v>
      </c>
      <c r="AN16" s="443">
        <v>1</v>
      </c>
      <c r="AO16" s="188">
        <f t="shared" si="12"/>
        <v>300000</v>
      </c>
      <c r="AP16" s="443">
        <v>1</v>
      </c>
      <c r="AQ16" s="188">
        <f t="shared" si="13"/>
        <v>300000</v>
      </c>
      <c r="AR16" s="443">
        <v>1</v>
      </c>
      <c r="AS16" s="188">
        <f t="shared" si="24"/>
        <v>300000</v>
      </c>
      <c r="AT16" s="443">
        <v>1</v>
      </c>
      <c r="AU16" s="188">
        <f t="shared" si="14"/>
        <v>300000</v>
      </c>
      <c r="AV16" s="443">
        <v>1</v>
      </c>
      <c r="AW16" s="188">
        <f t="shared" si="15"/>
        <v>300000</v>
      </c>
      <c r="AX16" s="443">
        <v>1</v>
      </c>
      <c r="AY16" s="188">
        <f t="shared" si="16"/>
        <v>300000</v>
      </c>
      <c r="AZ16" s="443">
        <v>1</v>
      </c>
      <c r="BA16" s="188">
        <f t="shared" si="17"/>
        <v>300000</v>
      </c>
      <c r="BB16" s="443">
        <v>1</v>
      </c>
      <c r="BC16" s="188">
        <f t="shared" ref="BC16:BC44" si="25">BB16*E16</f>
        <v>300000</v>
      </c>
      <c r="BD16" s="443">
        <v>1</v>
      </c>
      <c r="BE16" s="188">
        <f t="shared" si="18"/>
        <v>300000</v>
      </c>
      <c r="BF16" s="443">
        <v>1</v>
      </c>
      <c r="BG16" s="188">
        <f t="shared" si="19"/>
        <v>300000</v>
      </c>
      <c r="BH16" s="443"/>
      <c r="BI16" s="188"/>
      <c r="BJ16" s="8">
        <f>Z16+AB16+AD16+AF16+AH16+AJ16+AL16+AN16+AP16+AR16+AT16+AV16+AX16+AZ16+BB16+BD16+BF16+BH16</f>
        <v>17</v>
      </c>
      <c r="BK16" s="439">
        <f t="shared" si="3"/>
        <v>5100000</v>
      </c>
      <c r="BL16" s="186" t="s">
        <v>214</v>
      </c>
      <c r="BN16" s="190"/>
      <c r="BO16" s="444"/>
      <c r="BP16" s="444">
        <f>G16</f>
        <v>5100000</v>
      </c>
      <c r="BQ16" s="444"/>
      <c r="BR16" s="190"/>
      <c r="BS16" s="190"/>
      <c r="BT16" s="190"/>
      <c r="BU16" s="190"/>
      <c r="BV16" s="167"/>
    </row>
    <row r="17" spans="1:74" x14ac:dyDescent="0.25">
      <c r="A17" s="442"/>
      <c r="B17" s="586" t="s">
        <v>1042</v>
      </c>
      <c r="C17" s="192" t="s">
        <v>644</v>
      </c>
      <c r="D17" s="186" t="s">
        <v>32</v>
      </c>
      <c r="E17" s="193" t="s">
        <v>346</v>
      </c>
      <c r="F17" s="427">
        <f t="shared" si="23"/>
        <v>0</v>
      </c>
      <c r="G17" s="440">
        <f>F17*E17</f>
        <v>0</v>
      </c>
      <c r="H17" s="440">
        <f>G17*0.1</f>
        <v>0</v>
      </c>
      <c r="I17" s="440">
        <f t="shared" si="2"/>
        <v>0</v>
      </c>
      <c r="J17" s="440"/>
      <c r="K17" s="440"/>
      <c r="L17" s="440"/>
      <c r="M17" s="440"/>
      <c r="N17" s="440"/>
      <c r="O17" s="441"/>
      <c r="P17" s="441">
        <f>G17*0.1</f>
        <v>0</v>
      </c>
      <c r="Q17" s="231"/>
      <c r="R17" s="445"/>
      <c r="S17" s="254">
        <f>F17</f>
        <v>0</v>
      </c>
      <c r="T17" s="254"/>
      <c r="U17" s="254"/>
      <c r="V17" s="188">
        <f>R17*E17</f>
        <v>0</v>
      </c>
      <c r="W17" s="188">
        <f>S17*E17</f>
        <v>0</v>
      </c>
      <c r="X17" s="188">
        <f>T17*E17</f>
        <v>0</v>
      </c>
      <c r="Y17" s="188">
        <f>U17*E17</f>
        <v>0</v>
      </c>
      <c r="Z17" s="8">
        <v>0</v>
      </c>
      <c r="AA17" s="188">
        <f t="shared" si="5"/>
        <v>0</v>
      </c>
      <c r="AB17" s="443">
        <v>0</v>
      </c>
      <c r="AC17" s="188">
        <f t="shared" si="6"/>
        <v>0</v>
      </c>
      <c r="AD17" s="443">
        <v>0</v>
      </c>
      <c r="AE17" s="188">
        <f t="shared" si="7"/>
        <v>0</v>
      </c>
      <c r="AF17" s="443">
        <v>0</v>
      </c>
      <c r="AG17" s="188">
        <f t="shared" si="8"/>
        <v>0</v>
      </c>
      <c r="AH17" s="443">
        <v>0</v>
      </c>
      <c r="AI17" s="188">
        <f t="shared" si="9"/>
        <v>0</v>
      </c>
      <c r="AJ17" s="443">
        <v>0</v>
      </c>
      <c r="AK17" s="188">
        <f t="shared" si="10"/>
        <v>0</v>
      </c>
      <c r="AL17" s="443">
        <v>0</v>
      </c>
      <c r="AM17" s="188">
        <f t="shared" si="11"/>
        <v>0</v>
      </c>
      <c r="AN17" s="443">
        <v>0</v>
      </c>
      <c r="AO17" s="188">
        <f t="shared" si="12"/>
        <v>0</v>
      </c>
      <c r="AP17" s="443">
        <v>0</v>
      </c>
      <c r="AQ17" s="188">
        <f t="shared" si="13"/>
        <v>0</v>
      </c>
      <c r="AR17" s="443">
        <v>0</v>
      </c>
      <c r="AS17" s="188">
        <f t="shared" si="24"/>
        <v>0</v>
      </c>
      <c r="AT17" s="443">
        <v>0</v>
      </c>
      <c r="AU17" s="188">
        <f t="shared" si="14"/>
        <v>0</v>
      </c>
      <c r="AV17" s="443">
        <v>0</v>
      </c>
      <c r="AW17" s="188">
        <f t="shared" si="15"/>
        <v>0</v>
      </c>
      <c r="AX17" s="443">
        <v>0</v>
      </c>
      <c r="AY17" s="188">
        <f t="shared" si="16"/>
        <v>0</v>
      </c>
      <c r="AZ17" s="443">
        <v>0</v>
      </c>
      <c r="BA17" s="188">
        <f t="shared" si="17"/>
        <v>0</v>
      </c>
      <c r="BB17" s="443">
        <v>0</v>
      </c>
      <c r="BC17" s="188">
        <f t="shared" si="25"/>
        <v>0</v>
      </c>
      <c r="BD17" s="443">
        <v>0</v>
      </c>
      <c r="BE17" s="188">
        <f t="shared" si="18"/>
        <v>0</v>
      </c>
      <c r="BF17" s="443">
        <v>0</v>
      </c>
      <c r="BG17" s="188">
        <f t="shared" si="19"/>
        <v>0</v>
      </c>
      <c r="BH17" s="443"/>
      <c r="BI17" s="188">
        <f t="shared" si="20"/>
        <v>0</v>
      </c>
      <c r="BJ17" s="8">
        <f t="shared" si="3"/>
        <v>0</v>
      </c>
      <c r="BK17" s="439">
        <f t="shared" si="3"/>
        <v>0</v>
      </c>
      <c r="BL17" s="186" t="s">
        <v>213</v>
      </c>
      <c r="BN17" s="190">
        <f>G17</f>
        <v>0</v>
      </c>
      <c r="BO17" s="444"/>
      <c r="BP17" s="444"/>
      <c r="BQ17" s="444"/>
      <c r="BR17" s="190">
        <f t="shared" si="21"/>
        <v>0</v>
      </c>
      <c r="BS17" s="190"/>
      <c r="BT17" s="190"/>
      <c r="BU17" s="190"/>
      <c r="BV17" s="167">
        <f t="shared" si="4"/>
        <v>0</v>
      </c>
    </row>
    <row r="18" spans="1:74" x14ac:dyDescent="0.25">
      <c r="A18" s="442"/>
      <c r="B18" s="586" t="s">
        <v>1043</v>
      </c>
      <c r="C18" s="192" t="s">
        <v>684</v>
      </c>
      <c r="D18" s="186" t="s">
        <v>634</v>
      </c>
      <c r="E18" s="200">
        <v>500000</v>
      </c>
      <c r="F18" s="427">
        <f t="shared" si="23"/>
        <v>108</v>
      </c>
      <c r="G18" s="446">
        <f t="shared" si="23"/>
        <v>54000000</v>
      </c>
      <c r="H18" s="440">
        <f>G18*0</f>
        <v>0</v>
      </c>
      <c r="I18" s="440">
        <f t="shared" si="2"/>
        <v>43200000</v>
      </c>
      <c r="J18" s="440"/>
      <c r="K18" s="440"/>
      <c r="L18" s="440"/>
      <c r="M18" s="440"/>
      <c r="N18" s="440"/>
      <c r="O18" s="441"/>
      <c r="P18" s="441">
        <f>G18*0.2</f>
        <v>10800000</v>
      </c>
      <c r="Q18" s="231"/>
      <c r="R18" s="445">
        <f>F18*0.25</f>
        <v>27</v>
      </c>
      <c r="S18" s="254">
        <f>F18*0.25</f>
        <v>27</v>
      </c>
      <c r="T18" s="254">
        <f>F18*0.25</f>
        <v>27</v>
      </c>
      <c r="U18" s="254">
        <f>F18*0.25</f>
        <v>27</v>
      </c>
      <c r="V18" s="188">
        <f>R18*E18</f>
        <v>13500000</v>
      </c>
      <c r="W18" s="188">
        <f>S18*E18</f>
        <v>13500000</v>
      </c>
      <c r="X18" s="188">
        <f>T18*E18</f>
        <v>13500000</v>
      </c>
      <c r="Y18" s="188">
        <f>U18*E18</f>
        <v>13500000</v>
      </c>
      <c r="Z18" s="8">
        <v>7</v>
      </c>
      <c r="AA18" s="188">
        <f t="shared" si="5"/>
        <v>3500000</v>
      </c>
      <c r="AB18" s="443">
        <v>1</v>
      </c>
      <c r="AC18" s="188">
        <f t="shared" si="6"/>
        <v>500000</v>
      </c>
      <c r="AD18" s="443">
        <v>7</v>
      </c>
      <c r="AE18" s="188">
        <f t="shared" si="7"/>
        <v>3500000</v>
      </c>
      <c r="AF18" s="443">
        <v>10</v>
      </c>
      <c r="AG18" s="188">
        <f t="shared" si="8"/>
        <v>5000000</v>
      </c>
      <c r="AH18" s="443">
        <v>8</v>
      </c>
      <c r="AI18" s="188">
        <f t="shared" si="9"/>
        <v>4000000</v>
      </c>
      <c r="AJ18" s="443">
        <v>10</v>
      </c>
      <c r="AK18" s="188">
        <f t="shared" si="10"/>
        <v>5000000</v>
      </c>
      <c r="AL18" s="443">
        <v>8</v>
      </c>
      <c r="AM18" s="188">
        <f t="shared" si="11"/>
        <v>4000000</v>
      </c>
      <c r="AN18" s="443">
        <v>2</v>
      </c>
      <c r="AO18" s="188">
        <f t="shared" si="12"/>
        <v>1000000</v>
      </c>
      <c r="AP18" s="443">
        <v>2</v>
      </c>
      <c r="AQ18" s="188">
        <f t="shared" si="13"/>
        <v>1000000</v>
      </c>
      <c r="AR18" s="443">
        <v>13</v>
      </c>
      <c r="AS18" s="188">
        <f t="shared" si="24"/>
        <v>6500000</v>
      </c>
      <c r="AT18" s="443">
        <v>13</v>
      </c>
      <c r="AU18" s="188">
        <f t="shared" si="14"/>
        <v>6500000</v>
      </c>
      <c r="AV18" s="443">
        <v>3</v>
      </c>
      <c r="AW18" s="188">
        <f t="shared" si="15"/>
        <v>1500000</v>
      </c>
      <c r="AX18" s="443">
        <v>2</v>
      </c>
      <c r="AY18" s="188">
        <f t="shared" si="16"/>
        <v>1000000</v>
      </c>
      <c r="AZ18" s="443">
        <v>12</v>
      </c>
      <c r="BA18" s="188">
        <f t="shared" si="17"/>
        <v>6000000</v>
      </c>
      <c r="BB18" s="443">
        <v>2</v>
      </c>
      <c r="BC18" s="188">
        <f t="shared" si="25"/>
        <v>1000000</v>
      </c>
      <c r="BD18" s="443">
        <v>8</v>
      </c>
      <c r="BE18" s="188">
        <f t="shared" si="18"/>
        <v>4000000</v>
      </c>
      <c r="BF18" s="443">
        <v>0</v>
      </c>
      <c r="BG18" s="188">
        <f t="shared" si="19"/>
        <v>0</v>
      </c>
      <c r="BH18" s="443"/>
      <c r="BI18" s="188">
        <f t="shared" si="20"/>
        <v>0</v>
      </c>
      <c r="BJ18" s="8">
        <f t="shared" si="3"/>
        <v>108</v>
      </c>
      <c r="BK18" s="439">
        <f t="shared" si="3"/>
        <v>54000000</v>
      </c>
      <c r="BL18" s="186" t="s">
        <v>214</v>
      </c>
      <c r="BN18" s="190"/>
      <c r="BO18" s="444"/>
      <c r="BP18" s="444">
        <f>BK18</f>
        <v>54000000</v>
      </c>
      <c r="BQ18" s="444"/>
      <c r="BR18" s="190">
        <f t="shared" si="21"/>
        <v>54000000</v>
      </c>
      <c r="BS18" s="190"/>
      <c r="BT18" s="190"/>
      <c r="BU18" s="190"/>
      <c r="BV18" s="167">
        <f t="shared" si="4"/>
        <v>54000000</v>
      </c>
    </row>
    <row r="19" spans="1:74" ht="31.5" x14ac:dyDescent="0.25">
      <c r="A19" s="442"/>
      <c r="B19" s="586" t="s">
        <v>1044</v>
      </c>
      <c r="C19" s="199" t="s">
        <v>984</v>
      </c>
      <c r="D19" s="186" t="s">
        <v>634</v>
      </c>
      <c r="E19" s="200">
        <v>250000</v>
      </c>
      <c r="F19" s="427">
        <f t="shared" si="23"/>
        <v>62</v>
      </c>
      <c r="G19" s="427">
        <f t="shared" si="23"/>
        <v>15800000</v>
      </c>
      <c r="H19" s="440">
        <f>G19*0</f>
        <v>0</v>
      </c>
      <c r="I19" s="440">
        <f t="shared" si="2"/>
        <v>12640000</v>
      </c>
      <c r="J19" s="440"/>
      <c r="K19" s="440"/>
      <c r="L19" s="440"/>
      <c r="M19" s="440"/>
      <c r="N19" s="440"/>
      <c r="O19" s="441"/>
      <c r="P19" s="441">
        <f>G19*0.2</f>
        <v>3160000</v>
      </c>
      <c r="Q19" s="231"/>
      <c r="R19" s="445"/>
      <c r="S19" s="254"/>
      <c r="T19" s="254"/>
      <c r="U19" s="254"/>
      <c r="V19" s="188"/>
      <c r="W19" s="188"/>
      <c r="X19" s="188"/>
      <c r="Y19" s="188"/>
      <c r="Z19" s="8">
        <v>7</v>
      </c>
      <c r="AA19" s="188">
        <f t="shared" si="5"/>
        <v>1750000</v>
      </c>
      <c r="AB19" s="443">
        <v>2</v>
      </c>
      <c r="AC19" s="188">
        <f>(AB19*E19)+300000</f>
        <v>800000</v>
      </c>
      <c r="AD19" s="443">
        <v>8</v>
      </c>
      <c r="AE19" s="188">
        <f t="shared" si="7"/>
        <v>2000000</v>
      </c>
      <c r="AF19" s="443">
        <v>5</v>
      </c>
      <c r="AG19" s="188">
        <f t="shared" si="8"/>
        <v>1250000</v>
      </c>
      <c r="AH19" s="443">
        <v>4</v>
      </c>
      <c r="AI19" s="188">
        <f t="shared" si="9"/>
        <v>1000000</v>
      </c>
      <c r="AJ19" s="443">
        <v>3</v>
      </c>
      <c r="AK19" s="188">
        <f t="shared" si="10"/>
        <v>750000</v>
      </c>
      <c r="AL19" s="443">
        <v>2</v>
      </c>
      <c r="AM19" s="188">
        <f t="shared" si="11"/>
        <v>500000</v>
      </c>
      <c r="AN19" s="443">
        <v>5</v>
      </c>
      <c r="AO19" s="188">
        <f t="shared" si="12"/>
        <v>1250000</v>
      </c>
      <c r="AP19" s="443">
        <v>2</v>
      </c>
      <c r="AQ19" s="188">
        <f t="shared" si="13"/>
        <v>500000</v>
      </c>
      <c r="AR19" s="443">
        <v>4</v>
      </c>
      <c r="AS19" s="188">
        <f t="shared" si="24"/>
        <v>1000000</v>
      </c>
      <c r="AT19" s="443">
        <v>3</v>
      </c>
      <c r="AU19" s="188">
        <f t="shared" si="14"/>
        <v>750000</v>
      </c>
      <c r="AV19" s="443">
        <v>3</v>
      </c>
      <c r="AW19" s="188">
        <f t="shared" si="15"/>
        <v>750000</v>
      </c>
      <c r="AX19" s="443">
        <v>2</v>
      </c>
      <c r="AY19" s="188">
        <f t="shared" si="16"/>
        <v>500000</v>
      </c>
      <c r="AZ19" s="443">
        <v>2</v>
      </c>
      <c r="BA19" s="188">
        <f t="shared" si="17"/>
        <v>500000</v>
      </c>
      <c r="BB19" s="443">
        <v>5</v>
      </c>
      <c r="BC19" s="188">
        <f t="shared" si="25"/>
        <v>1250000</v>
      </c>
      <c r="BD19" s="443">
        <v>2</v>
      </c>
      <c r="BE19" s="188">
        <f t="shared" si="18"/>
        <v>500000</v>
      </c>
      <c r="BF19" s="443">
        <v>3</v>
      </c>
      <c r="BG19" s="188">
        <f t="shared" si="19"/>
        <v>750000</v>
      </c>
      <c r="BH19" s="443"/>
      <c r="BI19" s="188"/>
      <c r="BJ19" s="8">
        <f t="shared" si="3"/>
        <v>62</v>
      </c>
      <c r="BK19" s="439">
        <f t="shared" si="3"/>
        <v>15800000</v>
      </c>
      <c r="BL19" s="186" t="s">
        <v>214</v>
      </c>
      <c r="BN19" s="190"/>
      <c r="BO19" s="444"/>
      <c r="BP19" s="444">
        <f>G19</f>
        <v>15800000</v>
      </c>
      <c r="BQ19" s="444"/>
      <c r="BR19" s="190"/>
      <c r="BS19" s="190"/>
      <c r="BT19" s="190"/>
      <c r="BU19" s="190"/>
      <c r="BV19" s="167"/>
    </row>
    <row r="20" spans="1:74" s="180" customFormat="1" hidden="1" x14ac:dyDescent="0.25">
      <c r="A20" s="442"/>
      <c r="B20" s="442"/>
      <c r="C20" s="185" t="s">
        <v>368</v>
      </c>
      <c r="D20" s="204" t="s">
        <v>111</v>
      </c>
      <c r="E20" s="205"/>
      <c r="F20" s="447">
        <f t="shared" ref="F20" si="26">F18+F17+F13+F12+F19+F15+F16</f>
        <v>271</v>
      </c>
      <c r="G20" s="447">
        <f>G18+G17+G13+G12+G19+G15+G16</f>
        <v>76560000</v>
      </c>
      <c r="H20" s="447">
        <f t="shared" ref="H20:BI20" si="27">H18+H17+H13+H12+H19+H15+H16</f>
        <v>0</v>
      </c>
      <c r="I20" s="447">
        <f t="shared" si="27"/>
        <v>61248000</v>
      </c>
      <c r="J20" s="447">
        <f t="shared" si="27"/>
        <v>0</v>
      </c>
      <c r="K20" s="447">
        <f t="shared" si="27"/>
        <v>0</v>
      </c>
      <c r="L20" s="447">
        <f t="shared" si="27"/>
        <v>0</v>
      </c>
      <c r="M20" s="447">
        <f t="shared" si="27"/>
        <v>0</v>
      </c>
      <c r="N20" s="447">
        <f t="shared" si="27"/>
        <v>0</v>
      </c>
      <c r="O20" s="447">
        <f t="shared" si="27"/>
        <v>0</v>
      </c>
      <c r="P20" s="447">
        <f t="shared" si="27"/>
        <v>15312000</v>
      </c>
      <c r="Q20" s="447">
        <f t="shared" si="27"/>
        <v>0</v>
      </c>
      <c r="R20" s="447">
        <f t="shared" si="27"/>
        <v>27</v>
      </c>
      <c r="S20" s="447">
        <f t="shared" si="27"/>
        <v>27</v>
      </c>
      <c r="T20" s="447">
        <f t="shared" si="27"/>
        <v>27</v>
      </c>
      <c r="U20" s="447">
        <f t="shared" si="27"/>
        <v>27</v>
      </c>
      <c r="V20" s="447">
        <f t="shared" si="27"/>
        <v>13500000</v>
      </c>
      <c r="W20" s="447">
        <f t="shared" si="27"/>
        <v>13500000</v>
      </c>
      <c r="X20" s="447">
        <f t="shared" si="27"/>
        <v>13500000</v>
      </c>
      <c r="Y20" s="447">
        <f t="shared" si="27"/>
        <v>13500000</v>
      </c>
      <c r="Z20" s="447">
        <f t="shared" si="27"/>
        <v>17</v>
      </c>
      <c r="AA20" s="447">
        <f t="shared" si="27"/>
        <v>5590000</v>
      </c>
      <c r="AB20" s="447">
        <f t="shared" si="27"/>
        <v>24</v>
      </c>
      <c r="AC20" s="447">
        <f t="shared" si="27"/>
        <v>2000000</v>
      </c>
      <c r="AD20" s="447">
        <f t="shared" si="27"/>
        <v>16</v>
      </c>
      <c r="AE20" s="447">
        <f t="shared" si="27"/>
        <v>5800000</v>
      </c>
      <c r="AF20" s="447">
        <f t="shared" si="27"/>
        <v>26</v>
      </c>
      <c r="AG20" s="447">
        <f t="shared" si="27"/>
        <v>6750000</v>
      </c>
      <c r="AH20" s="447">
        <f t="shared" si="27"/>
        <v>13</v>
      </c>
      <c r="AI20" s="447">
        <f t="shared" si="27"/>
        <v>5300000</v>
      </c>
      <c r="AJ20" s="447">
        <f t="shared" si="27"/>
        <v>14</v>
      </c>
      <c r="AK20" s="447">
        <f t="shared" si="27"/>
        <v>6050000</v>
      </c>
      <c r="AL20" s="447">
        <f t="shared" si="27"/>
        <v>11</v>
      </c>
      <c r="AM20" s="447">
        <f t="shared" si="27"/>
        <v>4800000</v>
      </c>
      <c r="AN20" s="447">
        <f t="shared" si="27"/>
        <v>28</v>
      </c>
      <c r="AO20" s="447">
        <f t="shared" si="27"/>
        <v>3050000</v>
      </c>
      <c r="AP20" s="447">
        <f t="shared" si="27"/>
        <v>5</v>
      </c>
      <c r="AQ20" s="447">
        <f t="shared" si="27"/>
        <v>1800000</v>
      </c>
      <c r="AR20" s="447">
        <f t="shared" si="27"/>
        <v>18</v>
      </c>
      <c r="AS20" s="447">
        <f t="shared" si="27"/>
        <v>7800000</v>
      </c>
      <c r="AT20" s="447">
        <f t="shared" si="27"/>
        <v>24</v>
      </c>
      <c r="AU20" s="447">
        <f t="shared" si="27"/>
        <v>7690000</v>
      </c>
      <c r="AV20" s="447">
        <f t="shared" si="27"/>
        <v>17</v>
      </c>
      <c r="AW20" s="447">
        <f t="shared" si="27"/>
        <v>2750000</v>
      </c>
      <c r="AX20" s="447">
        <f t="shared" si="27"/>
        <v>5</v>
      </c>
      <c r="AY20" s="447">
        <f t="shared" si="27"/>
        <v>1800000</v>
      </c>
      <c r="AZ20" s="447">
        <f t="shared" si="27"/>
        <v>20</v>
      </c>
      <c r="BA20" s="447">
        <f t="shared" si="27"/>
        <v>6900000</v>
      </c>
      <c r="BB20" s="447">
        <f t="shared" si="27"/>
        <v>18</v>
      </c>
      <c r="BC20" s="447">
        <f t="shared" si="27"/>
        <v>2630000</v>
      </c>
      <c r="BD20" s="447">
        <f t="shared" si="27"/>
        <v>11</v>
      </c>
      <c r="BE20" s="447">
        <f t="shared" si="27"/>
        <v>4800000</v>
      </c>
      <c r="BF20" s="447">
        <f t="shared" si="27"/>
        <v>4</v>
      </c>
      <c r="BG20" s="447">
        <f t="shared" si="27"/>
        <v>1050000</v>
      </c>
      <c r="BH20" s="447">
        <f t="shared" si="27"/>
        <v>0</v>
      </c>
      <c r="BI20" s="447">
        <f t="shared" si="27"/>
        <v>0</v>
      </c>
      <c r="BJ20" s="447">
        <f t="shared" ref="BJ20:BQ20" si="28">BJ18+BJ17+BJ13+BJ12+BJ19+BJ15+BJ16</f>
        <v>271</v>
      </c>
      <c r="BK20" s="447">
        <f t="shared" si="28"/>
        <v>76560000</v>
      </c>
      <c r="BL20" s="447"/>
      <c r="BM20" s="447">
        <f t="shared" si="28"/>
        <v>0</v>
      </c>
      <c r="BN20" s="447">
        <f t="shared" si="28"/>
        <v>0</v>
      </c>
      <c r="BO20" s="447">
        <f t="shared" si="28"/>
        <v>0</v>
      </c>
      <c r="BP20" s="447">
        <f t="shared" si="28"/>
        <v>76560000</v>
      </c>
      <c r="BQ20" s="447">
        <f t="shared" si="28"/>
        <v>0</v>
      </c>
      <c r="BR20" s="447">
        <f t="shared" ref="BR20:BV20" si="29">BR18+BR17+BR13+BR12+BR19+BR15+BR16</f>
        <v>54000000</v>
      </c>
      <c r="BS20" s="447">
        <f t="shared" si="29"/>
        <v>0</v>
      </c>
      <c r="BT20" s="447">
        <f t="shared" si="29"/>
        <v>0</v>
      </c>
      <c r="BU20" s="447">
        <f t="shared" si="29"/>
        <v>0</v>
      </c>
      <c r="BV20" s="447">
        <f t="shared" si="29"/>
        <v>54000000</v>
      </c>
    </row>
    <row r="21" spans="1:74" hidden="1" x14ac:dyDescent="0.25">
      <c r="A21" s="442"/>
      <c r="B21" s="442"/>
      <c r="C21" s="185" t="s">
        <v>369</v>
      </c>
      <c r="D21" s="186"/>
      <c r="E21" s="186"/>
      <c r="F21" s="427"/>
      <c r="G21" s="440"/>
      <c r="H21" s="440">
        <f>G21*0.1</f>
        <v>0</v>
      </c>
      <c r="I21" s="440">
        <f t="shared" ref="I21:I26" si="30">G21*0.8</f>
        <v>0</v>
      </c>
      <c r="J21" s="440"/>
      <c r="K21" s="440"/>
      <c r="L21" s="440"/>
      <c r="M21" s="440"/>
      <c r="N21" s="440"/>
      <c r="O21" s="441"/>
      <c r="P21" s="441">
        <f>G21*0.1</f>
        <v>0</v>
      </c>
      <c r="Q21" s="231"/>
      <c r="R21" s="445"/>
      <c r="S21" s="254"/>
      <c r="T21" s="254"/>
      <c r="U21" s="254"/>
      <c r="V21" s="188"/>
      <c r="W21" s="188"/>
      <c r="X21" s="188"/>
      <c r="Y21" s="188"/>
      <c r="Z21" s="8"/>
      <c r="AA21" s="188">
        <f t="shared" si="5"/>
        <v>0</v>
      </c>
      <c r="AB21" s="443"/>
      <c r="AC21" s="188">
        <f t="shared" si="6"/>
        <v>0</v>
      </c>
      <c r="AD21" s="443"/>
      <c r="AE21" s="188">
        <f t="shared" si="7"/>
        <v>0</v>
      </c>
      <c r="AF21" s="443"/>
      <c r="AG21" s="188">
        <f t="shared" si="8"/>
        <v>0</v>
      </c>
      <c r="AH21" s="443"/>
      <c r="AI21" s="188">
        <f t="shared" si="9"/>
        <v>0</v>
      </c>
      <c r="AJ21" s="443"/>
      <c r="AK21" s="188">
        <f t="shared" si="10"/>
        <v>0</v>
      </c>
      <c r="AL21" s="443"/>
      <c r="AM21" s="188">
        <f t="shared" si="11"/>
        <v>0</v>
      </c>
      <c r="AN21" s="443"/>
      <c r="AO21" s="188">
        <f t="shared" si="12"/>
        <v>0</v>
      </c>
      <c r="AP21" s="443"/>
      <c r="AQ21" s="188">
        <f t="shared" si="13"/>
        <v>0</v>
      </c>
      <c r="AR21" s="443"/>
      <c r="AS21" s="188">
        <f t="shared" si="24"/>
        <v>0</v>
      </c>
      <c r="AT21" s="443"/>
      <c r="AU21" s="188">
        <f t="shared" si="14"/>
        <v>0</v>
      </c>
      <c r="AV21" s="443"/>
      <c r="AW21" s="188">
        <f t="shared" si="15"/>
        <v>0</v>
      </c>
      <c r="AX21" s="443"/>
      <c r="AY21" s="188">
        <f t="shared" si="16"/>
        <v>0</v>
      </c>
      <c r="AZ21" s="443"/>
      <c r="BA21" s="188">
        <f t="shared" si="17"/>
        <v>0</v>
      </c>
      <c r="BB21" s="443"/>
      <c r="BC21" s="188">
        <f t="shared" si="25"/>
        <v>0</v>
      </c>
      <c r="BD21" s="443"/>
      <c r="BE21" s="188">
        <f t="shared" si="18"/>
        <v>0</v>
      </c>
      <c r="BF21" s="443"/>
      <c r="BG21" s="188">
        <f t="shared" si="19"/>
        <v>0</v>
      </c>
      <c r="BH21" s="443"/>
      <c r="BI21" s="188">
        <f t="shared" si="20"/>
        <v>0</v>
      </c>
      <c r="BJ21" s="8">
        <f t="shared" ref="BJ21:BK36" si="31">Z21+AB21+AD21+AF21+AH21+AJ21+AL21+AN21+AP21+AR21+AT21+AV21+AX21+AZ21+BB21+BD21+BF21+BH21</f>
        <v>0</v>
      </c>
      <c r="BK21" s="439">
        <f t="shared" si="31"/>
        <v>0</v>
      </c>
      <c r="BL21" s="186"/>
      <c r="BN21" s="190">
        <f>G21</f>
        <v>0</v>
      </c>
      <c r="BO21" s="444"/>
      <c r="BP21" s="444"/>
      <c r="BQ21" s="444"/>
      <c r="BR21" s="190">
        <f t="shared" si="21"/>
        <v>0</v>
      </c>
      <c r="BS21" s="190"/>
      <c r="BT21" s="190"/>
      <c r="BU21" s="190"/>
      <c r="BV21" s="167">
        <f t="shared" si="4"/>
        <v>0</v>
      </c>
    </row>
    <row r="22" spans="1:74" x14ac:dyDescent="0.25">
      <c r="A22" s="442"/>
      <c r="B22" s="586" t="s">
        <v>1045</v>
      </c>
      <c r="C22" s="199" t="s">
        <v>685</v>
      </c>
      <c r="D22" s="186" t="s">
        <v>16</v>
      </c>
      <c r="E22" s="193">
        <v>20000</v>
      </c>
      <c r="F22" s="427">
        <f t="shared" ref="F22:G36" si="32">BJ22</f>
        <v>43</v>
      </c>
      <c r="G22" s="440">
        <f>F22*E22</f>
        <v>860000</v>
      </c>
      <c r="H22" s="440">
        <f>G22*0.2</f>
        <v>172000</v>
      </c>
      <c r="I22" s="440">
        <f t="shared" si="30"/>
        <v>688000</v>
      </c>
      <c r="J22" s="440"/>
      <c r="K22" s="440"/>
      <c r="L22" s="440"/>
      <c r="M22" s="440"/>
      <c r="N22" s="440"/>
      <c r="O22" s="441"/>
      <c r="P22" s="441">
        <f>G22*0</f>
        <v>0</v>
      </c>
      <c r="Q22" s="231"/>
      <c r="R22" s="445"/>
      <c r="S22" s="254">
        <f>F22*0.4</f>
        <v>17.2</v>
      </c>
      <c r="T22" s="254">
        <f>F22*0.3</f>
        <v>12.9</v>
      </c>
      <c r="U22" s="254">
        <f>F22*0.3</f>
        <v>12.9</v>
      </c>
      <c r="V22" s="188"/>
      <c r="W22" s="188">
        <f t="shared" ref="W22:W35" si="33">S22*E22</f>
        <v>344000</v>
      </c>
      <c r="X22" s="188">
        <f t="shared" ref="X22:X35" si="34">T22*E22</f>
        <v>258000</v>
      </c>
      <c r="Y22" s="188">
        <f t="shared" ref="Y22:Y35" si="35">U22*E22</f>
        <v>258000</v>
      </c>
      <c r="Z22" s="8">
        <v>2</v>
      </c>
      <c r="AA22" s="188">
        <f t="shared" si="5"/>
        <v>40000</v>
      </c>
      <c r="AB22" s="443">
        <v>1</v>
      </c>
      <c r="AC22" s="188">
        <f t="shared" si="6"/>
        <v>20000</v>
      </c>
      <c r="AD22" s="443">
        <v>6</v>
      </c>
      <c r="AE22" s="188">
        <f t="shared" si="7"/>
        <v>120000</v>
      </c>
      <c r="AF22" s="443">
        <v>2</v>
      </c>
      <c r="AG22" s="188">
        <f t="shared" si="8"/>
        <v>40000</v>
      </c>
      <c r="AH22" s="443">
        <v>0</v>
      </c>
      <c r="AI22" s="188">
        <f t="shared" si="9"/>
        <v>0</v>
      </c>
      <c r="AJ22" s="443">
        <v>0</v>
      </c>
      <c r="AK22" s="188">
        <f t="shared" si="10"/>
        <v>0</v>
      </c>
      <c r="AL22" s="443">
        <v>5</v>
      </c>
      <c r="AM22" s="188">
        <f t="shared" si="11"/>
        <v>100000</v>
      </c>
      <c r="AN22" s="443">
        <v>0</v>
      </c>
      <c r="AO22" s="188">
        <f t="shared" si="12"/>
        <v>0</v>
      </c>
      <c r="AP22" s="443">
        <v>1</v>
      </c>
      <c r="AQ22" s="188">
        <f t="shared" si="13"/>
        <v>20000</v>
      </c>
      <c r="AR22" s="443">
        <v>1</v>
      </c>
      <c r="AS22" s="188">
        <f t="shared" si="24"/>
        <v>20000</v>
      </c>
      <c r="AT22" s="443">
        <v>2</v>
      </c>
      <c r="AU22" s="188">
        <f t="shared" si="14"/>
        <v>40000</v>
      </c>
      <c r="AV22" s="443">
        <v>5</v>
      </c>
      <c r="AW22" s="188">
        <f t="shared" si="15"/>
        <v>100000</v>
      </c>
      <c r="AX22" s="443">
        <v>0</v>
      </c>
      <c r="AY22" s="188">
        <f t="shared" si="16"/>
        <v>0</v>
      </c>
      <c r="AZ22" s="443">
        <v>2</v>
      </c>
      <c r="BA22" s="188">
        <f t="shared" si="17"/>
        <v>40000</v>
      </c>
      <c r="BB22" s="443">
        <v>1</v>
      </c>
      <c r="BC22" s="188">
        <f t="shared" si="25"/>
        <v>20000</v>
      </c>
      <c r="BD22" s="443">
        <v>5</v>
      </c>
      <c r="BE22" s="188">
        <f t="shared" si="18"/>
        <v>100000</v>
      </c>
      <c r="BF22" s="443">
        <v>10</v>
      </c>
      <c r="BG22" s="188">
        <f t="shared" si="19"/>
        <v>200000</v>
      </c>
      <c r="BH22" s="443"/>
      <c r="BI22" s="188">
        <f t="shared" si="20"/>
        <v>0</v>
      </c>
      <c r="BJ22" s="8">
        <f t="shared" si="31"/>
        <v>43</v>
      </c>
      <c r="BK22" s="439">
        <f t="shared" si="31"/>
        <v>860000</v>
      </c>
      <c r="BL22" s="186" t="s">
        <v>609</v>
      </c>
      <c r="BN22" s="190"/>
      <c r="BO22" s="444"/>
      <c r="BP22" s="444">
        <f>BK22</f>
        <v>860000</v>
      </c>
      <c r="BQ22" s="444"/>
      <c r="BR22" s="190">
        <f t="shared" si="21"/>
        <v>860000</v>
      </c>
      <c r="BS22" s="190"/>
      <c r="BT22" s="190"/>
      <c r="BU22" s="190"/>
      <c r="BV22" s="167">
        <f t="shared" si="4"/>
        <v>860000</v>
      </c>
    </row>
    <row r="23" spans="1:74" ht="31.5" x14ac:dyDescent="0.25">
      <c r="A23" s="442"/>
      <c r="B23" s="586" t="s">
        <v>1046</v>
      </c>
      <c r="C23" s="199" t="s">
        <v>647</v>
      </c>
      <c r="D23" s="186" t="s">
        <v>16</v>
      </c>
      <c r="E23" s="193">
        <v>150000</v>
      </c>
      <c r="F23" s="427">
        <f t="shared" si="32"/>
        <v>2</v>
      </c>
      <c r="G23" s="440">
        <f>F23*E23</f>
        <v>300000</v>
      </c>
      <c r="H23" s="440">
        <f>G23*0.1</f>
        <v>30000</v>
      </c>
      <c r="I23" s="440">
        <f t="shared" si="30"/>
        <v>240000</v>
      </c>
      <c r="J23" s="440"/>
      <c r="K23" s="440"/>
      <c r="L23" s="440"/>
      <c r="M23" s="440"/>
      <c r="N23" s="440"/>
      <c r="O23" s="441"/>
      <c r="P23" s="440">
        <f>G23*0.1</f>
        <v>30000</v>
      </c>
      <c r="Q23" s="231"/>
      <c r="R23" s="445"/>
      <c r="S23" s="254">
        <v>10</v>
      </c>
      <c r="T23" s="254">
        <v>4</v>
      </c>
      <c r="U23" s="254">
        <v>0</v>
      </c>
      <c r="V23" s="188"/>
      <c r="W23" s="188">
        <f>S23*E23</f>
        <v>1500000</v>
      </c>
      <c r="X23" s="188">
        <f>T23*E23</f>
        <v>600000</v>
      </c>
      <c r="Y23" s="188">
        <v>0</v>
      </c>
      <c r="Z23" s="8">
        <v>0</v>
      </c>
      <c r="AA23" s="188">
        <f t="shared" si="5"/>
        <v>0</v>
      </c>
      <c r="AB23" s="443">
        <v>0</v>
      </c>
      <c r="AC23" s="188">
        <f t="shared" si="6"/>
        <v>0</v>
      </c>
      <c r="AD23" s="443">
        <v>1</v>
      </c>
      <c r="AE23" s="188">
        <f t="shared" si="7"/>
        <v>150000</v>
      </c>
      <c r="AF23" s="443">
        <v>0</v>
      </c>
      <c r="AG23" s="188">
        <f t="shared" si="8"/>
        <v>0</v>
      </c>
      <c r="AH23" s="443">
        <v>0</v>
      </c>
      <c r="AI23" s="188">
        <f t="shared" si="9"/>
        <v>0</v>
      </c>
      <c r="AJ23" s="443">
        <v>0</v>
      </c>
      <c r="AK23" s="188">
        <f t="shared" si="10"/>
        <v>0</v>
      </c>
      <c r="AL23" s="443"/>
      <c r="AM23" s="188"/>
      <c r="AN23" s="443">
        <v>0</v>
      </c>
      <c r="AO23" s="188">
        <f t="shared" si="12"/>
        <v>0</v>
      </c>
      <c r="AP23" s="443">
        <v>0</v>
      </c>
      <c r="AQ23" s="188">
        <f t="shared" si="13"/>
        <v>0</v>
      </c>
      <c r="AR23" s="443">
        <v>0</v>
      </c>
      <c r="AS23" s="188">
        <f t="shared" si="24"/>
        <v>0</v>
      </c>
      <c r="AT23" s="443"/>
      <c r="AU23" s="188"/>
      <c r="AV23" s="443">
        <v>0</v>
      </c>
      <c r="AW23" s="188">
        <f t="shared" si="15"/>
        <v>0</v>
      </c>
      <c r="AX23" s="443">
        <v>0</v>
      </c>
      <c r="AY23" s="188">
        <f t="shared" si="16"/>
        <v>0</v>
      </c>
      <c r="AZ23" s="443">
        <v>0</v>
      </c>
      <c r="BA23" s="188">
        <f t="shared" si="17"/>
        <v>0</v>
      </c>
      <c r="BB23" s="443">
        <v>0</v>
      </c>
      <c r="BC23" s="188">
        <f t="shared" si="25"/>
        <v>0</v>
      </c>
      <c r="BD23" s="443">
        <v>1</v>
      </c>
      <c r="BE23" s="188">
        <f t="shared" si="18"/>
        <v>150000</v>
      </c>
      <c r="BF23" s="443"/>
      <c r="BG23" s="188"/>
      <c r="BH23" s="443"/>
      <c r="BI23" s="188"/>
      <c r="BJ23" s="8">
        <f t="shared" si="31"/>
        <v>2</v>
      </c>
      <c r="BK23" s="439">
        <f t="shared" si="31"/>
        <v>300000</v>
      </c>
      <c r="BL23" s="448" t="s">
        <v>610</v>
      </c>
      <c r="BN23" s="190"/>
      <c r="BO23" s="444"/>
      <c r="BP23" s="444">
        <f>BK23</f>
        <v>300000</v>
      </c>
      <c r="BQ23" s="444"/>
      <c r="BR23" s="190">
        <f t="shared" si="21"/>
        <v>300000</v>
      </c>
      <c r="BS23" s="190"/>
      <c r="BT23" s="190"/>
      <c r="BU23" s="190"/>
      <c r="BV23" s="167">
        <f t="shared" si="4"/>
        <v>300000</v>
      </c>
    </row>
    <row r="24" spans="1:74" ht="31.5" x14ac:dyDescent="0.25">
      <c r="A24" s="442"/>
      <c r="B24" s="586" t="s">
        <v>1047</v>
      </c>
      <c r="C24" s="192" t="s">
        <v>641</v>
      </c>
      <c r="D24" s="186" t="s">
        <v>239</v>
      </c>
      <c r="E24" s="193">
        <v>50000</v>
      </c>
      <c r="F24" s="427">
        <f t="shared" si="32"/>
        <v>0</v>
      </c>
      <c r="G24" s="440">
        <f>BK24</f>
        <v>0</v>
      </c>
      <c r="H24" s="440">
        <f>G24*0.1</f>
        <v>0</v>
      </c>
      <c r="I24" s="440">
        <f t="shared" si="30"/>
        <v>0</v>
      </c>
      <c r="J24" s="440"/>
      <c r="K24" s="440"/>
      <c r="L24" s="440"/>
      <c r="M24" s="440"/>
      <c r="N24" s="440"/>
      <c r="O24" s="441"/>
      <c r="P24" s="440">
        <f>G24*0.1</f>
        <v>0</v>
      </c>
      <c r="Q24" s="231"/>
      <c r="R24" s="445"/>
      <c r="S24" s="254">
        <v>6</v>
      </c>
      <c r="T24" s="254">
        <v>4</v>
      </c>
      <c r="U24" s="254"/>
      <c r="V24" s="188"/>
      <c r="W24" s="188"/>
      <c r="X24" s="188"/>
      <c r="Y24" s="188"/>
      <c r="Z24" s="8"/>
      <c r="AA24" s="188"/>
      <c r="AB24" s="443">
        <v>0</v>
      </c>
      <c r="AC24" s="188"/>
      <c r="AD24" s="443">
        <v>0</v>
      </c>
      <c r="AE24" s="188">
        <f t="shared" si="7"/>
        <v>0</v>
      </c>
      <c r="AF24" s="443">
        <v>0</v>
      </c>
      <c r="AG24" s="188">
        <f t="shared" si="8"/>
        <v>0</v>
      </c>
      <c r="AH24" s="443">
        <v>0</v>
      </c>
      <c r="AI24" s="188">
        <f t="shared" si="9"/>
        <v>0</v>
      </c>
      <c r="AJ24" s="443">
        <v>0</v>
      </c>
      <c r="AK24" s="188">
        <f t="shared" si="10"/>
        <v>0</v>
      </c>
      <c r="AL24" s="443"/>
      <c r="AM24" s="188"/>
      <c r="AN24" s="443">
        <v>0</v>
      </c>
      <c r="AO24" s="188">
        <f t="shared" si="12"/>
        <v>0</v>
      </c>
      <c r="AP24" s="443"/>
      <c r="AQ24" s="188"/>
      <c r="AR24" s="443"/>
      <c r="AS24" s="188"/>
      <c r="AT24" s="443"/>
      <c r="AU24" s="188"/>
      <c r="AV24" s="443">
        <v>0</v>
      </c>
      <c r="AW24" s="188">
        <f t="shared" si="15"/>
        <v>0</v>
      </c>
      <c r="AX24" s="443">
        <v>0</v>
      </c>
      <c r="AY24" s="188">
        <f t="shared" si="16"/>
        <v>0</v>
      </c>
      <c r="AZ24" s="443">
        <v>0</v>
      </c>
      <c r="BA24" s="188">
        <f t="shared" si="17"/>
        <v>0</v>
      </c>
      <c r="BB24" s="443"/>
      <c r="BC24" s="188"/>
      <c r="BD24" s="443"/>
      <c r="BE24" s="188">
        <f t="shared" si="18"/>
        <v>0</v>
      </c>
      <c r="BF24" s="443"/>
      <c r="BG24" s="188"/>
      <c r="BH24" s="443"/>
      <c r="BI24" s="188"/>
      <c r="BJ24" s="8">
        <f t="shared" ref="BJ24:BJ26" si="36">Z24+AB24+AD24+AF24+AH24+AJ24+AL24+AN24+AP24+AR24+AT24+AV24+AX24+AZ24+BB24+BD24+BF24+BH24</f>
        <v>0</v>
      </c>
      <c r="BK24" s="439">
        <f t="shared" si="31"/>
        <v>0</v>
      </c>
      <c r="BL24" s="448" t="s">
        <v>610</v>
      </c>
      <c r="BN24" s="190"/>
      <c r="BO24" s="444"/>
      <c r="BP24" s="444"/>
      <c r="BQ24" s="444"/>
      <c r="BR24" s="190"/>
      <c r="BS24" s="190"/>
      <c r="BT24" s="190"/>
      <c r="BU24" s="190"/>
      <c r="BV24" s="167"/>
    </row>
    <row r="25" spans="1:74" ht="31.5" x14ac:dyDescent="0.25">
      <c r="A25" s="442"/>
      <c r="B25" s="586" t="s">
        <v>1048</v>
      </c>
      <c r="C25" s="192" t="s">
        <v>642</v>
      </c>
      <c r="D25" s="186" t="s">
        <v>16</v>
      </c>
      <c r="E25" s="193">
        <v>500000</v>
      </c>
      <c r="F25" s="427">
        <f t="shared" si="32"/>
        <v>0</v>
      </c>
      <c r="G25" s="440">
        <f>F25*E25</f>
        <v>0</v>
      </c>
      <c r="H25" s="440">
        <f>G25*0.1</f>
        <v>0</v>
      </c>
      <c r="I25" s="440">
        <f t="shared" si="30"/>
        <v>0</v>
      </c>
      <c r="J25" s="440"/>
      <c r="K25" s="440"/>
      <c r="L25" s="440"/>
      <c r="M25" s="440"/>
      <c r="N25" s="440"/>
      <c r="O25" s="441"/>
      <c r="P25" s="440">
        <f>G25*0.1</f>
        <v>0</v>
      </c>
      <c r="Q25" s="231"/>
      <c r="R25" s="445"/>
      <c r="S25" s="254">
        <v>2</v>
      </c>
      <c r="T25" s="254"/>
      <c r="U25" s="254"/>
      <c r="V25" s="188"/>
      <c r="W25" s="188"/>
      <c r="X25" s="188"/>
      <c r="Y25" s="188"/>
      <c r="Z25" s="8"/>
      <c r="AA25" s="188"/>
      <c r="AB25" s="443">
        <v>0</v>
      </c>
      <c r="AC25" s="188">
        <f t="shared" si="6"/>
        <v>0</v>
      </c>
      <c r="AD25" s="443">
        <v>0</v>
      </c>
      <c r="AE25" s="188">
        <f t="shared" si="7"/>
        <v>0</v>
      </c>
      <c r="AF25" s="443">
        <v>0</v>
      </c>
      <c r="AG25" s="188">
        <f t="shared" si="8"/>
        <v>0</v>
      </c>
      <c r="AH25" s="443">
        <v>0</v>
      </c>
      <c r="AI25" s="188">
        <f t="shared" si="9"/>
        <v>0</v>
      </c>
      <c r="AJ25" s="443">
        <v>0</v>
      </c>
      <c r="AK25" s="188">
        <f t="shared" si="10"/>
        <v>0</v>
      </c>
      <c r="AL25" s="443">
        <v>0</v>
      </c>
      <c r="AM25" s="188">
        <f t="shared" si="11"/>
        <v>0</v>
      </c>
      <c r="AN25" s="443">
        <v>0</v>
      </c>
      <c r="AO25" s="188">
        <f t="shared" si="12"/>
        <v>0</v>
      </c>
      <c r="AP25" s="443"/>
      <c r="AQ25" s="188"/>
      <c r="AR25" s="443"/>
      <c r="AS25" s="188"/>
      <c r="AT25" s="443"/>
      <c r="AU25" s="188"/>
      <c r="AV25" s="443">
        <v>0</v>
      </c>
      <c r="AW25" s="188">
        <f t="shared" si="15"/>
        <v>0</v>
      </c>
      <c r="AX25" s="443">
        <v>0</v>
      </c>
      <c r="AY25" s="188">
        <f t="shared" si="16"/>
        <v>0</v>
      </c>
      <c r="AZ25" s="443">
        <v>0</v>
      </c>
      <c r="BA25" s="188">
        <f t="shared" si="17"/>
        <v>0</v>
      </c>
      <c r="BB25" s="443"/>
      <c r="BC25" s="188"/>
      <c r="BD25" s="443">
        <v>0</v>
      </c>
      <c r="BE25" s="188">
        <f t="shared" si="18"/>
        <v>0</v>
      </c>
      <c r="BF25" s="443"/>
      <c r="BG25" s="188"/>
      <c r="BH25" s="443"/>
      <c r="BI25" s="188"/>
      <c r="BJ25" s="8">
        <f t="shared" si="36"/>
        <v>0</v>
      </c>
      <c r="BK25" s="439">
        <f t="shared" si="31"/>
        <v>0</v>
      </c>
      <c r="BL25" s="448" t="s">
        <v>610</v>
      </c>
      <c r="BN25" s="190"/>
      <c r="BO25" s="444"/>
      <c r="BP25" s="444"/>
      <c r="BQ25" s="444"/>
      <c r="BR25" s="190"/>
      <c r="BS25" s="190"/>
      <c r="BT25" s="190"/>
      <c r="BU25" s="190"/>
      <c r="BV25" s="167"/>
    </row>
    <row r="26" spans="1:74" ht="31.5" x14ac:dyDescent="0.25">
      <c r="A26" s="442"/>
      <c r="B26" s="586" t="s">
        <v>1049</v>
      </c>
      <c r="C26" s="192" t="s">
        <v>643</v>
      </c>
      <c r="D26" s="186" t="s">
        <v>16</v>
      </c>
      <c r="E26" s="193">
        <v>1000000</v>
      </c>
      <c r="F26" s="427">
        <f t="shared" si="32"/>
        <v>0</v>
      </c>
      <c r="G26" s="440">
        <f>F26*E26</f>
        <v>0</v>
      </c>
      <c r="H26" s="440">
        <f>G26*0.1</f>
        <v>0</v>
      </c>
      <c r="I26" s="440">
        <f t="shared" si="30"/>
        <v>0</v>
      </c>
      <c r="J26" s="440"/>
      <c r="K26" s="440"/>
      <c r="L26" s="440"/>
      <c r="M26" s="440"/>
      <c r="N26" s="440"/>
      <c r="O26" s="441"/>
      <c r="P26" s="440">
        <f>G26*0.1</f>
        <v>0</v>
      </c>
      <c r="Q26" s="231"/>
      <c r="R26" s="445"/>
      <c r="S26" s="254">
        <v>2</v>
      </c>
      <c r="T26" s="254"/>
      <c r="U26" s="254"/>
      <c r="V26" s="188"/>
      <c r="W26" s="188"/>
      <c r="X26" s="188"/>
      <c r="Y26" s="188"/>
      <c r="Z26" s="8"/>
      <c r="AA26" s="188"/>
      <c r="AB26" s="443">
        <v>0</v>
      </c>
      <c r="AC26" s="188"/>
      <c r="AD26" s="443">
        <v>0</v>
      </c>
      <c r="AE26" s="188">
        <f t="shared" si="7"/>
        <v>0</v>
      </c>
      <c r="AF26" s="443">
        <v>0</v>
      </c>
      <c r="AG26" s="188">
        <f t="shared" si="8"/>
        <v>0</v>
      </c>
      <c r="AH26" s="443">
        <v>0</v>
      </c>
      <c r="AI26" s="188">
        <f t="shared" si="9"/>
        <v>0</v>
      </c>
      <c r="AJ26" s="443">
        <v>0</v>
      </c>
      <c r="AK26" s="188">
        <f t="shared" si="10"/>
        <v>0</v>
      </c>
      <c r="AL26" s="443">
        <v>0</v>
      </c>
      <c r="AM26" s="188">
        <f t="shared" si="11"/>
        <v>0</v>
      </c>
      <c r="AN26" s="443">
        <v>0</v>
      </c>
      <c r="AO26" s="188">
        <f t="shared" si="12"/>
        <v>0</v>
      </c>
      <c r="AP26" s="443"/>
      <c r="AQ26" s="188"/>
      <c r="AR26" s="443"/>
      <c r="AS26" s="188"/>
      <c r="AT26" s="443"/>
      <c r="AU26" s="188"/>
      <c r="AV26" s="443">
        <v>0</v>
      </c>
      <c r="AW26" s="188">
        <f t="shared" si="15"/>
        <v>0</v>
      </c>
      <c r="AX26" s="443">
        <v>0</v>
      </c>
      <c r="AY26" s="188">
        <f t="shared" si="16"/>
        <v>0</v>
      </c>
      <c r="AZ26" s="443">
        <v>0</v>
      </c>
      <c r="BA26" s="188">
        <f t="shared" si="17"/>
        <v>0</v>
      </c>
      <c r="BB26" s="443"/>
      <c r="BC26" s="188"/>
      <c r="BD26" s="443">
        <v>0</v>
      </c>
      <c r="BE26" s="188">
        <f t="shared" si="18"/>
        <v>0</v>
      </c>
      <c r="BF26" s="443"/>
      <c r="BG26" s="188"/>
      <c r="BH26" s="443"/>
      <c r="BI26" s="188"/>
      <c r="BJ26" s="8">
        <f t="shared" si="36"/>
        <v>0</v>
      </c>
      <c r="BK26" s="439">
        <f t="shared" si="31"/>
        <v>0</v>
      </c>
      <c r="BL26" s="448" t="s">
        <v>610</v>
      </c>
      <c r="BN26" s="190"/>
      <c r="BO26" s="444"/>
      <c r="BP26" s="444"/>
      <c r="BQ26" s="444"/>
      <c r="BR26" s="190"/>
      <c r="BS26" s="190"/>
      <c r="BT26" s="190"/>
      <c r="BU26" s="190"/>
      <c r="BV26" s="167"/>
    </row>
    <row r="27" spans="1:74" hidden="1" x14ac:dyDescent="0.25">
      <c r="A27" s="442"/>
      <c r="B27" s="586"/>
      <c r="C27" s="192" t="s">
        <v>942</v>
      </c>
      <c r="D27" s="186" t="s">
        <v>239</v>
      </c>
      <c r="E27" s="193">
        <v>20000</v>
      </c>
      <c r="F27" s="427">
        <f t="shared" si="32"/>
        <v>0</v>
      </c>
      <c r="G27" s="440">
        <f>BK27</f>
        <v>0</v>
      </c>
      <c r="H27" s="440"/>
      <c r="I27" s="440"/>
      <c r="J27" s="440"/>
      <c r="K27" s="440"/>
      <c r="L27" s="440">
        <f>G27*1</f>
        <v>0</v>
      </c>
      <c r="M27" s="440"/>
      <c r="N27" s="440"/>
      <c r="O27" s="441"/>
      <c r="P27" s="441"/>
      <c r="Q27" s="231"/>
      <c r="R27" s="445"/>
      <c r="S27" s="254">
        <f>F27*0.4</f>
        <v>0</v>
      </c>
      <c r="T27" s="254">
        <f>F27*0.3</f>
        <v>0</v>
      </c>
      <c r="U27" s="254">
        <f>F27*0.3</f>
        <v>0</v>
      </c>
      <c r="V27" s="188"/>
      <c r="W27" s="188">
        <f t="shared" si="33"/>
        <v>0</v>
      </c>
      <c r="X27" s="188">
        <f t="shared" si="34"/>
        <v>0</v>
      </c>
      <c r="Y27" s="188">
        <f t="shared" si="35"/>
        <v>0</v>
      </c>
      <c r="Z27" s="8">
        <v>0</v>
      </c>
      <c r="AA27" s="188">
        <f t="shared" si="5"/>
        <v>0</v>
      </c>
      <c r="AB27" s="443">
        <v>0</v>
      </c>
      <c r="AC27" s="188">
        <f t="shared" si="6"/>
        <v>0</v>
      </c>
      <c r="AD27" s="443">
        <v>0</v>
      </c>
      <c r="AE27" s="188">
        <f t="shared" si="7"/>
        <v>0</v>
      </c>
      <c r="AF27" s="443">
        <v>0</v>
      </c>
      <c r="AG27" s="188">
        <f t="shared" si="8"/>
        <v>0</v>
      </c>
      <c r="AH27" s="443">
        <v>0</v>
      </c>
      <c r="AI27" s="188">
        <f t="shared" si="9"/>
        <v>0</v>
      </c>
      <c r="AJ27" s="443">
        <v>0</v>
      </c>
      <c r="AK27" s="188">
        <f t="shared" si="10"/>
        <v>0</v>
      </c>
      <c r="AL27" s="443">
        <v>0</v>
      </c>
      <c r="AM27" s="188">
        <v>0</v>
      </c>
      <c r="AN27" s="443">
        <v>0</v>
      </c>
      <c r="AO27" s="188">
        <f t="shared" si="12"/>
        <v>0</v>
      </c>
      <c r="AP27" s="443">
        <v>0</v>
      </c>
      <c r="AQ27" s="188">
        <f t="shared" si="13"/>
        <v>0</v>
      </c>
      <c r="AR27" s="443">
        <v>0</v>
      </c>
      <c r="AS27" s="188">
        <f t="shared" si="24"/>
        <v>0</v>
      </c>
      <c r="AT27" s="443">
        <v>0</v>
      </c>
      <c r="AU27" s="188">
        <f t="shared" si="14"/>
        <v>0</v>
      </c>
      <c r="AV27" s="443">
        <v>0</v>
      </c>
      <c r="AW27" s="188">
        <f t="shared" si="15"/>
        <v>0</v>
      </c>
      <c r="AX27" s="443">
        <v>0</v>
      </c>
      <c r="AY27" s="188">
        <f t="shared" si="16"/>
        <v>0</v>
      </c>
      <c r="AZ27" s="443">
        <v>0</v>
      </c>
      <c r="BA27" s="188">
        <f t="shared" si="17"/>
        <v>0</v>
      </c>
      <c r="BB27" s="443">
        <v>0</v>
      </c>
      <c r="BC27" s="188">
        <f t="shared" si="25"/>
        <v>0</v>
      </c>
      <c r="BD27" s="443">
        <v>0</v>
      </c>
      <c r="BE27" s="188">
        <f t="shared" si="18"/>
        <v>0</v>
      </c>
      <c r="BF27" s="443"/>
      <c r="BG27" s="188">
        <f t="shared" si="19"/>
        <v>0</v>
      </c>
      <c r="BH27" s="443"/>
      <c r="BI27" s="188">
        <f t="shared" si="20"/>
        <v>0</v>
      </c>
      <c r="BJ27" s="8">
        <f t="shared" ref="BJ27:BJ32" si="37">Z27+AB27+AD27+AF27+AH27+AJ27+AL27+AN27+AP27+AR27+AT27+AV27+AX27+AZ27+BB27+BD27+BF27+BH27</f>
        <v>0</v>
      </c>
      <c r="BK27" s="439">
        <f t="shared" si="31"/>
        <v>0</v>
      </c>
      <c r="BL27" s="186" t="s">
        <v>531</v>
      </c>
      <c r="BN27" s="190"/>
      <c r="BO27" s="444"/>
      <c r="BP27" s="444">
        <f>BK27</f>
        <v>0</v>
      </c>
      <c r="BQ27" s="444"/>
      <c r="BR27" s="190">
        <f t="shared" si="21"/>
        <v>0</v>
      </c>
      <c r="BS27" s="190"/>
      <c r="BT27" s="190"/>
      <c r="BU27" s="190"/>
      <c r="BV27" s="167">
        <f t="shared" si="4"/>
        <v>0</v>
      </c>
    </row>
    <row r="28" spans="1:74" hidden="1" x14ac:dyDescent="0.25">
      <c r="A28" s="442"/>
      <c r="B28" s="442"/>
      <c r="C28" s="192" t="s">
        <v>570</v>
      </c>
      <c r="D28" s="186" t="s">
        <v>239</v>
      </c>
      <c r="E28" s="193">
        <v>500000</v>
      </c>
      <c r="F28" s="427">
        <f t="shared" si="32"/>
        <v>0</v>
      </c>
      <c r="G28" s="440">
        <f t="shared" ref="G28:G35" si="38">F28*E28</f>
        <v>0</v>
      </c>
      <c r="H28" s="440"/>
      <c r="I28" s="440"/>
      <c r="J28" s="440"/>
      <c r="K28" s="440"/>
      <c r="L28" s="440">
        <f>G28*1</f>
        <v>0</v>
      </c>
      <c r="M28" s="440"/>
      <c r="N28" s="440"/>
      <c r="O28" s="441"/>
      <c r="P28" s="441"/>
      <c r="Q28" s="231"/>
      <c r="R28" s="445"/>
      <c r="S28" s="254">
        <f>F28*0.4</f>
        <v>0</v>
      </c>
      <c r="T28" s="254">
        <f>F28*0.3</f>
        <v>0</v>
      </c>
      <c r="U28" s="254">
        <f>F28*0.3</f>
        <v>0</v>
      </c>
      <c r="V28" s="188"/>
      <c r="W28" s="188">
        <f t="shared" si="33"/>
        <v>0</v>
      </c>
      <c r="X28" s="188">
        <f t="shared" si="34"/>
        <v>0</v>
      </c>
      <c r="Y28" s="188">
        <f t="shared" si="35"/>
        <v>0</v>
      </c>
      <c r="Z28" s="8">
        <v>0</v>
      </c>
      <c r="AA28" s="188">
        <f t="shared" si="5"/>
        <v>0</v>
      </c>
      <c r="AB28" s="443">
        <v>0</v>
      </c>
      <c r="AC28" s="188">
        <f t="shared" si="6"/>
        <v>0</v>
      </c>
      <c r="AD28" s="443">
        <v>0</v>
      </c>
      <c r="AE28" s="188">
        <f t="shared" si="7"/>
        <v>0</v>
      </c>
      <c r="AF28" s="443">
        <v>0</v>
      </c>
      <c r="AG28" s="188">
        <f t="shared" si="8"/>
        <v>0</v>
      </c>
      <c r="AH28" s="443">
        <v>0</v>
      </c>
      <c r="AI28" s="188">
        <f t="shared" si="9"/>
        <v>0</v>
      </c>
      <c r="AJ28" s="443">
        <v>0</v>
      </c>
      <c r="AK28" s="188">
        <f t="shared" si="10"/>
        <v>0</v>
      </c>
      <c r="AL28" s="443">
        <v>0</v>
      </c>
      <c r="AM28" s="188">
        <f t="shared" si="11"/>
        <v>0</v>
      </c>
      <c r="AN28" s="443">
        <v>0</v>
      </c>
      <c r="AO28" s="188">
        <f t="shared" si="12"/>
        <v>0</v>
      </c>
      <c r="AP28" s="443">
        <v>0</v>
      </c>
      <c r="AQ28" s="188">
        <f t="shared" si="13"/>
        <v>0</v>
      </c>
      <c r="AR28" s="443">
        <v>0</v>
      </c>
      <c r="AS28" s="188">
        <f t="shared" si="24"/>
        <v>0</v>
      </c>
      <c r="AT28" s="443">
        <v>0</v>
      </c>
      <c r="AU28" s="188">
        <f t="shared" si="14"/>
        <v>0</v>
      </c>
      <c r="AV28" s="443">
        <v>0</v>
      </c>
      <c r="AW28" s="188">
        <f t="shared" si="15"/>
        <v>0</v>
      </c>
      <c r="AX28" s="443">
        <v>0</v>
      </c>
      <c r="AY28" s="188">
        <f t="shared" si="16"/>
        <v>0</v>
      </c>
      <c r="AZ28" s="443">
        <v>0</v>
      </c>
      <c r="BA28" s="188">
        <f t="shared" si="17"/>
        <v>0</v>
      </c>
      <c r="BB28" s="443">
        <v>0</v>
      </c>
      <c r="BC28" s="188">
        <f t="shared" si="25"/>
        <v>0</v>
      </c>
      <c r="BD28" s="443">
        <v>0</v>
      </c>
      <c r="BE28" s="188">
        <f t="shared" si="18"/>
        <v>0</v>
      </c>
      <c r="BF28" s="443">
        <v>0</v>
      </c>
      <c r="BG28" s="188">
        <f t="shared" si="19"/>
        <v>0</v>
      </c>
      <c r="BH28" s="443"/>
      <c r="BI28" s="188">
        <f t="shared" si="20"/>
        <v>0</v>
      </c>
      <c r="BJ28" s="8">
        <f t="shared" si="37"/>
        <v>0</v>
      </c>
      <c r="BK28" s="439">
        <f t="shared" si="31"/>
        <v>0</v>
      </c>
      <c r="BL28" s="186" t="s">
        <v>531</v>
      </c>
      <c r="BN28" s="190">
        <f>BK28</f>
        <v>0</v>
      </c>
      <c r="BO28" s="444"/>
      <c r="BP28" s="444"/>
      <c r="BQ28" s="444"/>
      <c r="BR28" s="190">
        <f t="shared" si="21"/>
        <v>0</v>
      </c>
      <c r="BS28" s="190"/>
      <c r="BT28" s="190"/>
      <c r="BU28" s="190"/>
      <c r="BV28" s="167">
        <f t="shared" si="4"/>
        <v>0</v>
      </c>
    </row>
    <row r="29" spans="1:74" ht="31.5" hidden="1" x14ac:dyDescent="0.25">
      <c r="A29" s="442"/>
      <c r="B29" s="442"/>
      <c r="C29" s="199" t="s">
        <v>571</v>
      </c>
      <c r="D29" s="186" t="s">
        <v>239</v>
      </c>
      <c r="E29" s="193">
        <v>250000</v>
      </c>
      <c r="F29" s="427">
        <f t="shared" si="32"/>
        <v>0</v>
      </c>
      <c r="G29" s="440">
        <f t="shared" si="38"/>
        <v>0</v>
      </c>
      <c r="H29" s="440"/>
      <c r="I29" s="440"/>
      <c r="J29" s="440"/>
      <c r="K29" s="440"/>
      <c r="L29" s="440">
        <f>G29*1</f>
        <v>0</v>
      </c>
      <c r="M29" s="440"/>
      <c r="N29" s="440"/>
      <c r="O29" s="441"/>
      <c r="P29" s="441"/>
      <c r="Q29" s="231"/>
      <c r="R29" s="445"/>
      <c r="S29" s="254">
        <f>F29*0.4</f>
        <v>0</v>
      </c>
      <c r="T29" s="254">
        <f>F29*0.3</f>
        <v>0</v>
      </c>
      <c r="U29" s="254">
        <f>F29*0.3</f>
        <v>0</v>
      </c>
      <c r="V29" s="188"/>
      <c r="W29" s="188">
        <f t="shared" si="33"/>
        <v>0</v>
      </c>
      <c r="X29" s="188">
        <f t="shared" si="34"/>
        <v>0</v>
      </c>
      <c r="Y29" s="188">
        <f t="shared" si="35"/>
        <v>0</v>
      </c>
      <c r="Z29" s="8">
        <v>0</v>
      </c>
      <c r="AA29" s="188">
        <f t="shared" si="5"/>
        <v>0</v>
      </c>
      <c r="AB29" s="443">
        <v>0</v>
      </c>
      <c r="AC29" s="188">
        <f t="shared" si="6"/>
        <v>0</v>
      </c>
      <c r="AD29" s="443">
        <v>0</v>
      </c>
      <c r="AE29" s="188">
        <f t="shared" si="7"/>
        <v>0</v>
      </c>
      <c r="AF29" s="443">
        <v>0</v>
      </c>
      <c r="AG29" s="188">
        <f t="shared" si="8"/>
        <v>0</v>
      </c>
      <c r="AH29" s="443">
        <v>0</v>
      </c>
      <c r="AI29" s="188">
        <f t="shared" si="9"/>
        <v>0</v>
      </c>
      <c r="AJ29" s="443">
        <v>0</v>
      </c>
      <c r="AK29" s="188">
        <f t="shared" si="10"/>
        <v>0</v>
      </c>
      <c r="AL29" s="443">
        <v>0</v>
      </c>
      <c r="AM29" s="188">
        <f t="shared" si="11"/>
        <v>0</v>
      </c>
      <c r="AN29" s="443">
        <v>0</v>
      </c>
      <c r="AO29" s="188">
        <f t="shared" si="12"/>
        <v>0</v>
      </c>
      <c r="AP29" s="443">
        <v>0</v>
      </c>
      <c r="AQ29" s="188">
        <f t="shared" si="13"/>
        <v>0</v>
      </c>
      <c r="AR29" s="443">
        <v>0</v>
      </c>
      <c r="AS29" s="188">
        <f t="shared" si="24"/>
        <v>0</v>
      </c>
      <c r="AT29" s="443">
        <v>0</v>
      </c>
      <c r="AU29" s="188">
        <f t="shared" si="14"/>
        <v>0</v>
      </c>
      <c r="AV29" s="443">
        <v>0</v>
      </c>
      <c r="AW29" s="188">
        <f t="shared" si="15"/>
        <v>0</v>
      </c>
      <c r="AX29" s="443">
        <v>0</v>
      </c>
      <c r="AY29" s="188">
        <f t="shared" si="16"/>
        <v>0</v>
      </c>
      <c r="AZ29" s="443">
        <v>0</v>
      </c>
      <c r="BA29" s="188">
        <f t="shared" si="17"/>
        <v>0</v>
      </c>
      <c r="BB29" s="443">
        <v>0</v>
      </c>
      <c r="BC29" s="188">
        <f t="shared" si="25"/>
        <v>0</v>
      </c>
      <c r="BD29" s="443">
        <v>0</v>
      </c>
      <c r="BE29" s="188">
        <f t="shared" si="18"/>
        <v>0</v>
      </c>
      <c r="BF29" s="443">
        <v>0</v>
      </c>
      <c r="BG29" s="188">
        <f t="shared" si="19"/>
        <v>0</v>
      </c>
      <c r="BH29" s="443"/>
      <c r="BI29" s="188">
        <f t="shared" si="20"/>
        <v>0</v>
      </c>
      <c r="BJ29" s="8">
        <f t="shared" si="37"/>
        <v>0</v>
      </c>
      <c r="BK29" s="439">
        <f t="shared" si="31"/>
        <v>0</v>
      </c>
      <c r="BL29" s="186" t="s">
        <v>531</v>
      </c>
      <c r="BN29" s="190">
        <f>BK29</f>
        <v>0</v>
      </c>
      <c r="BO29" s="444"/>
      <c r="BP29" s="444"/>
      <c r="BQ29" s="444"/>
      <c r="BR29" s="190">
        <f t="shared" si="21"/>
        <v>0</v>
      </c>
      <c r="BS29" s="190"/>
      <c r="BT29" s="190"/>
      <c r="BU29" s="190"/>
      <c r="BV29" s="167">
        <f t="shared" si="4"/>
        <v>0</v>
      </c>
    </row>
    <row r="30" spans="1:74" x14ac:dyDescent="0.25">
      <c r="A30" s="442"/>
      <c r="B30" s="586" t="s">
        <v>1050</v>
      </c>
      <c r="C30" s="199" t="s">
        <v>915</v>
      </c>
      <c r="D30" s="186" t="s">
        <v>239</v>
      </c>
      <c r="E30" s="193">
        <v>200000</v>
      </c>
      <c r="F30" s="427">
        <f t="shared" ref="F30:G30" si="39">BJ30</f>
        <v>0</v>
      </c>
      <c r="G30" s="427">
        <f t="shared" si="39"/>
        <v>0</v>
      </c>
      <c r="H30" s="440">
        <f>G30*0</f>
        <v>0</v>
      </c>
      <c r="I30" s="440">
        <f>G30*0.8</f>
        <v>0</v>
      </c>
      <c r="J30" s="440"/>
      <c r="K30" s="440"/>
      <c r="L30" s="440">
        <f>G30*0.2</f>
        <v>0</v>
      </c>
      <c r="M30" s="440"/>
      <c r="N30" s="440"/>
      <c r="O30" s="441"/>
      <c r="P30" s="441"/>
      <c r="Q30" s="231"/>
      <c r="R30" s="445"/>
      <c r="S30" s="254"/>
      <c r="T30" s="254"/>
      <c r="U30" s="254"/>
      <c r="V30" s="188"/>
      <c r="W30" s="188"/>
      <c r="X30" s="188"/>
      <c r="Y30" s="188"/>
      <c r="Z30" s="8"/>
      <c r="AA30" s="188"/>
      <c r="AB30" s="443"/>
      <c r="AC30" s="188"/>
      <c r="AD30" s="443"/>
      <c r="AE30" s="188"/>
      <c r="AF30" s="443">
        <v>0</v>
      </c>
      <c r="AG30" s="188">
        <f t="shared" si="8"/>
        <v>0</v>
      </c>
      <c r="AH30" s="443"/>
      <c r="AI30" s="188"/>
      <c r="AJ30" s="443">
        <v>0</v>
      </c>
      <c r="AK30" s="188">
        <f t="shared" si="10"/>
        <v>0</v>
      </c>
      <c r="AL30" s="443"/>
      <c r="AM30" s="188"/>
      <c r="AN30" s="443"/>
      <c r="AO30" s="188"/>
      <c r="AP30" s="443"/>
      <c r="AQ30" s="188"/>
      <c r="AR30" s="443"/>
      <c r="AS30" s="188"/>
      <c r="AT30" s="443"/>
      <c r="AU30" s="188"/>
      <c r="AV30" s="443">
        <v>0</v>
      </c>
      <c r="AW30" s="188">
        <f t="shared" si="15"/>
        <v>0</v>
      </c>
      <c r="AX30" s="443">
        <v>0</v>
      </c>
      <c r="AY30" s="188">
        <f t="shared" si="16"/>
        <v>0</v>
      </c>
      <c r="AZ30" s="443"/>
      <c r="BA30" s="188"/>
      <c r="BB30" s="443"/>
      <c r="BC30" s="188"/>
      <c r="BD30" s="443"/>
      <c r="BE30" s="188"/>
      <c r="BF30" s="443"/>
      <c r="BG30" s="188"/>
      <c r="BH30" s="443"/>
      <c r="BI30" s="188"/>
      <c r="BJ30" s="8">
        <f t="shared" ref="BJ30" si="40">Z30+AB30+AD30+AF30+AH30+AJ30+AL30+AN30+AP30+AR30+AT30+AV30+AX30+AZ30+BB30+BD30+BF30+BH30</f>
        <v>0</v>
      </c>
      <c r="BK30" s="439">
        <f t="shared" si="31"/>
        <v>0</v>
      </c>
      <c r="BL30" s="186" t="s">
        <v>611</v>
      </c>
      <c r="BN30" s="190"/>
      <c r="BO30" s="444"/>
      <c r="BP30" s="444"/>
      <c r="BQ30" s="444"/>
      <c r="BR30" s="190"/>
      <c r="BS30" s="190"/>
      <c r="BT30" s="190"/>
      <c r="BU30" s="190"/>
      <c r="BV30" s="167"/>
    </row>
    <row r="31" spans="1:74" hidden="1" x14ac:dyDescent="0.25">
      <c r="A31" s="442"/>
      <c r="B31" s="442"/>
      <c r="C31" s="192" t="s">
        <v>557</v>
      </c>
      <c r="D31" s="186" t="s">
        <v>239</v>
      </c>
      <c r="E31" s="193">
        <v>250000</v>
      </c>
      <c r="F31" s="427">
        <f t="shared" si="32"/>
        <v>22</v>
      </c>
      <c r="G31" s="440">
        <f t="shared" si="38"/>
        <v>5500000</v>
      </c>
      <c r="H31" s="440"/>
      <c r="I31" s="440"/>
      <c r="J31" s="440"/>
      <c r="K31" s="440"/>
      <c r="L31" s="440">
        <f>G31*1</f>
        <v>5500000</v>
      </c>
      <c r="M31" s="440"/>
      <c r="N31" s="440"/>
      <c r="O31" s="441"/>
      <c r="P31" s="441"/>
      <c r="Q31" s="231"/>
      <c r="R31" s="445"/>
      <c r="S31" s="254">
        <f>F31*0.4</f>
        <v>8.8000000000000007</v>
      </c>
      <c r="T31" s="254">
        <f>F31*0.3</f>
        <v>6.6</v>
      </c>
      <c r="U31" s="254">
        <f>F31*0.3</f>
        <v>6.6</v>
      </c>
      <c r="V31" s="188"/>
      <c r="W31" s="188">
        <f t="shared" si="33"/>
        <v>2200000</v>
      </c>
      <c r="X31" s="188">
        <f t="shared" si="34"/>
        <v>1650000</v>
      </c>
      <c r="Y31" s="188">
        <f t="shared" si="35"/>
        <v>1650000</v>
      </c>
      <c r="Z31" s="8">
        <v>1</v>
      </c>
      <c r="AA31" s="188">
        <f t="shared" si="5"/>
        <v>250000</v>
      </c>
      <c r="AB31" s="443">
        <v>1</v>
      </c>
      <c r="AC31" s="188">
        <f t="shared" si="6"/>
        <v>250000</v>
      </c>
      <c r="AD31" s="443">
        <v>2</v>
      </c>
      <c r="AE31" s="188">
        <f t="shared" si="7"/>
        <v>500000</v>
      </c>
      <c r="AF31" s="443">
        <v>1</v>
      </c>
      <c r="AG31" s="188">
        <f t="shared" si="8"/>
        <v>250000</v>
      </c>
      <c r="AH31" s="443">
        <v>1</v>
      </c>
      <c r="AI31" s="188">
        <f t="shared" si="9"/>
        <v>250000</v>
      </c>
      <c r="AJ31" s="443">
        <v>1</v>
      </c>
      <c r="AK31" s="188">
        <f t="shared" si="10"/>
        <v>250000</v>
      </c>
      <c r="AL31" s="443">
        <v>1</v>
      </c>
      <c r="AM31" s="188">
        <f t="shared" si="11"/>
        <v>250000</v>
      </c>
      <c r="AN31" s="443">
        <v>1</v>
      </c>
      <c r="AO31" s="188">
        <f t="shared" si="12"/>
        <v>250000</v>
      </c>
      <c r="AP31" s="443">
        <v>1</v>
      </c>
      <c r="AQ31" s="188">
        <f t="shared" si="13"/>
        <v>250000</v>
      </c>
      <c r="AR31" s="443">
        <v>2</v>
      </c>
      <c r="AS31" s="188">
        <f t="shared" si="24"/>
        <v>500000</v>
      </c>
      <c r="AT31" s="443">
        <v>1</v>
      </c>
      <c r="AU31" s="188">
        <f t="shared" si="14"/>
        <v>250000</v>
      </c>
      <c r="AV31" s="443">
        <v>2</v>
      </c>
      <c r="AW31" s="188">
        <f t="shared" si="15"/>
        <v>500000</v>
      </c>
      <c r="AX31" s="443">
        <v>1</v>
      </c>
      <c r="AY31" s="188">
        <f t="shared" si="16"/>
        <v>250000</v>
      </c>
      <c r="AZ31" s="443">
        <v>2</v>
      </c>
      <c r="BA31" s="188">
        <f t="shared" si="17"/>
        <v>500000</v>
      </c>
      <c r="BB31" s="443">
        <v>1</v>
      </c>
      <c r="BC31" s="188">
        <f t="shared" si="25"/>
        <v>250000</v>
      </c>
      <c r="BD31" s="443">
        <v>1</v>
      </c>
      <c r="BE31" s="188">
        <f t="shared" si="18"/>
        <v>250000</v>
      </c>
      <c r="BF31" s="443">
        <v>2</v>
      </c>
      <c r="BG31" s="188">
        <f t="shared" si="19"/>
        <v>500000</v>
      </c>
      <c r="BH31" s="443"/>
      <c r="BI31" s="188">
        <f t="shared" si="20"/>
        <v>0</v>
      </c>
      <c r="BJ31" s="8">
        <f t="shared" si="37"/>
        <v>22</v>
      </c>
      <c r="BK31" s="439">
        <f t="shared" si="31"/>
        <v>5500000</v>
      </c>
      <c r="BL31" s="186" t="s">
        <v>531</v>
      </c>
      <c r="BN31" s="190">
        <f>BK31</f>
        <v>5500000</v>
      </c>
      <c r="BO31" s="444"/>
      <c r="BP31" s="444"/>
      <c r="BQ31" s="444"/>
      <c r="BR31" s="190">
        <f t="shared" si="21"/>
        <v>5500000</v>
      </c>
      <c r="BS31" s="190"/>
      <c r="BT31" s="190"/>
      <c r="BU31" s="190"/>
      <c r="BV31" s="167">
        <f t="shared" si="4"/>
        <v>5500000</v>
      </c>
    </row>
    <row r="32" spans="1:74" hidden="1" x14ac:dyDescent="0.25">
      <c r="A32" s="442" t="s">
        <v>964</v>
      </c>
      <c r="B32" s="442"/>
      <c r="C32" s="192" t="s">
        <v>946</v>
      </c>
      <c r="D32" s="186"/>
      <c r="E32" s="193"/>
      <c r="F32" s="427">
        <f t="shared" si="32"/>
        <v>0</v>
      </c>
      <c r="G32" s="427">
        <f t="shared" si="32"/>
        <v>0</v>
      </c>
      <c r="H32" s="440"/>
      <c r="I32" s="440"/>
      <c r="J32" s="440"/>
      <c r="K32" s="440"/>
      <c r="L32" s="440"/>
      <c r="M32" s="440"/>
      <c r="N32" s="440"/>
      <c r="O32" s="441"/>
      <c r="P32" s="441"/>
      <c r="Q32" s="231"/>
      <c r="R32" s="445"/>
      <c r="S32" s="254"/>
      <c r="T32" s="254"/>
      <c r="U32" s="254"/>
      <c r="V32" s="188"/>
      <c r="W32" s="188"/>
      <c r="X32" s="188"/>
      <c r="Y32" s="188"/>
      <c r="Z32" s="8"/>
      <c r="AA32" s="188"/>
      <c r="AB32" s="443">
        <v>0</v>
      </c>
      <c r="AC32" s="188"/>
      <c r="AD32" s="443">
        <v>0</v>
      </c>
      <c r="AE32" s="188"/>
      <c r="AF32" s="443">
        <v>0</v>
      </c>
      <c r="AG32" s="188"/>
      <c r="AH32" s="443"/>
      <c r="AI32" s="188"/>
      <c r="AJ32" s="443">
        <v>0</v>
      </c>
      <c r="AK32" s="188"/>
      <c r="AL32" s="443"/>
      <c r="AM32" s="188"/>
      <c r="AN32" s="443"/>
      <c r="AO32" s="188"/>
      <c r="AP32" s="443"/>
      <c r="AQ32" s="188"/>
      <c r="AR32" s="443"/>
      <c r="AS32" s="188"/>
      <c r="AT32" s="443">
        <v>0</v>
      </c>
      <c r="AU32" s="188">
        <v>0</v>
      </c>
      <c r="AV32" s="443"/>
      <c r="AW32" s="188"/>
      <c r="AX32" s="443">
        <v>0</v>
      </c>
      <c r="AY32" s="188"/>
      <c r="AZ32" s="443">
        <v>0</v>
      </c>
      <c r="BA32" s="188"/>
      <c r="BB32" s="443">
        <v>0</v>
      </c>
      <c r="BC32" s="188"/>
      <c r="BD32" s="443"/>
      <c r="BE32" s="188"/>
      <c r="BF32" s="443"/>
      <c r="BG32" s="188"/>
      <c r="BH32" s="443"/>
      <c r="BI32" s="188"/>
      <c r="BJ32" s="8">
        <f t="shared" si="37"/>
        <v>0</v>
      </c>
      <c r="BK32" s="439">
        <f t="shared" si="31"/>
        <v>0</v>
      </c>
      <c r="BL32" s="186"/>
      <c r="BN32" s="190"/>
      <c r="BO32" s="444"/>
      <c r="BP32" s="444"/>
      <c r="BQ32" s="444"/>
      <c r="BR32" s="190"/>
      <c r="BS32" s="190"/>
      <c r="BT32" s="190"/>
      <c r="BU32" s="190"/>
      <c r="BV32" s="167"/>
    </row>
    <row r="33" spans="1:74" x14ac:dyDescent="0.25">
      <c r="A33" s="442"/>
      <c r="B33" s="586" t="s">
        <v>1051</v>
      </c>
      <c r="C33" s="192" t="s">
        <v>556</v>
      </c>
      <c r="D33" s="186" t="s">
        <v>239</v>
      </c>
      <c r="E33" s="193">
        <v>250000</v>
      </c>
      <c r="F33" s="427">
        <f t="shared" si="32"/>
        <v>50</v>
      </c>
      <c r="G33" s="440">
        <f t="shared" si="38"/>
        <v>12500000</v>
      </c>
      <c r="H33" s="440">
        <f>G33*0.2</f>
        <v>2500000</v>
      </c>
      <c r="I33" s="440">
        <f>G33*0.8</f>
        <v>10000000</v>
      </c>
      <c r="J33" s="440"/>
      <c r="K33" s="440"/>
      <c r="L33" s="440">
        <f>G33*0</f>
        <v>0</v>
      </c>
      <c r="M33" s="440"/>
      <c r="N33" s="440"/>
      <c r="O33" s="441"/>
      <c r="P33" s="441">
        <f>G33*0</f>
        <v>0</v>
      </c>
      <c r="Q33" s="231"/>
      <c r="R33" s="445"/>
      <c r="S33" s="254">
        <f>F33*0.4</f>
        <v>20</v>
      </c>
      <c r="T33" s="254">
        <f>F33*0.3</f>
        <v>15</v>
      </c>
      <c r="U33" s="254">
        <f>F33*0.3</f>
        <v>15</v>
      </c>
      <c r="V33" s="188"/>
      <c r="W33" s="188">
        <f>G33*0.1</f>
        <v>1250000</v>
      </c>
      <c r="X33" s="188">
        <f>G33*0.4</f>
        <v>5000000</v>
      </c>
      <c r="Y33" s="188">
        <f>G33*0.5</f>
        <v>6250000</v>
      </c>
      <c r="Z33" s="8">
        <v>4</v>
      </c>
      <c r="AA33" s="188">
        <f t="shared" si="5"/>
        <v>1000000</v>
      </c>
      <c r="AB33" s="443">
        <v>0</v>
      </c>
      <c r="AC33" s="188">
        <f t="shared" si="6"/>
        <v>0</v>
      </c>
      <c r="AD33" s="443">
        <v>4</v>
      </c>
      <c r="AE33" s="188">
        <f t="shared" si="7"/>
        <v>1000000</v>
      </c>
      <c r="AF33" s="443">
        <v>3</v>
      </c>
      <c r="AG33" s="188">
        <f t="shared" si="8"/>
        <v>750000</v>
      </c>
      <c r="AH33" s="443">
        <v>2</v>
      </c>
      <c r="AI33" s="188">
        <f t="shared" si="9"/>
        <v>500000</v>
      </c>
      <c r="AJ33" s="443">
        <v>3</v>
      </c>
      <c r="AK33" s="188">
        <f t="shared" si="10"/>
        <v>750000</v>
      </c>
      <c r="AL33" s="443">
        <v>4</v>
      </c>
      <c r="AM33" s="188">
        <f t="shared" si="11"/>
        <v>1000000</v>
      </c>
      <c r="AN33" s="443">
        <v>1</v>
      </c>
      <c r="AO33" s="188">
        <f t="shared" si="12"/>
        <v>250000</v>
      </c>
      <c r="AP33" s="443">
        <v>2</v>
      </c>
      <c r="AQ33" s="188">
        <f t="shared" si="13"/>
        <v>500000</v>
      </c>
      <c r="AR33" s="443">
        <v>3</v>
      </c>
      <c r="AS33" s="188">
        <f t="shared" si="24"/>
        <v>750000</v>
      </c>
      <c r="AT33" s="443">
        <v>4</v>
      </c>
      <c r="AU33" s="188">
        <f t="shared" si="14"/>
        <v>1000000</v>
      </c>
      <c r="AV33" s="443">
        <v>2</v>
      </c>
      <c r="AW33" s="188">
        <f t="shared" si="15"/>
        <v>500000</v>
      </c>
      <c r="AX33" s="443">
        <v>3</v>
      </c>
      <c r="AY33" s="188">
        <f t="shared" si="16"/>
        <v>750000</v>
      </c>
      <c r="AZ33" s="443">
        <v>2</v>
      </c>
      <c r="BA33" s="188">
        <f t="shared" si="17"/>
        <v>500000</v>
      </c>
      <c r="BB33" s="443">
        <v>4</v>
      </c>
      <c r="BC33" s="188">
        <f t="shared" si="25"/>
        <v>1000000</v>
      </c>
      <c r="BD33" s="443">
        <v>3</v>
      </c>
      <c r="BE33" s="188">
        <f t="shared" si="18"/>
        <v>750000</v>
      </c>
      <c r="BF33" s="443">
        <v>6</v>
      </c>
      <c r="BG33" s="188">
        <f t="shared" si="19"/>
        <v>1500000</v>
      </c>
      <c r="BH33" s="443"/>
      <c r="BI33" s="188">
        <f t="shared" si="20"/>
        <v>0</v>
      </c>
      <c r="BJ33" s="8">
        <f t="shared" ref="BJ33:BJ35" si="41">Z33+AB33+AD33+AF33+AH33+AJ33+AL33+AN33+AP33+AR33+AT33+AV33+AX33+AZ33+BB33+BD33+BF33+BH33</f>
        <v>50</v>
      </c>
      <c r="BK33" s="439">
        <f t="shared" si="31"/>
        <v>12500000</v>
      </c>
      <c r="BL33" s="186" t="s">
        <v>609</v>
      </c>
      <c r="BN33" s="190">
        <f>G33</f>
        <v>12500000</v>
      </c>
      <c r="BO33" s="444"/>
      <c r="BP33" s="444"/>
      <c r="BQ33" s="444"/>
      <c r="BR33" s="190">
        <f t="shared" si="21"/>
        <v>12500000</v>
      </c>
      <c r="BS33" s="190"/>
      <c r="BT33" s="190"/>
      <c r="BU33" s="190"/>
      <c r="BV33" s="167">
        <f t="shared" si="4"/>
        <v>12500000</v>
      </c>
    </row>
    <row r="34" spans="1:74" s="251" customFormat="1" ht="31.5" x14ac:dyDescent="0.25">
      <c r="A34" s="449"/>
      <c r="B34" s="586" t="s">
        <v>1052</v>
      </c>
      <c r="C34" s="245" t="s">
        <v>1009</v>
      </c>
      <c r="D34" s="246" t="s">
        <v>239</v>
      </c>
      <c r="E34" s="246">
        <v>100000</v>
      </c>
      <c r="F34" s="130">
        <f t="shared" si="32"/>
        <v>65</v>
      </c>
      <c r="G34" s="450">
        <f t="shared" si="32"/>
        <v>6500000</v>
      </c>
      <c r="H34" s="451">
        <f>G34*0.2</f>
        <v>1300000</v>
      </c>
      <c r="I34" s="451">
        <f>G34*0.8</f>
        <v>5200000</v>
      </c>
      <c r="J34" s="451"/>
      <c r="K34" s="451"/>
      <c r="L34" s="451">
        <f>G34*0</f>
        <v>0</v>
      </c>
      <c r="M34" s="451"/>
      <c r="N34" s="451"/>
      <c r="O34" s="451"/>
      <c r="P34" s="451"/>
      <c r="Q34" s="247"/>
      <c r="R34" s="452"/>
      <c r="S34" s="453">
        <v>0</v>
      </c>
      <c r="T34" s="453">
        <v>2</v>
      </c>
      <c r="U34" s="453">
        <v>5</v>
      </c>
      <c r="V34" s="247"/>
      <c r="W34" s="247">
        <f>G34*0.1</f>
        <v>650000</v>
      </c>
      <c r="X34" s="247">
        <f>G34*0.4</f>
        <v>2600000</v>
      </c>
      <c r="Y34" s="247">
        <f>G34*0.5</f>
        <v>3250000</v>
      </c>
      <c r="Z34" s="244">
        <v>2</v>
      </c>
      <c r="AA34" s="247">
        <f t="shared" si="5"/>
        <v>200000</v>
      </c>
      <c r="AB34" s="454">
        <v>5</v>
      </c>
      <c r="AC34" s="247">
        <f t="shared" si="6"/>
        <v>500000</v>
      </c>
      <c r="AD34" s="454">
        <v>4</v>
      </c>
      <c r="AE34" s="247">
        <f t="shared" si="7"/>
        <v>400000</v>
      </c>
      <c r="AF34" s="454">
        <v>8</v>
      </c>
      <c r="AG34" s="247">
        <f t="shared" si="8"/>
        <v>800000</v>
      </c>
      <c r="AH34" s="454">
        <v>2</v>
      </c>
      <c r="AI34" s="247">
        <f t="shared" si="9"/>
        <v>200000</v>
      </c>
      <c r="AJ34" s="454">
        <v>5</v>
      </c>
      <c r="AK34" s="247">
        <f t="shared" si="10"/>
        <v>500000</v>
      </c>
      <c r="AL34" s="454">
        <v>5</v>
      </c>
      <c r="AM34" s="247">
        <f t="shared" si="11"/>
        <v>500000</v>
      </c>
      <c r="AN34" s="454">
        <v>2</v>
      </c>
      <c r="AO34" s="247">
        <f t="shared" si="12"/>
        <v>200000</v>
      </c>
      <c r="AP34" s="454">
        <v>1</v>
      </c>
      <c r="AQ34" s="247">
        <f t="shared" si="13"/>
        <v>100000</v>
      </c>
      <c r="AR34" s="454">
        <v>11</v>
      </c>
      <c r="AS34" s="247">
        <f t="shared" si="24"/>
        <v>1100000</v>
      </c>
      <c r="AT34" s="454">
        <v>2</v>
      </c>
      <c r="AU34" s="247">
        <f t="shared" si="14"/>
        <v>200000</v>
      </c>
      <c r="AV34" s="454">
        <v>0</v>
      </c>
      <c r="AW34" s="247">
        <f t="shared" si="15"/>
        <v>0</v>
      </c>
      <c r="AX34" s="454">
        <v>0</v>
      </c>
      <c r="AY34" s="247">
        <f t="shared" si="16"/>
        <v>0</v>
      </c>
      <c r="AZ34" s="454">
        <v>4</v>
      </c>
      <c r="BA34" s="247">
        <f t="shared" si="17"/>
        <v>400000</v>
      </c>
      <c r="BB34" s="454">
        <v>0</v>
      </c>
      <c r="BC34" s="247">
        <f t="shared" si="25"/>
        <v>0</v>
      </c>
      <c r="BD34" s="454">
        <v>12</v>
      </c>
      <c r="BE34" s="247">
        <f t="shared" si="18"/>
        <v>1200000</v>
      </c>
      <c r="BF34" s="454">
        <v>2</v>
      </c>
      <c r="BG34" s="247">
        <f t="shared" si="19"/>
        <v>200000</v>
      </c>
      <c r="BH34" s="454"/>
      <c r="BI34" s="247"/>
      <c r="BJ34" s="244">
        <f t="shared" si="41"/>
        <v>65</v>
      </c>
      <c r="BK34" s="455">
        <f t="shared" si="31"/>
        <v>6500000</v>
      </c>
      <c r="BL34" s="246" t="s">
        <v>214</v>
      </c>
      <c r="BN34" s="252"/>
      <c r="BO34" s="456"/>
      <c r="BP34" s="456">
        <f>G34</f>
        <v>6500000</v>
      </c>
      <c r="BQ34" s="456"/>
      <c r="BR34" s="252">
        <f t="shared" si="21"/>
        <v>6500000</v>
      </c>
      <c r="BS34" s="252"/>
      <c r="BT34" s="252"/>
      <c r="BU34" s="252"/>
      <c r="BV34" s="253">
        <f t="shared" si="4"/>
        <v>6500000</v>
      </c>
    </row>
    <row r="35" spans="1:74" x14ac:dyDescent="0.25">
      <c r="A35" s="442"/>
      <c r="B35" s="586" t="s">
        <v>1053</v>
      </c>
      <c r="C35" s="192" t="s">
        <v>985</v>
      </c>
      <c r="D35" s="186" t="s">
        <v>32</v>
      </c>
      <c r="E35" s="193">
        <v>25000</v>
      </c>
      <c r="F35" s="130">
        <f t="shared" si="32"/>
        <v>68</v>
      </c>
      <c r="G35" s="440">
        <f t="shared" si="38"/>
        <v>1700000</v>
      </c>
      <c r="H35" s="440">
        <f>G35*0.2</f>
        <v>340000</v>
      </c>
      <c r="I35" s="440">
        <f>G35*0.8</f>
        <v>1360000</v>
      </c>
      <c r="J35" s="440"/>
      <c r="K35" s="440"/>
      <c r="L35" s="440"/>
      <c r="M35" s="440"/>
      <c r="N35" s="440"/>
      <c r="O35" s="441"/>
      <c r="P35" s="441">
        <f>G35*0</f>
        <v>0</v>
      </c>
      <c r="Q35" s="231"/>
      <c r="R35" s="445"/>
      <c r="S35" s="254">
        <f>F35*0.4</f>
        <v>27.200000000000003</v>
      </c>
      <c r="T35" s="254">
        <f>F35*0.3</f>
        <v>20.399999999999999</v>
      </c>
      <c r="U35" s="254">
        <f>F35*0.3</f>
        <v>20.399999999999999</v>
      </c>
      <c r="V35" s="188"/>
      <c r="W35" s="188">
        <f t="shared" si="33"/>
        <v>680000.00000000012</v>
      </c>
      <c r="X35" s="188">
        <f t="shared" si="34"/>
        <v>509999.99999999994</v>
      </c>
      <c r="Y35" s="188">
        <f t="shared" si="35"/>
        <v>509999.99999999994</v>
      </c>
      <c r="Z35" s="8">
        <v>4</v>
      </c>
      <c r="AA35" s="188">
        <f t="shared" si="5"/>
        <v>100000</v>
      </c>
      <c r="AB35" s="443">
        <v>2</v>
      </c>
      <c r="AC35" s="188">
        <f t="shared" si="6"/>
        <v>50000</v>
      </c>
      <c r="AD35" s="443">
        <v>6</v>
      </c>
      <c r="AE35" s="188">
        <f t="shared" si="7"/>
        <v>150000</v>
      </c>
      <c r="AF35" s="443">
        <v>2</v>
      </c>
      <c r="AG35" s="188">
        <f t="shared" si="8"/>
        <v>50000</v>
      </c>
      <c r="AH35" s="443">
        <v>4</v>
      </c>
      <c r="AI35" s="188">
        <f t="shared" si="9"/>
        <v>100000</v>
      </c>
      <c r="AJ35" s="443">
        <v>4</v>
      </c>
      <c r="AK35" s="188">
        <f t="shared" si="10"/>
        <v>100000</v>
      </c>
      <c r="AL35" s="443">
        <v>4</v>
      </c>
      <c r="AM35" s="188">
        <f t="shared" si="11"/>
        <v>100000</v>
      </c>
      <c r="AN35" s="443">
        <v>5</v>
      </c>
      <c r="AO35" s="188">
        <f t="shared" si="12"/>
        <v>125000</v>
      </c>
      <c r="AP35" s="443">
        <v>2</v>
      </c>
      <c r="AQ35" s="188">
        <f t="shared" si="13"/>
        <v>50000</v>
      </c>
      <c r="AR35" s="443">
        <v>4</v>
      </c>
      <c r="AS35" s="188">
        <f t="shared" si="24"/>
        <v>100000</v>
      </c>
      <c r="AT35" s="443">
        <v>4</v>
      </c>
      <c r="AU35" s="188">
        <f t="shared" si="14"/>
        <v>100000</v>
      </c>
      <c r="AV35" s="443">
        <v>5</v>
      </c>
      <c r="AW35" s="188">
        <f t="shared" si="15"/>
        <v>125000</v>
      </c>
      <c r="AX35" s="443">
        <v>4</v>
      </c>
      <c r="AY35" s="188">
        <f t="shared" si="16"/>
        <v>100000</v>
      </c>
      <c r="AZ35" s="443">
        <v>4</v>
      </c>
      <c r="BA35" s="188">
        <f t="shared" si="17"/>
        <v>100000</v>
      </c>
      <c r="BB35" s="443">
        <v>4</v>
      </c>
      <c r="BC35" s="188">
        <f t="shared" si="25"/>
        <v>100000</v>
      </c>
      <c r="BD35" s="443">
        <v>4</v>
      </c>
      <c r="BE35" s="188">
        <f t="shared" si="18"/>
        <v>100000</v>
      </c>
      <c r="BF35" s="443">
        <v>6</v>
      </c>
      <c r="BG35" s="188">
        <f t="shared" si="19"/>
        <v>150000</v>
      </c>
      <c r="BH35" s="443"/>
      <c r="BI35" s="188">
        <f t="shared" si="20"/>
        <v>0</v>
      </c>
      <c r="BJ35" s="8">
        <f t="shared" si="41"/>
        <v>68</v>
      </c>
      <c r="BK35" s="439">
        <f t="shared" si="31"/>
        <v>1700000</v>
      </c>
      <c r="BL35" s="186" t="s">
        <v>611</v>
      </c>
      <c r="BN35" s="190"/>
      <c r="BO35" s="444"/>
      <c r="BP35" s="444">
        <f>G35</f>
        <v>1700000</v>
      </c>
      <c r="BQ35" s="444"/>
      <c r="BR35" s="190">
        <f t="shared" si="21"/>
        <v>1700000</v>
      </c>
      <c r="BS35" s="190"/>
      <c r="BT35" s="190"/>
      <c r="BU35" s="190"/>
      <c r="BV35" s="167">
        <f t="shared" si="4"/>
        <v>1700000</v>
      </c>
    </row>
    <row r="36" spans="1:74" hidden="1" x14ac:dyDescent="0.25">
      <c r="A36" s="442"/>
      <c r="B36" s="442"/>
      <c r="C36" s="192" t="s">
        <v>945</v>
      </c>
      <c r="D36" s="186"/>
      <c r="E36" s="193"/>
      <c r="F36" s="427">
        <f t="shared" si="32"/>
        <v>0</v>
      </c>
      <c r="G36" s="427">
        <f t="shared" si="32"/>
        <v>0</v>
      </c>
      <c r="H36" s="440"/>
      <c r="I36" s="440"/>
      <c r="J36" s="440">
        <f>G36</f>
        <v>0</v>
      </c>
      <c r="K36" s="440"/>
      <c r="L36" s="440"/>
      <c r="M36" s="440"/>
      <c r="N36" s="440"/>
      <c r="O36" s="441"/>
      <c r="P36" s="441"/>
      <c r="Q36" s="231"/>
      <c r="R36" s="445"/>
      <c r="S36" s="254"/>
      <c r="T36" s="254"/>
      <c r="U36" s="254"/>
      <c r="V36" s="188"/>
      <c r="W36" s="188"/>
      <c r="X36" s="188"/>
      <c r="Y36" s="188"/>
      <c r="Z36" s="8"/>
      <c r="AA36" s="188"/>
      <c r="AB36" s="443">
        <v>0</v>
      </c>
      <c r="AC36" s="188"/>
      <c r="AD36" s="443"/>
      <c r="AE36" s="188"/>
      <c r="AF36" s="443">
        <v>0</v>
      </c>
      <c r="AG36" s="188"/>
      <c r="AH36" s="443"/>
      <c r="AI36" s="188"/>
      <c r="AJ36" s="443">
        <v>0</v>
      </c>
      <c r="AK36" s="188"/>
      <c r="AL36" s="443">
        <v>0</v>
      </c>
      <c r="AM36" s="188">
        <v>0</v>
      </c>
      <c r="AN36" s="443"/>
      <c r="AO36" s="188"/>
      <c r="AP36" s="443"/>
      <c r="AQ36" s="188"/>
      <c r="AR36" s="443"/>
      <c r="AS36" s="188"/>
      <c r="AT36" s="443"/>
      <c r="AU36" s="188"/>
      <c r="AV36" s="443"/>
      <c r="AW36" s="188"/>
      <c r="AX36" s="443">
        <v>0</v>
      </c>
      <c r="AY36" s="188"/>
      <c r="AZ36" s="443">
        <v>0</v>
      </c>
      <c r="BA36" s="188"/>
      <c r="BB36" s="443"/>
      <c r="BC36" s="188"/>
      <c r="BD36" s="443"/>
      <c r="BE36" s="188"/>
      <c r="BF36" s="443"/>
      <c r="BG36" s="188"/>
      <c r="BH36" s="443"/>
      <c r="BI36" s="188"/>
      <c r="BJ36" s="8">
        <f t="shared" ref="BJ36" si="42">Z36+AB36+AD36+AF36+AH36+AJ36+AL36+AN36+AP36+AR36+AT36+AV36+AX36+AZ36+BB36+BD36+BF36+BH36</f>
        <v>0</v>
      </c>
      <c r="BK36" s="439">
        <f t="shared" si="31"/>
        <v>0</v>
      </c>
      <c r="BL36" s="186" t="s">
        <v>534</v>
      </c>
      <c r="BN36" s="190"/>
      <c r="BO36" s="444"/>
      <c r="BP36" s="444"/>
      <c r="BQ36" s="444"/>
      <c r="BR36" s="190"/>
      <c r="BS36" s="190"/>
      <c r="BT36" s="190"/>
      <c r="BU36" s="190"/>
      <c r="BV36" s="167"/>
    </row>
    <row r="37" spans="1:74" s="180" customFormat="1" hidden="1" x14ac:dyDescent="0.25">
      <c r="A37" s="442"/>
      <c r="B37" s="442"/>
      <c r="C37" s="185" t="s">
        <v>370</v>
      </c>
      <c r="D37" s="204" t="s">
        <v>111</v>
      </c>
      <c r="E37" s="205"/>
      <c r="F37" s="447">
        <f>SUM(F22:F36)</f>
        <v>250</v>
      </c>
      <c r="G37" s="447">
        <f t="shared" ref="G37:BI37" si="43">SUM(G22:G36)</f>
        <v>27360000</v>
      </c>
      <c r="H37" s="447">
        <f t="shared" si="43"/>
        <v>4342000</v>
      </c>
      <c r="I37" s="447">
        <f t="shared" si="43"/>
        <v>17488000</v>
      </c>
      <c r="J37" s="447">
        <f t="shared" si="43"/>
        <v>0</v>
      </c>
      <c r="K37" s="447">
        <f t="shared" si="43"/>
        <v>0</v>
      </c>
      <c r="L37" s="447">
        <f t="shared" si="43"/>
        <v>5500000</v>
      </c>
      <c r="M37" s="447">
        <f t="shared" si="43"/>
        <v>0</v>
      </c>
      <c r="N37" s="447">
        <f t="shared" si="43"/>
        <v>0</v>
      </c>
      <c r="O37" s="447">
        <f t="shared" si="43"/>
        <v>0</v>
      </c>
      <c r="P37" s="447">
        <f t="shared" si="43"/>
        <v>30000</v>
      </c>
      <c r="Q37" s="447">
        <f t="shared" si="43"/>
        <v>0</v>
      </c>
      <c r="R37" s="447">
        <f t="shared" si="43"/>
        <v>0</v>
      </c>
      <c r="S37" s="447">
        <f t="shared" si="43"/>
        <v>93.2</v>
      </c>
      <c r="T37" s="447">
        <f t="shared" si="43"/>
        <v>64.900000000000006</v>
      </c>
      <c r="U37" s="447">
        <f t="shared" si="43"/>
        <v>59.9</v>
      </c>
      <c r="V37" s="447">
        <f t="shared" si="43"/>
        <v>0</v>
      </c>
      <c r="W37" s="447">
        <f t="shared" si="43"/>
        <v>6624000</v>
      </c>
      <c r="X37" s="447">
        <f t="shared" si="43"/>
        <v>10618000</v>
      </c>
      <c r="Y37" s="447">
        <f t="shared" si="43"/>
        <v>11918000</v>
      </c>
      <c r="Z37" s="447">
        <f t="shared" si="43"/>
        <v>13</v>
      </c>
      <c r="AA37" s="447">
        <f t="shared" si="43"/>
        <v>1590000</v>
      </c>
      <c r="AB37" s="447">
        <f t="shared" si="43"/>
        <v>9</v>
      </c>
      <c r="AC37" s="447">
        <f t="shared" si="43"/>
        <v>820000</v>
      </c>
      <c r="AD37" s="447">
        <f t="shared" si="43"/>
        <v>23</v>
      </c>
      <c r="AE37" s="447">
        <f t="shared" si="43"/>
        <v>2320000</v>
      </c>
      <c r="AF37" s="447">
        <f t="shared" si="43"/>
        <v>16</v>
      </c>
      <c r="AG37" s="447">
        <f t="shared" si="43"/>
        <v>1890000</v>
      </c>
      <c r="AH37" s="447">
        <f t="shared" si="43"/>
        <v>9</v>
      </c>
      <c r="AI37" s="447">
        <f t="shared" si="43"/>
        <v>1050000</v>
      </c>
      <c r="AJ37" s="447">
        <f t="shared" si="43"/>
        <v>13</v>
      </c>
      <c r="AK37" s="447">
        <f t="shared" si="43"/>
        <v>1600000</v>
      </c>
      <c r="AL37" s="447">
        <f t="shared" si="43"/>
        <v>19</v>
      </c>
      <c r="AM37" s="447">
        <f t="shared" si="43"/>
        <v>1950000</v>
      </c>
      <c r="AN37" s="447">
        <f t="shared" si="43"/>
        <v>9</v>
      </c>
      <c r="AO37" s="447">
        <f t="shared" si="43"/>
        <v>825000</v>
      </c>
      <c r="AP37" s="447">
        <f t="shared" si="43"/>
        <v>7</v>
      </c>
      <c r="AQ37" s="447">
        <f t="shared" si="43"/>
        <v>920000</v>
      </c>
      <c r="AR37" s="447">
        <f t="shared" si="43"/>
        <v>21</v>
      </c>
      <c r="AS37" s="447">
        <f t="shared" si="43"/>
        <v>2470000</v>
      </c>
      <c r="AT37" s="447">
        <f t="shared" si="43"/>
        <v>13</v>
      </c>
      <c r="AU37" s="447">
        <f t="shared" si="43"/>
        <v>1590000</v>
      </c>
      <c r="AV37" s="447">
        <f t="shared" si="43"/>
        <v>14</v>
      </c>
      <c r="AW37" s="447">
        <f t="shared" si="43"/>
        <v>1225000</v>
      </c>
      <c r="AX37" s="447">
        <f t="shared" si="43"/>
        <v>8</v>
      </c>
      <c r="AY37" s="447">
        <f t="shared" si="43"/>
        <v>1100000</v>
      </c>
      <c r="AZ37" s="447">
        <f t="shared" si="43"/>
        <v>14</v>
      </c>
      <c r="BA37" s="447">
        <f t="shared" si="43"/>
        <v>1540000</v>
      </c>
      <c r="BB37" s="447">
        <f t="shared" si="43"/>
        <v>10</v>
      </c>
      <c r="BC37" s="447">
        <f t="shared" si="43"/>
        <v>1370000</v>
      </c>
      <c r="BD37" s="447">
        <f t="shared" si="43"/>
        <v>26</v>
      </c>
      <c r="BE37" s="447">
        <f t="shared" si="43"/>
        <v>2550000</v>
      </c>
      <c r="BF37" s="447">
        <f t="shared" si="43"/>
        <v>26</v>
      </c>
      <c r="BG37" s="447">
        <f t="shared" si="43"/>
        <v>2550000</v>
      </c>
      <c r="BH37" s="447">
        <f t="shared" si="43"/>
        <v>0</v>
      </c>
      <c r="BI37" s="447">
        <f t="shared" si="43"/>
        <v>0</v>
      </c>
      <c r="BJ37" s="447">
        <f>SUM(BJ22:BJ36)</f>
        <v>250</v>
      </c>
      <c r="BK37" s="447">
        <f>SUM(BK22:BK36)</f>
        <v>27360000</v>
      </c>
      <c r="BL37" s="204" t="s">
        <v>111</v>
      </c>
      <c r="BN37" s="206">
        <f t="shared" ref="BN37:BV37" si="44">SUM(BN22:BN35)</f>
        <v>18000000</v>
      </c>
      <c r="BO37" s="206">
        <f t="shared" si="44"/>
        <v>0</v>
      </c>
      <c r="BP37" s="206">
        <f t="shared" si="44"/>
        <v>9360000</v>
      </c>
      <c r="BQ37" s="206">
        <f t="shared" si="44"/>
        <v>0</v>
      </c>
      <c r="BR37" s="206">
        <f t="shared" si="44"/>
        <v>27360000</v>
      </c>
      <c r="BS37" s="206">
        <f t="shared" si="44"/>
        <v>0</v>
      </c>
      <c r="BT37" s="206">
        <f t="shared" si="44"/>
        <v>0</v>
      </c>
      <c r="BU37" s="206">
        <f t="shared" si="44"/>
        <v>0</v>
      </c>
      <c r="BV37" s="206">
        <f t="shared" si="44"/>
        <v>27360000</v>
      </c>
    </row>
    <row r="38" spans="1:74" hidden="1" x14ac:dyDescent="0.25">
      <c r="A38" s="442"/>
      <c r="B38" s="442"/>
      <c r="C38" s="185" t="s">
        <v>527</v>
      </c>
      <c r="D38" s="186"/>
      <c r="E38" s="186"/>
      <c r="F38" s="427"/>
      <c r="G38" s="440"/>
      <c r="H38" s="440">
        <f>G38*0.1</f>
        <v>0</v>
      </c>
      <c r="I38" s="440">
        <f>G38*0.8</f>
        <v>0</v>
      </c>
      <c r="J38" s="440"/>
      <c r="K38" s="440"/>
      <c r="L38" s="440"/>
      <c r="M38" s="440"/>
      <c r="N38" s="440"/>
      <c r="O38" s="441"/>
      <c r="P38" s="441">
        <f>G38*0.1</f>
        <v>0</v>
      </c>
      <c r="Q38" s="231"/>
      <c r="R38" s="445"/>
      <c r="S38" s="254"/>
      <c r="T38" s="254"/>
      <c r="U38" s="254"/>
      <c r="V38" s="188"/>
      <c r="W38" s="188"/>
      <c r="X38" s="188"/>
      <c r="Y38" s="188"/>
      <c r="Z38" s="8"/>
      <c r="AA38" s="188">
        <f t="shared" si="5"/>
        <v>0</v>
      </c>
      <c r="AB38" s="443"/>
      <c r="AC38" s="188">
        <f t="shared" si="6"/>
        <v>0</v>
      </c>
      <c r="AD38" s="443"/>
      <c r="AE38" s="188">
        <f t="shared" si="7"/>
        <v>0</v>
      </c>
      <c r="AF38" s="443"/>
      <c r="AG38" s="188">
        <f t="shared" si="8"/>
        <v>0</v>
      </c>
      <c r="AH38" s="443"/>
      <c r="AI38" s="188">
        <f t="shared" si="9"/>
        <v>0</v>
      </c>
      <c r="AJ38" s="443"/>
      <c r="AK38" s="188">
        <f t="shared" si="10"/>
        <v>0</v>
      </c>
      <c r="AL38" s="443"/>
      <c r="AM38" s="188">
        <f t="shared" si="11"/>
        <v>0</v>
      </c>
      <c r="AN38" s="443"/>
      <c r="AO38" s="188">
        <f t="shared" si="12"/>
        <v>0</v>
      </c>
      <c r="AP38" s="443"/>
      <c r="AQ38" s="188">
        <f t="shared" si="13"/>
        <v>0</v>
      </c>
      <c r="AR38" s="443"/>
      <c r="AS38" s="188">
        <f t="shared" si="24"/>
        <v>0</v>
      </c>
      <c r="AT38" s="443"/>
      <c r="AU38" s="188">
        <f t="shared" si="14"/>
        <v>0</v>
      </c>
      <c r="AV38" s="443"/>
      <c r="AW38" s="188">
        <f t="shared" si="15"/>
        <v>0</v>
      </c>
      <c r="AX38" s="443"/>
      <c r="AY38" s="188">
        <f t="shared" si="16"/>
        <v>0</v>
      </c>
      <c r="AZ38" s="443"/>
      <c r="BA38" s="188">
        <f t="shared" si="17"/>
        <v>0</v>
      </c>
      <c r="BB38" s="443"/>
      <c r="BC38" s="188">
        <f t="shared" si="25"/>
        <v>0</v>
      </c>
      <c r="BD38" s="443"/>
      <c r="BE38" s="188">
        <f t="shared" si="18"/>
        <v>0</v>
      </c>
      <c r="BF38" s="443"/>
      <c r="BG38" s="188">
        <f t="shared" si="19"/>
        <v>0</v>
      </c>
      <c r="BH38" s="443"/>
      <c r="BI38" s="188">
        <f t="shared" si="20"/>
        <v>0</v>
      </c>
      <c r="BJ38" s="8">
        <f t="shared" ref="BJ38:BK44" si="45">Z38+AB38+AD38+AF38+AH38+AJ38+AL38+AN38+AP38+AR38+AT38+AV38+AX38+AZ38+BB38+BD38+BF38+BH38</f>
        <v>0</v>
      </c>
      <c r="BK38" s="439">
        <f t="shared" si="45"/>
        <v>0</v>
      </c>
      <c r="BL38" s="186"/>
      <c r="BN38" s="190"/>
      <c r="BO38" s="444"/>
      <c r="BP38" s="444"/>
      <c r="BQ38" s="444"/>
      <c r="BR38" s="190">
        <f t="shared" si="21"/>
        <v>0</v>
      </c>
      <c r="BS38" s="190"/>
      <c r="BT38" s="190"/>
      <c r="BU38" s="190"/>
      <c r="BV38" s="167">
        <f t="shared" si="4"/>
        <v>0</v>
      </c>
    </row>
    <row r="39" spans="1:74" hidden="1" x14ac:dyDescent="0.25">
      <c r="A39" s="442"/>
      <c r="B39" s="586"/>
      <c r="C39" s="192" t="s">
        <v>528</v>
      </c>
      <c r="D39" s="186" t="s">
        <v>239</v>
      </c>
      <c r="E39" s="186">
        <v>0</v>
      </c>
      <c r="F39" s="427">
        <f>BJ39</f>
        <v>2128</v>
      </c>
      <c r="G39" s="440">
        <f>F39*E39</f>
        <v>0</v>
      </c>
      <c r="H39" s="440"/>
      <c r="I39" s="440"/>
      <c r="J39" s="440"/>
      <c r="K39" s="440"/>
      <c r="L39" s="440">
        <f>G39*1</f>
        <v>0</v>
      </c>
      <c r="M39" s="440"/>
      <c r="N39" s="440"/>
      <c r="O39" s="441"/>
      <c r="P39" s="441"/>
      <c r="Q39" s="231"/>
      <c r="R39" s="254">
        <f>F39*0.25</f>
        <v>532</v>
      </c>
      <c r="S39" s="254">
        <f>F39*0.25</f>
        <v>532</v>
      </c>
      <c r="T39" s="254">
        <f>F39*0.25</f>
        <v>532</v>
      </c>
      <c r="U39" s="254">
        <f>F39*0.25</f>
        <v>532</v>
      </c>
      <c r="V39" s="188">
        <f>R39*E39</f>
        <v>0</v>
      </c>
      <c r="W39" s="188">
        <f>S39*E39</f>
        <v>0</v>
      </c>
      <c r="X39" s="188">
        <f>T39*E39</f>
        <v>0</v>
      </c>
      <c r="Y39" s="188">
        <f>U39*E39</f>
        <v>0</v>
      </c>
      <c r="Z39" s="8">
        <v>0</v>
      </c>
      <c r="AA39" s="188">
        <f t="shared" si="5"/>
        <v>0</v>
      </c>
      <c r="AB39" s="443">
        <v>0</v>
      </c>
      <c r="AC39" s="188">
        <f t="shared" si="6"/>
        <v>0</v>
      </c>
      <c r="AD39" s="443">
        <v>0</v>
      </c>
      <c r="AE39" s="188">
        <f t="shared" si="7"/>
        <v>0</v>
      </c>
      <c r="AF39" s="443">
        <v>0</v>
      </c>
      <c r="AG39" s="188">
        <f t="shared" si="8"/>
        <v>0</v>
      </c>
      <c r="AH39" s="443">
        <v>500</v>
      </c>
      <c r="AI39" s="188">
        <f t="shared" si="9"/>
        <v>0</v>
      </c>
      <c r="AJ39" s="443">
        <v>0</v>
      </c>
      <c r="AK39" s="188">
        <f t="shared" si="10"/>
        <v>0</v>
      </c>
      <c r="AL39" s="443">
        <v>0</v>
      </c>
      <c r="AM39" s="188">
        <f t="shared" si="11"/>
        <v>0</v>
      </c>
      <c r="AN39" s="443">
        <v>0</v>
      </c>
      <c r="AO39" s="188">
        <f t="shared" si="12"/>
        <v>0</v>
      </c>
      <c r="AP39" s="443">
        <v>0</v>
      </c>
      <c r="AQ39" s="188">
        <f t="shared" si="13"/>
        <v>0</v>
      </c>
      <c r="AR39" s="443">
        <v>1334</v>
      </c>
      <c r="AS39" s="188">
        <f t="shared" si="24"/>
        <v>0</v>
      </c>
      <c r="AT39" s="443">
        <v>0</v>
      </c>
      <c r="AU39" s="188">
        <f t="shared" si="14"/>
        <v>0</v>
      </c>
      <c r="AV39" s="443">
        <v>0</v>
      </c>
      <c r="AW39" s="188">
        <f t="shared" si="15"/>
        <v>0</v>
      </c>
      <c r="AX39" s="443">
        <v>294</v>
      </c>
      <c r="AY39" s="188">
        <f t="shared" si="16"/>
        <v>0</v>
      </c>
      <c r="AZ39" s="443">
        <v>0</v>
      </c>
      <c r="BA39" s="188">
        <f t="shared" si="17"/>
        <v>0</v>
      </c>
      <c r="BB39" s="443">
        <v>0</v>
      </c>
      <c r="BC39" s="188">
        <f t="shared" si="25"/>
        <v>0</v>
      </c>
      <c r="BD39" s="443">
        <v>0</v>
      </c>
      <c r="BE39" s="188">
        <f t="shared" si="18"/>
        <v>0</v>
      </c>
      <c r="BF39" s="443">
        <v>0</v>
      </c>
      <c r="BG39" s="188">
        <f t="shared" si="19"/>
        <v>0</v>
      </c>
      <c r="BH39" s="443">
        <v>0</v>
      </c>
      <c r="BI39" s="188">
        <f t="shared" si="20"/>
        <v>0</v>
      </c>
      <c r="BJ39" s="8">
        <f t="shared" si="45"/>
        <v>2128</v>
      </c>
      <c r="BK39" s="439">
        <f t="shared" si="45"/>
        <v>0</v>
      </c>
      <c r="BL39" s="186" t="s">
        <v>531</v>
      </c>
      <c r="BN39" s="190">
        <f>SUM(BN38)</f>
        <v>0</v>
      </c>
      <c r="BO39" s="444"/>
      <c r="BP39" s="444">
        <f>BK39</f>
        <v>0</v>
      </c>
      <c r="BQ39" s="444"/>
      <c r="BR39" s="190">
        <f t="shared" si="21"/>
        <v>0</v>
      </c>
      <c r="BS39" s="190"/>
      <c r="BT39" s="190"/>
      <c r="BU39" s="190"/>
      <c r="BV39" s="167">
        <f t="shared" si="4"/>
        <v>0</v>
      </c>
    </row>
    <row r="40" spans="1:74" hidden="1" x14ac:dyDescent="0.25">
      <c r="A40" s="442"/>
      <c r="B40" s="442"/>
      <c r="C40" s="192" t="s">
        <v>529</v>
      </c>
      <c r="D40" s="186" t="s">
        <v>239</v>
      </c>
      <c r="E40" s="186">
        <v>0</v>
      </c>
      <c r="F40" s="427">
        <f>BJ40</f>
        <v>2128</v>
      </c>
      <c r="G40" s="440">
        <f>F40*E40</f>
        <v>0</v>
      </c>
      <c r="H40" s="440"/>
      <c r="I40" s="440"/>
      <c r="J40" s="440"/>
      <c r="K40" s="440"/>
      <c r="L40" s="440">
        <f>G40*1</f>
        <v>0</v>
      </c>
      <c r="M40" s="440"/>
      <c r="N40" s="440"/>
      <c r="O40" s="441"/>
      <c r="P40" s="441"/>
      <c r="Q40" s="231"/>
      <c r="R40" s="254">
        <f>F40*0.25</f>
        <v>532</v>
      </c>
      <c r="S40" s="254">
        <f>F40*0.25</f>
        <v>532</v>
      </c>
      <c r="T40" s="254">
        <f>F40*0.25</f>
        <v>532</v>
      </c>
      <c r="U40" s="254">
        <f>F40*0.25</f>
        <v>532</v>
      </c>
      <c r="V40" s="188">
        <f>R40*E40</f>
        <v>0</v>
      </c>
      <c r="W40" s="188">
        <f>S40*E40</f>
        <v>0</v>
      </c>
      <c r="X40" s="188">
        <f>T40*E40</f>
        <v>0</v>
      </c>
      <c r="Y40" s="188">
        <f>U40*E40</f>
        <v>0</v>
      </c>
      <c r="Z40" s="8">
        <v>0</v>
      </c>
      <c r="AA40" s="188">
        <f t="shared" si="5"/>
        <v>0</v>
      </c>
      <c r="AB40" s="443">
        <v>0</v>
      </c>
      <c r="AC40" s="188">
        <f t="shared" si="6"/>
        <v>0</v>
      </c>
      <c r="AD40" s="443">
        <v>0</v>
      </c>
      <c r="AE40" s="188">
        <f t="shared" si="7"/>
        <v>0</v>
      </c>
      <c r="AF40" s="443">
        <v>0</v>
      </c>
      <c r="AG40" s="188">
        <f t="shared" si="8"/>
        <v>0</v>
      </c>
      <c r="AH40" s="443">
        <v>500</v>
      </c>
      <c r="AI40" s="188">
        <f t="shared" si="9"/>
        <v>0</v>
      </c>
      <c r="AJ40" s="443">
        <v>0</v>
      </c>
      <c r="AK40" s="188">
        <f t="shared" si="10"/>
        <v>0</v>
      </c>
      <c r="AL40" s="443">
        <v>0</v>
      </c>
      <c r="AM40" s="188">
        <f t="shared" si="11"/>
        <v>0</v>
      </c>
      <c r="AN40" s="443">
        <v>0</v>
      </c>
      <c r="AO40" s="188">
        <f t="shared" si="12"/>
        <v>0</v>
      </c>
      <c r="AP40" s="443">
        <v>0</v>
      </c>
      <c r="AQ40" s="188">
        <f t="shared" si="13"/>
        <v>0</v>
      </c>
      <c r="AR40" s="443">
        <v>1334</v>
      </c>
      <c r="AS40" s="188">
        <f t="shared" si="24"/>
        <v>0</v>
      </c>
      <c r="AT40" s="443">
        <v>0</v>
      </c>
      <c r="AU40" s="188">
        <f t="shared" si="14"/>
        <v>0</v>
      </c>
      <c r="AV40" s="443">
        <v>0</v>
      </c>
      <c r="AW40" s="188">
        <f t="shared" si="15"/>
        <v>0</v>
      </c>
      <c r="AX40" s="443">
        <v>294</v>
      </c>
      <c r="AY40" s="188">
        <f>AX40*E40</f>
        <v>0</v>
      </c>
      <c r="AZ40" s="443">
        <v>0</v>
      </c>
      <c r="BA40" s="188">
        <f t="shared" si="17"/>
        <v>0</v>
      </c>
      <c r="BB40" s="443">
        <v>0</v>
      </c>
      <c r="BC40" s="188">
        <f t="shared" si="25"/>
        <v>0</v>
      </c>
      <c r="BD40" s="443">
        <v>0</v>
      </c>
      <c r="BE40" s="188">
        <f t="shared" si="18"/>
        <v>0</v>
      </c>
      <c r="BF40" s="443">
        <v>0</v>
      </c>
      <c r="BG40" s="188">
        <f t="shared" si="19"/>
        <v>0</v>
      </c>
      <c r="BH40" s="443">
        <v>0</v>
      </c>
      <c r="BI40" s="188">
        <f t="shared" si="20"/>
        <v>0</v>
      </c>
      <c r="BJ40" s="8">
        <f t="shared" si="45"/>
        <v>2128</v>
      </c>
      <c r="BK40" s="439">
        <f t="shared" si="45"/>
        <v>0</v>
      </c>
      <c r="BL40" s="186" t="s">
        <v>531</v>
      </c>
      <c r="BN40" s="190">
        <f>SUM(BN39)</f>
        <v>0</v>
      </c>
      <c r="BO40" s="444"/>
      <c r="BP40" s="444">
        <f>BK40</f>
        <v>0</v>
      </c>
      <c r="BQ40" s="444"/>
      <c r="BR40" s="190">
        <f t="shared" si="21"/>
        <v>0</v>
      </c>
      <c r="BS40" s="190"/>
      <c r="BT40" s="190"/>
      <c r="BU40" s="190"/>
      <c r="BV40" s="167">
        <f t="shared" si="4"/>
        <v>0</v>
      </c>
    </row>
    <row r="41" spans="1:74" ht="31.5" customHeight="1" x14ac:dyDescent="0.25">
      <c r="A41" s="442"/>
      <c r="B41" s="586" t="s">
        <v>1054</v>
      </c>
      <c r="C41" s="192" t="s">
        <v>688</v>
      </c>
      <c r="D41" s="186" t="s">
        <v>689</v>
      </c>
      <c r="E41" s="186">
        <v>0</v>
      </c>
      <c r="F41" s="427">
        <f>BJ41</f>
        <v>8064</v>
      </c>
      <c r="G41" s="440">
        <f>E41*F41</f>
        <v>0</v>
      </c>
      <c r="H41" s="440">
        <f>G41*0.2</f>
        <v>0</v>
      </c>
      <c r="I41" s="440">
        <f>G41*0.8</f>
        <v>0</v>
      </c>
      <c r="J41" s="440"/>
      <c r="K41" s="440"/>
      <c r="L41" s="440"/>
      <c r="M41" s="440"/>
      <c r="N41" s="440"/>
      <c r="O41" s="441"/>
      <c r="P41" s="441"/>
      <c r="Q41" s="231"/>
      <c r="R41" s="254"/>
      <c r="S41" s="254"/>
      <c r="T41" s="254"/>
      <c r="U41" s="254"/>
      <c r="V41" s="188"/>
      <c r="W41" s="188"/>
      <c r="X41" s="188"/>
      <c r="Y41" s="188"/>
      <c r="Z41" s="8">
        <v>865</v>
      </c>
      <c r="AA41" s="188">
        <f t="shared" si="5"/>
        <v>0</v>
      </c>
      <c r="AB41" s="443">
        <v>0</v>
      </c>
      <c r="AC41" s="188">
        <f t="shared" si="6"/>
        <v>0</v>
      </c>
      <c r="AD41" s="443">
        <v>425</v>
      </c>
      <c r="AE41" s="188">
        <f t="shared" si="7"/>
        <v>0</v>
      </c>
      <c r="AF41" s="443">
        <v>1870</v>
      </c>
      <c r="AG41" s="188">
        <f t="shared" si="8"/>
        <v>0</v>
      </c>
      <c r="AH41" s="443">
        <v>0</v>
      </c>
      <c r="AI41" s="188">
        <f t="shared" si="9"/>
        <v>0</v>
      </c>
      <c r="AJ41" s="443">
        <v>0</v>
      </c>
      <c r="AK41" s="188">
        <f t="shared" si="10"/>
        <v>0</v>
      </c>
      <c r="AL41" s="443">
        <v>0</v>
      </c>
      <c r="AM41" s="188">
        <f t="shared" si="11"/>
        <v>0</v>
      </c>
      <c r="AN41" s="443">
        <v>250</v>
      </c>
      <c r="AO41" s="188">
        <f t="shared" si="12"/>
        <v>0</v>
      </c>
      <c r="AP41" s="443">
        <v>425</v>
      </c>
      <c r="AQ41" s="188">
        <f t="shared" si="13"/>
        <v>0</v>
      </c>
      <c r="AR41" s="443">
        <v>0</v>
      </c>
      <c r="AS41" s="188">
        <f t="shared" si="24"/>
        <v>0</v>
      </c>
      <c r="AT41" s="443">
        <v>621</v>
      </c>
      <c r="AU41" s="188">
        <f t="shared" si="14"/>
        <v>0</v>
      </c>
      <c r="AV41" s="443">
        <v>458</v>
      </c>
      <c r="AW41" s="188">
        <f t="shared" si="15"/>
        <v>0</v>
      </c>
      <c r="AX41" s="443">
        <v>0</v>
      </c>
      <c r="AY41" s="188">
        <f t="shared" si="16"/>
        <v>0</v>
      </c>
      <c r="AZ41" s="443">
        <v>500</v>
      </c>
      <c r="BA41" s="188">
        <f t="shared" si="17"/>
        <v>0</v>
      </c>
      <c r="BB41" s="443">
        <v>0</v>
      </c>
      <c r="BC41" s="188">
        <f t="shared" si="25"/>
        <v>0</v>
      </c>
      <c r="BD41" s="443">
        <v>650</v>
      </c>
      <c r="BE41" s="188">
        <f t="shared" si="18"/>
        <v>0</v>
      </c>
      <c r="BF41" s="443">
        <v>2000</v>
      </c>
      <c r="BG41" s="188">
        <f t="shared" si="19"/>
        <v>0</v>
      </c>
      <c r="BH41" s="443"/>
      <c r="BI41" s="188">
        <f t="shared" si="20"/>
        <v>0</v>
      </c>
      <c r="BJ41" s="8">
        <f>Z41+AB41+AD41+AF41+AH41+AJ41+AL41+AN41+AP41+AR41+AT41+AV41+AX41+AZ41+BB41+BD41+BF41+BH41</f>
        <v>8064</v>
      </c>
      <c r="BK41" s="439">
        <f t="shared" si="45"/>
        <v>0</v>
      </c>
      <c r="BL41" s="186" t="s">
        <v>210</v>
      </c>
      <c r="BN41" s="190"/>
      <c r="BO41" s="444"/>
      <c r="BP41" s="444"/>
      <c r="BQ41" s="444"/>
      <c r="BR41" s="190"/>
      <c r="BS41" s="190"/>
      <c r="BT41" s="190"/>
      <c r="BU41" s="190"/>
      <c r="BV41" s="167"/>
    </row>
    <row r="42" spans="1:74" hidden="1" x14ac:dyDescent="0.25">
      <c r="A42" s="442"/>
      <c r="B42" s="442"/>
      <c r="C42" s="192" t="s">
        <v>690</v>
      </c>
      <c r="D42" s="186"/>
      <c r="E42" s="186">
        <v>342</v>
      </c>
      <c r="F42" s="427">
        <f>BJ42</f>
        <v>0</v>
      </c>
      <c r="G42" s="440">
        <f>E42*F42</f>
        <v>0</v>
      </c>
      <c r="H42" s="440"/>
      <c r="I42" s="440"/>
      <c r="J42" s="440"/>
      <c r="K42" s="440"/>
      <c r="L42" s="440">
        <f>G42*1</f>
        <v>0</v>
      </c>
      <c r="M42" s="440"/>
      <c r="N42" s="440"/>
      <c r="O42" s="441"/>
      <c r="P42" s="441"/>
      <c r="Q42" s="231"/>
      <c r="R42" s="254"/>
      <c r="S42" s="254"/>
      <c r="T42" s="254"/>
      <c r="U42" s="254"/>
      <c r="V42" s="188"/>
      <c r="W42" s="188"/>
      <c r="X42" s="188"/>
      <c r="Y42" s="188"/>
      <c r="Z42" s="8">
        <v>0</v>
      </c>
      <c r="AA42" s="188">
        <f t="shared" si="5"/>
        <v>0</v>
      </c>
      <c r="AB42" s="443">
        <v>0</v>
      </c>
      <c r="AC42" s="188">
        <f t="shared" si="6"/>
        <v>0</v>
      </c>
      <c r="AD42" s="443">
        <v>0</v>
      </c>
      <c r="AE42" s="188">
        <f t="shared" si="7"/>
        <v>0</v>
      </c>
      <c r="AF42" s="443">
        <v>0</v>
      </c>
      <c r="AG42" s="188">
        <f t="shared" si="8"/>
        <v>0</v>
      </c>
      <c r="AH42" s="443">
        <v>0</v>
      </c>
      <c r="AI42" s="188">
        <f t="shared" si="9"/>
        <v>0</v>
      </c>
      <c r="AJ42" s="443">
        <v>0</v>
      </c>
      <c r="AK42" s="188">
        <f t="shared" si="10"/>
        <v>0</v>
      </c>
      <c r="AL42" s="443">
        <v>0</v>
      </c>
      <c r="AM42" s="188">
        <f t="shared" si="11"/>
        <v>0</v>
      </c>
      <c r="AN42" s="443">
        <v>0</v>
      </c>
      <c r="AO42" s="188">
        <f t="shared" si="12"/>
        <v>0</v>
      </c>
      <c r="AP42" s="443">
        <v>0</v>
      </c>
      <c r="AQ42" s="188">
        <f t="shared" si="13"/>
        <v>0</v>
      </c>
      <c r="AR42" s="443">
        <v>0</v>
      </c>
      <c r="AS42" s="188">
        <f t="shared" si="24"/>
        <v>0</v>
      </c>
      <c r="AT42" s="443">
        <v>0</v>
      </c>
      <c r="AU42" s="188">
        <f t="shared" si="14"/>
        <v>0</v>
      </c>
      <c r="AV42" s="443">
        <v>0</v>
      </c>
      <c r="AW42" s="188">
        <f t="shared" si="15"/>
        <v>0</v>
      </c>
      <c r="AX42" s="443">
        <v>0</v>
      </c>
      <c r="AY42" s="188">
        <f t="shared" si="16"/>
        <v>0</v>
      </c>
      <c r="AZ42" s="443">
        <v>0</v>
      </c>
      <c r="BA42" s="188">
        <f t="shared" si="17"/>
        <v>0</v>
      </c>
      <c r="BB42" s="443">
        <v>0</v>
      </c>
      <c r="BC42" s="188">
        <f t="shared" si="25"/>
        <v>0</v>
      </c>
      <c r="BD42" s="443">
        <v>0</v>
      </c>
      <c r="BE42" s="188">
        <f t="shared" si="18"/>
        <v>0</v>
      </c>
      <c r="BF42" s="443">
        <v>0</v>
      </c>
      <c r="BG42" s="188">
        <f t="shared" si="19"/>
        <v>0</v>
      </c>
      <c r="BH42" s="443"/>
      <c r="BI42" s="188">
        <f t="shared" si="20"/>
        <v>0</v>
      </c>
      <c r="BJ42" s="8">
        <f>Z42+AB42+AD42+AF42+AH42+AJ42+AL42+AN42+AP42+AR42+AT42+AV42+AX42+AZ42+BB42+BD42+BF42+BH42</f>
        <v>0</v>
      </c>
      <c r="BK42" s="439">
        <f t="shared" si="45"/>
        <v>0</v>
      </c>
      <c r="BL42" s="186" t="s">
        <v>531</v>
      </c>
      <c r="BN42" s="190"/>
      <c r="BO42" s="444"/>
      <c r="BP42" s="444"/>
      <c r="BQ42" s="444"/>
      <c r="BR42" s="190"/>
      <c r="BS42" s="190"/>
      <c r="BT42" s="190"/>
      <c r="BU42" s="190"/>
      <c r="BV42" s="167"/>
    </row>
    <row r="43" spans="1:74" hidden="1" x14ac:dyDescent="0.25">
      <c r="A43" s="442"/>
      <c r="B43" s="442"/>
      <c r="C43" s="192" t="s">
        <v>530</v>
      </c>
      <c r="D43" s="186" t="s">
        <v>239</v>
      </c>
      <c r="E43" s="186"/>
      <c r="F43" s="427">
        <f t="shared" ref="F43:F44" si="46">BJ43</f>
        <v>147</v>
      </c>
      <c r="G43" s="440">
        <f>F43*E43</f>
        <v>0</v>
      </c>
      <c r="H43" s="440"/>
      <c r="I43" s="440"/>
      <c r="J43" s="440"/>
      <c r="K43" s="440"/>
      <c r="L43" s="440">
        <f>G43*1</f>
        <v>0</v>
      </c>
      <c r="M43" s="440"/>
      <c r="N43" s="440"/>
      <c r="O43" s="441"/>
      <c r="P43" s="441"/>
      <c r="Q43" s="231"/>
      <c r="R43" s="254">
        <f>F43*0.25</f>
        <v>36.75</v>
      </c>
      <c r="S43" s="254">
        <f>F43*0.25</f>
        <v>36.75</v>
      </c>
      <c r="T43" s="254">
        <f>F43*0.25</f>
        <v>36.75</v>
      </c>
      <c r="U43" s="254">
        <f>F43*0.25</f>
        <v>36.75</v>
      </c>
      <c r="V43" s="188">
        <f>R43*E43</f>
        <v>0</v>
      </c>
      <c r="W43" s="188">
        <f>S43*E43</f>
        <v>0</v>
      </c>
      <c r="X43" s="188">
        <f>T43*E43</f>
        <v>0</v>
      </c>
      <c r="Y43" s="188">
        <f>U43*E43</f>
        <v>0</v>
      </c>
      <c r="Z43" s="8">
        <v>0</v>
      </c>
      <c r="AA43" s="188">
        <f t="shared" si="5"/>
        <v>0</v>
      </c>
      <c r="AB43" s="443">
        <v>0</v>
      </c>
      <c r="AC43" s="188">
        <f t="shared" si="6"/>
        <v>0</v>
      </c>
      <c r="AD43" s="443">
        <v>0</v>
      </c>
      <c r="AE43" s="188">
        <f t="shared" si="7"/>
        <v>0</v>
      </c>
      <c r="AF43" s="443">
        <v>0</v>
      </c>
      <c r="AG43" s="188">
        <f t="shared" si="8"/>
        <v>0</v>
      </c>
      <c r="AH43" s="443">
        <v>0</v>
      </c>
      <c r="AI43" s="188">
        <f t="shared" si="9"/>
        <v>0</v>
      </c>
      <c r="AJ43" s="443">
        <v>0</v>
      </c>
      <c r="AK43" s="188">
        <f t="shared" si="10"/>
        <v>0</v>
      </c>
      <c r="AL43" s="443">
        <v>0</v>
      </c>
      <c r="AM43" s="188">
        <f t="shared" si="11"/>
        <v>0</v>
      </c>
      <c r="AN43" s="443">
        <v>0</v>
      </c>
      <c r="AO43" s="188">
        <f t="shared" si="12"/>
        <v>0</v>
      </c>
      <c r="AP43" s="443">
        <v>0</v>
      </c>
      <c r="AQ43" s="188">
        <f t="shared" si="13"/>
        <v>0</v>
      </c>
      <c r="AR43" s="443">
        <v>0</v>
      </c>
      <c r="AS43" s="188">
        <f t="shared" si="24"/>
        <v>0</v>
      </c>
      <c r="AT43" s="443">
        <v>0</v>
      </c>
      <c r="AU43" s="188">
        <f t="shared" si="14"/>
        <v>0</v>
      </c>
      <c r="AV43" s="443">
        <v>0</v>
      </c>
      <c r="AW43" s="188">
        <f t="shared" si="15"/>
        <v>0</v>
      </c>
      <c r="AX43" s="443">
        <v>147</v>
      </c>
      <c r="AY43" s="188">
        <f t="shared" si="16"/>
        <v>0</v>
      </c>
      <c r="AZ43" s="443">
        <v>0</v>
      </c>
      <c r="BA43" s="188">
        <f t="shared" si="17"/>
        <v>0</v>
      </c>
      <c r="BB43" s="443">
        <v>0</v>
      </c>
      <c r="BC43" s="188">
        <f t="shared" si="25"/>
        <v>0</v>
      </c>
      <c r="BD43" s="443">
        <v>0</v>
      </c>
      <c r="BE43" s="188">
        <f t="shared" si="18"/>
        <v>0</v>
      </c>
      <c r="BF43" s="443">
        <v>0</v>
      </c>
      <c r="BG43" s="188">
        <f t="shared" si="19"/>
        <v>0</v>
      </c>
      <c r="BH43" s="443">
        <v>0</v>
      </c>
      <c r="BI43" s="188">
        <f t="shared" si="20"/>
        <v>0</v>
      </c>
      <c r="BJ43" s="8">
        <f t="shared" si="45"/>
        <v>147</v>
      </c>
      <c r="BK43" s="439">
        <f t="shared" si="45"/>
        <v>0</v>
      </c>
      <c r="BL43" s="186" t="s">
        <v>531</v>
      </c>
      <c r="BN43" s="190">
        <f>SUM(BN40)</f>
        <v>0</v>
      </c>
      <c r="BO43" s="444"/>
      <c r="BP43" s="444">
        <f>BK43</f>
        <v>0</v>
      </c>
      <c r="BQ43" s="444"/>
      <c r="BR43" s="190">
        <f t="shared" si="21"/>
        <v>0</v>
      </c>
      <c r="BS43" s="190"/>
      <c r="BT43" s="190"/>
      <c r="BU43" s="190"/>
      <c r="BV43" s="167">
        <f t="shared" si="4"/>
        <v>0</v>
      </c>
    </row>
    <row r="44" spans="1:74" x14ac:dyDescent="0.25">
      <c r="A44" s="442"/>
      <c r="B44" s="586" t="s">
        <v>1055</v>
      </c>
      <c r="C44" s="192" t="s">
        <v>691</v>
      </c>
      <c r="D44" s="186" t="s">
        <v>239</v>
      </c>
      <c r="E44" s="193">
        <v>1000000</v>
      </c>
      <c r="F44" s="427">
        <f t="shared" si="46"/>
        <v>3</v>
      </c>
      <c r="G44" s="440">
        <f>F44*E44</f>
        <v>3000000</v>
      </c>
      <c r="H44" s="440">
        <f>G44*0.2</f>
        <v>600000</v>
      </c>
      <c r="I44" s="440">
        <f>G44*0.8</f>
        <v>2400000</v>
      </c>
      <c r="J44" s="440"/>
      <c r="K44" s="440"/>
      <c r="L44" s="440"/>
      <c r="M44" s="440"/>
      <c r="N44" s="440"/>
      <c r="O44" s="441"/>
      <c r="P44" s="441">
        <v>0</v>
      </c>
      <c r="Q44" s="231"/>
      <c r="R44" s="254">
        <f>F44*0.25</f>
        <v>0.75</v>
      </c>
      <c r="S44" s="254">
        <f>F44*0.25</f>
        <v>0.75</v>
      </c>
      <c r="T44" s="254">
        <f>F44*0.25</f>
        <v>0.75</v>
      </c>
      <c r="U44" s="254">
        <f>F44*0.25</f>
        <v>0.75</v>
      </c>
      <c r="V44" s="188">
        <f>R44*E44</f>
        <v>750000</v>
      </c>
      <c r="W44" s="188">
        <f>S44*E44</f>
        <v>750000</v>
      </c>
      <c r="X44" s="188">
        <f>T44*E44</f>
        <v>750000</v>
      </c>
      <c r="Y44" s="188">
        <f>U44*E44</f>
        <v>750000</v>
      </c>
      <c r="Z44" s="8"/>
      <c r="AA44" s="188">
        <f t="shared" si="5"/>
        <v>0</v>
      </c>
      <c r="AB44" s="443"/>
      <c r="AC44" s="188">
        <f t="shared" si="6"/>
        <v>0</v>
      </c>
      <c r="AD44" s="443"/>
      <c r="AE44" s="188">
        <f t="shared" si="7"/>
        <v>0</v>
      </c>
      <c r="AF44" s="443">
        <v>0</v>
      </c>
      <c r="AG44" s="188">
        <f t="shared" si="8"/>
        <v>0</v>
      </c>
      <c r="AH44" s="443">
        <v>0</v>
      </c>
      <c r="AI44" s="188">
        <f t="shared" si="9"/>
        <v>0</v>
      </c>
      <c r="AJ44" s="443"/>
      <c r="AK44" s="188">
        <f t="shared" si="10"/>
        <v>0</v>
      </c>
      <c r="AL44" s="443"/>
      <c r="AM44" s="188">
        <f t="shared" si="11"/>
        <v>0</v>
      </c>
      <c r="AN44" s="443"/>
      <c r="AO44" s="188">
        <f t="shared" si="12"/>
        <v>0</v>
      </c>
      <c r="AP44" s="443"/>
      <c r="AQ44" s="188">
        <f t="shared" si="13"/>
        <v>0</v>
      </c>
      <c r="AR44" s="443"/>
      <c r="AS44" s="188">
        <f t="shared" si="24"/>
        <v>0</v>
      </c>
      <c r="AT44" s="443"/>
      <c r="AU44" s="188">
        <f t="shared" si="14"/>
        <v>0</v>
      </c>
      <c r="AV44" s="443"/>
      <c r="AW44" s="188">
        <f t="shared" si="15"/>
        <v>0</v>
      </c>
      <c r="AX44" s="443">
        <v>0</v>
      </c>
      <c r="AY44" s="188">
        <f t="shared" si="16"/>
        <v>0</v>
      </c>
      <c r="AZ44" s="443"/>
      <c r="BA44" s="188">
        <f t="shared" si="17"/>
        <v>0</v>
      </c>
      <c r="BB44" s="443"/>
      <c r="BC44" s="188">
        <f t="shared" si="25"/>
        <v>0</v>
      </c>
      <c r="BD44" s="443"/>
      <c r="BE44" s="188">
        <f t="shared" si="18"/>
        <v>0</v>
      </c>
      <c r="BF44" s="443"/>
      <c r="BG44" s="188">
        <f t="shared" si="19"/>
        <v>0</v>
      </c>
      <c r="BH44" s="443">
        <v>3</v>
      </c>
      <c r="BI44" s="188">
        <f t="shared" si="20"/>
        <v>3000000</v>
      </c>
      <c r="BJ44" s="8">
        <f t="shared" si="45"/>
        <v>3</v>
      </c>
      <c r="BK44" s="439">
        <f t="shared" si="45"/>
        <v>3000000</v>
      </c>
      <c r="BL44" s="186" t="s">
        <v>210</v>
      </c>
      <c r="BN44" s="190">
        <f>SUM(BN43)</f>
        <v>0</v>
      </c>
      <c r="BO44" s="444">
        <f>BK44</f>
        <v>3000000</v>
      </c>
      <c r="BP44" s="444"/>
      <c r="BQ44" s="444"/>
      <c r="BR44" s="190">
        <f t="shared" si="21"/>
        <v>3000000</v>
      </c>
      <c r="BS44" s="190"/>
      <c r="BT44" s="190"/>
      <c r="BU44" s="190"/>
      <c r="BV44" s="167">
        <f t="shared" si="4"/>
        <v>3000000</v>
      </c>
    </row>
    <row r="45" spans="1:74" s="180" customFormat="1" hidden="1" x14ac:dyDescent="0.25">
      <c r="A45" s="442"/>
      <c r="B45" s="442"/>
      <c r="C45" s="185" t="s">
        <v>533</v>
      </c>
      <c r="D45" s="204"/>
      <c r="E45" s="205"/>
      <c r="F45" s="447">
        <f t="shared" ref="F45:BI45" si="47">SUM(F39:F44)</f>
        <v>12470</v>
      </c>
      <c r="G45" s="447">
        <f t="shared" si="47"/>
        <v>3000000</v>
      </c>
      <c r="H45" s="447">
        <f t="shared" si="47"/>
        <v>600000</v>
      </c>
      <c r="I45" s="447">
        <f t="shared" si="47"/>
        <v>2400000</v>
      </c>
      <c r="J45" s="447">
        <f t="shared" si="47"/>
        <v>0</v>
      </c>
      <c r="K45" s="447">
        <f t="shared" si="47"/>
        <v>0</v>
      </c>
      <c r="L45" s="447">
        <f t="shared" si="47"/>
        <v>0</v>
      </c>
      <c r="M45" s="447">
        <f t="shared" si="47"/>
        <v>0</v>
      </c>
      <c r="N45" s="447">
        <f t="shared" si="47"/>
        <v>0</v>
      </c>
      <c r="O45" s="447">
        <f t="shared" si="47"/>
        <v>0</v>
      </c>
      <c r="P45" s="447">
        <f t="shared" si="47"/>
        <v>0</v>
      </c>
      <c r="Q45" s="447">
        <f t="shared" si="47"/>
        <v>0</v>
      </c>
      <c r="R45" s="447">
        <f t="shared" si="47"/>
        <v>1101.5</v>
      </c>
      <c r="S45" s="447">
        <f t="shared" si="47"/>
        <v>1101.5</v>
      </c>
      <c r="T45" s="447">
        <f t="shared" si="47"/>
        <v>1101.5</v>
      </c>
      <c r="U45" s="447">
        <f t="shared" si="47"/>
        <v>1101.5</v>
      </c>
      <c r="V45" s="447">
        <f t="shared" si="47"/>
        <v>750000</v>
      </c>
      <c r="W45" s="447">
        <f t="shared" si="47"/>
        <v>750000</v>
      </c>
      <c r="X45" s="447">
        <f t="shared" si="47"/>
        <v>750000</v>
      </c>
      <c r="Y45" s="447">
        <f t="shared" si="47"/>
        <v>750000</v>
      </c>
      <c r="Z45" s="447">
        <f t="shared" si="47"/>
        <v>865</v>
      </c>
      <c r="AA45" s="447">
        <f t="shared" si="47"/>
        <v>0</v>
      </c>
      <c r="AB45" s="447">
        <f t="shared" si="47"/>
        <v>0</v>
      </c>
      <c r="AC45" s="447">
        <f t="shared" si="47"/>
        <v>0</v>
      </c>
      <c r="AD45" s="447">
        <f t="shared" si="47"/>
        <v>425</v>
      </c>
      <c r="AE45" s="447">
        <f t="shared" si="47"/>
        <v>0</v>
      </c>
      <c r="AF45" s="447">
        <f t="shared" si="47"/>
        <v>1870</v>
      </c>
      <c r="AG45" s="447">
        <f t="shared" si="47"/>
        <v>0</v>
      </c>
      <c r="AH45" s="447">
        <f t="shared" si="47"/>
        <v>1000</v>
      </c>
      <c r="AI45" s="447">
        <f t="shared" si="47"/>
        <v>0</v>
      </c>
      <c r="AJ45" s="447">
        <f t="shared" si="47"/>
        <v>0</v>
      </c>
      <c r="AK45" s="447">
        <f t="shared" si="47"/>
        <v>0</v>
      </c>
      <c r="AL45" s="447">
        <f t="shared" si="47"/>
        <v>0</v>
      </c>
      <c r="AM45" s="447">
        <f t="shared" si="47"/>
        <v>0</v>
      </c>
      <c r="AN45" s="447">
        <f t="shared" si="47"/>
        <v>250</v>
      </c>
      <c r="AO45" s="447">
        <f t="shared" si="47"/>
        <v>0</v>
      </c>
      <c r="AP45" s="447">
        <f t="shared" si="47"/>
        <v>425</v>
      </c>
      <c r="AQ45" s="447">
        <f t="shared" si="47"/>
        <v>0</v>
      </c>
      <c r="AR45" s="447">
        <f t="shared" si="47"/>
        <v>2668</v>
      </c>
      <c r="AS45" s="447">
        <f t="shared" si="47"/>
        <v>0</v>
      </c>
      <c r="AT45" s="447">
        <f t="shared" si="47"/>
        <v>621</v>
      </c>
      <c r="AU45" s="447">
        <f t="shared" si="47"/>
        <v>0</v>
      </c>
      <c r="AV45" s="447">
        <f t="shared" si="47"/>
        <v>458</v>
      </c>
      <c r="AW45" s="447">
        <f t="shared" si="47"/>
        <v>0</v>
      </c>
      <c r="AX45" s="447">
        <f t="shared" si="47"/>
        <v>735</v>
      </c>
      <c r="AY45" s="447">
        <f t="shared" si="47"/>
        <v>0</v>
      </c>
      <c r="AZ45" s="447">
        <f t="shared" si="47"/>
        <v>500</v>
      </c>
      <c r="BA45" s="447">
        <f t="shared" si="47"/>
        <v>0</v>
      </c>
      <c r="BB45" s="447">
        <f t="shared" si="47"/>
        <v>0</v>
      </c>
      <c r="BC45" s="447">
        <f t="shared" si="47"/>
        <v>0</v>
      </c>
      <c r="BD45" s="447">
        <f t="shared" si="47"/>
        <v>650</v>
      </c>
      <c r="BE45" s="447">
        <f t="shared" si="47"/>
        <v>0</v>
      </c>
      <c r="BF45" s="447">
        <f t="shared" si="47"/>
        <v>2000</v>
      </c>
      <c r="BG45" s="447">
        <f t="shared" si="47"/>
        <v>0</v>
      </c>
      <c r="BH45" s="447">
        <f t="shared" si="47"/>
        <v>3</v>
      </c>
      <c r="BI45" s="447">
        <f t="shared" si="47"/>
        <v>3000000</v>
      </c>
      <c r="BJ45" s="447">
        <f t="shared" ref="BJ45:BK45" si="48">SUM(BJ39:BJ44)</f>
        <v>12470</v>
      </c>
      <c r="BK45" s="447">
        <f t="shared" si="48"/>
        <v>3000000</v>
      </c>
      <c r="BL45" s="204"/>
      <c r="BN45" s="206">
        <f t="shared" ref="BN45:BV45" si="49">SUM(BN39:BN44)</f>
        <v>0</v>
      </c>
      <c r="BO45" s="206">
        <f t="shared" si="49"/>
        <v>3000000</v>
      </c>
      <c r="BP45" s="206">
        <f t="shared" si="49"/>
        <v>0</v>
      </c>
      <c r="BQ45" s="206">
        <f t="shared" si="49"/>
        <v>0</v>
      </c>
      <c r="BR45" s="206">
        <f t="shared" si="49"/>
        <v>3000000</v>
      </c>
      <c r="BS45" s="206">
        <f t="shared" si="49"/>
        <v>0</v>
      </c>
      <c r="BT45" s="206">
        <f t="shared" si="49"/>
        <v>0</v>
      </c>
      <c r="BU45" s="206">
        <f t="shared" si="49"/>
        <v>0</v>
      </c>
      <c r="BV45" s="206">
        <f t="shared" si="49"/>
        <v>3000000</v>
      </c>
    </row>
    <row r="46" spans="1:74" s="180" customFormat="1" hidden="1" x14ac:dyDescent="0.25">
      <c r="A46" s="442"/>
      <c r="B46" s="442"/>
      <c r="C46" s="223" t="s">
        <v>17</v>
      </c>
      <c r="D46" s="204" t="s">
        <v>111</v>
      </c>
      <c r="E46" s="16"/>
      <c r="F46" s="447">
        <f t="shared" ref="F46:BI46" si="50">F37+F20+F45</f>
        <v>12991</v>
      </c>
      <c r="G46" s="447">
        <f t="shared" si="50"/>
        <v>106920000</v>
      </c>
      <c r="H46" s="447">
        <f t="shared" si="50"/>
        <v>4942000</v>
      </c>
      <c r="I46" s="447">
        <f t="shared" si="50"/>
        <v>81136000</v>
      </c>
      <c r="J46" s="447">
        <f t="shared" si="50"/>
        <v>0</v>
      </c>
      <c r="K46" s="447">
        <f t="shared" si="50"/>
        <v>0</v>
      </c>
      <c r="L46" s="447">
        <f t="shared" si="50"/>
        <v>5500000</v>
      </c>
      <c r="M46" s="447">
        <f t="shared" si="50"/>
        <v>0</v>
      </c>
      <c r="N46" s="447">
        <f t="shared" si="50"/>
        <v>0</v>
      </c>
      <c r="O46" s="447">
        <f t="shared" si="50"/>
        <v>0</v>
      </c>
      <c r="P46" s="447">
        <f t="shared" si="50"/>
        <v>15342000</v>
      </c>
      <c r="Q46" s="447">
        <f t="shared" si="50"/>
        <v>0</v>
      </c>
      <c r="R46" s="447">
        <f t="shared" si="50"/>
        <v>1128.5</v>
      </c>
      <c r="S46" s="447">
        <f t="shared" si="50"/>
        <v>1221.7</v>
      </c>
      <c r="T46" s="447">
        <f t="shared" si="50"/>
        <v>1193.4000000000001</v>
      </c>
      <c r="U46" s="447">
        <f t="shared" si="50"/>
        <v>1188.4000000000001</v>
      </c>
      <c r="V46" s="447">
        <f t="shared" si="50"/>
        <v>14250000</v>
      </c>
      <c r="W46" s="447">
        <f t="shared" si="50"/>
        <v>20874000</v>
      </c>
      <c r="X46" s="447">
        <f t="shared" si="50"/>
        <v>24868000</v>
      </c>
      <c r="Y46" s="447">
        <f t="shared" si="50"/>
        <v>26168000</v>
      </c>
      <c r="Z46" s="447">
        <f t="shared" si="50"/>
        <v>895</v>
      </c>
      <c r="AA46" s="447">
        <f t="shared" si="50"/>
        <v>7180000</v>
      </c>
      <c r="AB46" s="447">
        <f t="shared" si="50"/>
        <v>33</v>
      </c>
      <c r="AC46" s="447">
        <f t="shared" si="50"/>
        <v>2820000</v>
      </c>
      <c r="AD46" s="447">
        <f t="shared" si="50"/>
        <v>464</v>
      </c>
      <c r="AE46" s="447">
        <f t="shared" si="50"/>
        <v>8120000</v>
      </c>
      <c r="AF46" s="447">
        <f t="shared" si="50"/>
        <v>1912</v>
      </c>
      <c r="AG46" s="447">
        <f t="shared" si="50"/>
        <v>8640000</v>
      </c>
      <c r="AH46" s="447">
        <f t="shared" si="50"/>
        <v>1022</v>
      </c>
      <c r="AI46" s="447">
        <f t="shared" si="50"/>
        <v>6350000</v>
      </c>
      <c r="AJ46" s="447">
        <f t="shared" si="50"/>
        <v>27</v>
      </c>
      <c r="AK46" s="447">
        <f t="shared" si="50"/>
        <v>7650000</v>
      </c>
      <c r="AL46" s="447">
        <f t="shared" si="50"/>
        <v>30</v>
      </c>
      <c r="AM46" s="447">
        <f t="shared" si="50"/>
        <v>6750000</v>
      </c>
      <c r="AN46" s="447">
        <f t="shared" si="50"/>
        <v>287</v>
      </c>
      <c r="AO46" s="447">
        <f t="shared" si="50"/>
        <v>3875000</v>
      </c>
      <c r="AP46" s="447">
        <f t="shared" si="50"/>
        <v>437</v>
      </c>
      <c r="AQ46" s="447">
        <f t="shared" si="50"/>
        <v>2720000</v>
      </c>
      <c r="AR46" s="447">
        <f t="shared" si="50"/>
        <v>2707</v>
      </c>
      <c r="AS46" s="447">
        <f t="shared" si="50"/>
        <v>10270000</v>
      </c>
      <c r="AT46" s="447">
        <f t="shared" si="50"/>
        <v>658</v>
      </c>
      <c r="AU46" s="447">
        <f t="shared" si="50"/>
        <v>9280000</v>
      </c>
      <c r="AV46" s="447">
        <f t="shared" si="50"/>
        <v>489</v>
      </c>
      <c r="AW46" s="447">
        <f t="shared" si="50"/>
        <v>3975000</v>
      </c>
      <c r="AX46" s="447">
        <f t="shared" si="50"/>
        <v>748</v>
      </c>
      <c r="AY46" s="447">
        <f t="shared" si="50"/>
        <v>2900000</v>
      </c>
      <c r="AZ46" s="447">
        <f t="shared" si="50"/>
        <v>534</v>
      </c>
      <c r="BA46" s="447">
        <f t="shared" si="50"/>
        <v>8440000</v>
      </c>
      <c r="BB46" s="447">
        <f t="shared" si="50"/>
        <v>28</v>
      </c>
      <c r="BC46" s="447">
        <f t="shared" si="50"/>
        <v>4000000</v>
      </c>
      <c r="BD46" s="447">
        <f t="shared" si="50"/>
        <v>687</v>
      </c>
      <c r="BE46" s="447">
        <f t="shared" si="50"/>
        <v>7350000</v>
      </c>
      <c r="BF46" s="447">
        <f t="shared" si="50"/>
        <v>2030</v>
      </c>
      <c r="BG46" s="447">
        <f t="shared" si="50"/>
        <v>3600000</v>
      </c>
      <c r="BH46" s="447">
        <f t="shared" si="50"/>
        <v>3</v>
      </c>
      <c r="BI46" s="447">
        <f t="shared" si="50"/>
        <v>3000000</v>
      </c>
      <c r="BJ46" s="447">
        <f t="shared" ref="BJ46:BK46" si="51">BJ37+BJ20+BJ45</f>
        <v>12991</v>
      </c>
      <c r="BK46" s="447">
        <f t="shared" si="51"/>
        <v>106920000</v>
      </c>
      <c r="BL46" s="457"/>
      <c r="BN46" s="206">
        <f t="shared" ref="BN46:BV46" si="52">BN45+BN37+BN20</f>
        <v>18000000</v>
      </c>
      <c r="BO46" s="206">
        <f t="shared" si="52"/>
        <v>3000000</v>
      </c>
      <c r="BP46" s="206">
        <f t="shared" si="52"/>
        <v>85920000</v>
      </c>
      <c r="BQ46" s="206">
        <f t="shared" si="52"/>
        <v>0</v>
      </c>
      <c r="BR46" s="206">
        <f t="shared" si="52"/>
        <v>84360000</v>
      </c>
      <c r="BS46" s="206">
        <f t="shared" si="52"/>
        <v>0</v>
      </c>
      <c r="BT46" s="206">
        <f t="shared" si="52"/>
        <v>0</v>
      </c>
      <c r="BU46" s="206">
        <f t="shared" si="52"/>
        <v>0</v>
      </c>
      <c r="BV46" s="206">
        <f t="shared" si="52"/>
        <v>84360000</v>
      </c>
    </row>
    <row r="48" spans="1:74" x14ac:dyDescent="0.25">
      <c r="G48" s="625"/>
      <c r="H48" s="625"/>
    </row>
  </sheetData>
  <autoFilter ref="A9:BV46" xr:uid="{00000000-0001-0000-0A00-000000000000}">
    <filterColumn colId="63">
      <filters>
        <filter val="IFAD ( 80% )"/>
        <filter val="IFAD ( 80% ), BEN ( 10% )"/>
        <filter val="IFAD ( 80% ), BEN ( 20% )"/>
        <filter val="IFAD ( 80% ), CCD (20%)"/>
        <filter val="IFAD ( 80% ), GoO (10%), BEN ( 10% )"/>
        <filter val="IFAD ( 80% ), GoO (20%"/>
      </filters>
    </filterColumn>
  </autoFilter>
  <mergeCells count="38">
    <mergeCell ref="BB7:BC8"/>
    <mergeCell ref="BD7:BE8"/>
    <mergeCell ref="R7:U8"/>
    <mergeCell ref="V7:Y8"/>
    <mergeCell ref="Z7:AA8"/>
    <mergeCell ref="AJ7:AK8"/>
    <mergeCell ref="AL7:AM8"/>
    <mergeCell ref="AN7:AO8"/>
    <mergeCell ref="AP7:AQ8"/>
    <mergeCell ref="AT7:AU8"/>
    <mergeCell ref="AR7:AS8"/>
    <mergeCell ref="AV7:AW8"/>
    <mergeCell ref="AX7:AY8"/>
    <mergeCell ref="AZ7:BA8"/>
    <mergeCell ref="AH7:AI8"/>
    <mergeCell ref="BV8:BV9"/>
    <mergeCell ref="BF7:BG8"/>
    <mergeCell ref="BH7:BI8"/>
    <mergeCell ref="BJ7:BK8"/>
    <mergeCell ref="BL7:BL9"/>
    <mergeCell ref="BN8:BR8"/>
    <mergeCell ref="BS8:BU8"/>
    <mergeCell ref="C1:Q1"/>
    <mergeCell ref="C2:Q2"/>
    <mergeCell ref="C3:Q3"/>
    <mergeCell ref="AF7:AG8"/>
    <mergeCell ref="C4:Q4"/>
    <mergeCell ref="AB7:AC8"/>
    <mergeCell ref="AD7:AE8"/>
    <mergeCell ref="C5:Q5"/>
    <mergeCell ref="A7:D7"/>
    <mergeCell ref="E7:G7"/>
    <mergeCell ref="H7:Q7"/>
    <mergeCell ref="A8:A9"/>
    <mergeCell ref="C8:C9"/>
    <mergeCell ref="D8:D9"/>
    <mergeCell ref="G8:G9"/>
    <mergeCell ref="B9:B10"/>
  </mergeCells>
  <phoneticPr fontId="28" type="noConversion"/>
  <pageMargins left="0.67" right="0" top="0.17" bottom="0.25" header="0.2" footer="0.05"/>
  <pageSetup paperSize="9" scale="2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>
    <tabColor rgb="FF00B0F0"/>
    <pageSetUpPr fitToPage="1"/>
  </sheetPr>
  <dimension ref="A1:BV91"/>
  <sheetViews>
    <sheetView zoomScale="70" zoomScaleNormal="70" workbookViewId="0">
      <pane xSplit="7" ySplit="9" topLeftCell="BM73" activePane="bottomRight" state="frozen"/>
      <selection activeCell="A4" sqref="A4"/>
      <selection pane="topRight" activeCell="H4" sqref="H4"/>
      <selection pane="bottomLeft" activeCell="A10" sqref="A10"/>
      <selection pane="bottomRight" activeCell="C95" sqref="C95"/>
    </sheetView>
  </sheetViews>
  <sheetFormatPr defaultColWidth="15.28515625" defaultRowHeight="15.75" x14ac:dyDescent="0.25"/>
  <cols>
    <col min="1" max="1" width="11.28515625" style="176" customWidth="1"/>
    <col min="2" max="2" width="11.42578125" style="176" customWidth="1"/>
    <col min="3" max="3" width="39.140625" style="176" customWidth="1"/>
    <col min="4" max="4" width="15.28515625" style="176" customWidth="1"/>
    <col min="5" max="5" width="16.28515625" style="175" customWidth="1"/>
    <col min="6" max="6" width="12.28515625" style="176" customWidth="1"/>
    <col min="7" max="7" width="17.140625" style="176" customWidth="1"/>
    <col min="8" max="8" width="15.5703125" style="176" customWidth="1"/>
    <col min="9" max="9" width="20.140625" style="176" customWidth="1"/>
    <col min="10" max="10" width="8" style="176" customWidth="1"/>
    <col min="11" max="11" width="6.42578125" style="176" customWidth="1"/>
    <col min="12" max="12" width="7.28515625" style="176" customWidth="1"/>
    <col min="13" max="13" width="6.28515625" style="176" customWidth="1"/>
    <col min="14" max="14" width="6" style="176" customWidth="1"/>
    <col min="15" max="15" width="7.85546875" style="176" customWidth="1"/>
    <col min="16" max="16" width="7.7109375" style="176" customWidth="1"/>
    <col min="17" max="17" width="9.28515625" style="176" customWidth="1"/>
    <col min="18" max="21" width="6.42578125" style="176" customWidth="1"/>
    <col min="22" max="22" width="15.7109375" style="176" customWidth="1"/>
    <col min="23" max="24" width="15.85546875" style="176" bestFit="1" customWidth="1"/>
    <col min="25" max="25" width="14.5703125" style="176" customWidth="1"/>
    <col min="26" max="60" width="15.28515625" style="176" customWidth="1"/>
    <col min="61" max="61" width="17.28515625" style="176" customWidth="1"/>
    <col min="62" max="62" width="15.28515625" style="176" customWidth="1"/>
    <col min="63" max="63" width="15.42578125" style="176" customWidth="1"/>
    <col min="64" max="64" width="21.42578125" style="176" customWidth="1"/>
    <col min="65" max="65" width="15.28515625" style="176" customWidth="1"/>
    <col min="66" max="66" width="7.7109375" style="176" bestFit="1" customWidth="1"/>
    <col min="67" max="67" width="14.42578125" style="176" customWidth="1"/>
    <col min="68" max="68" width="17.28515625" style="176" bestFit="1" customWidth="1"/>
    <col min="69" max="69" width="9.7109375" style="176" customWidth="1"/>
    <col min="70" max="70" width="17.7109375" style="176" bestFit="1" customWidth="1"/>
    <col min="71" max="73" width="17" style="176" bestFit="1" customWidth="1"/>
    <col min="74" max="74" width="16.7109375" style="176" customWidth="1"/>
    <col min="75" max="16384" width="15.28515625" style="176"/>
  </cols>
  <sheetData>
    <row r="1" spans="1:74" x14ac:dyDescent="0.25">
      <c r="C1" s="176" t="s">
        <v>1011</v>
      </c>
      <c r="Q1" s="176" t="s">
        <v>576</v>
      </c>
    </row>
    <row r="2" spans="1:74" x14ac:dyDescent="0.25">
      <c r="A2" s="861" t="s">
        <v>159</v>
      </c>
      <c r="B2" s="861"/>
      <c r="C2" s="458" t="s">
        <v>153</v>
      </c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180"/>
      <c r="S2" s="180"/>
      <c r="T2" s="180"/>
      <c r="U2" s="180"/>
      <c r="V2" s="180"/>
      <c r="W2" s="180"/>
      <c r="X2" s="180"/>
      <c r="Y2" s="180"/>
    </row>
    <row r="3" spans="1:74" x14ac:dyDescent="0.25">
      <c r="A3" s="861" t="s">
        <v>155</v>
      </c>
      <c r="B3" s="861"/>
      <c r="C3" s="458" t="s">
        <v>154</v>
      </c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180"/>
      <c r="S3" s="180"/>
      <c r="T3" s="180"/>
      <c r="U3" s="180"/>
      <c r="V3" s="180"/>
      <c r="W3" s="180"/>
      <c r="X3" s="180"/>
      <c r="Y3" s="180"/>
    </row>
    <row r="4" spans="1:74" x14ac:dyDescent="0.25">
      <c r="A4" s="861" t="s">
        <v>156</v>
      </c>
      <c r="B4" s="861"/>
      <c r="C4" s="458" t="s">
        <v>950</v>
      </c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180"/>
      <c r="S4" s="180"/>
      <c r="T4" s="180"/>
      <c r="U4" s="180"/>
      <c r="V4" s="180"/>
      <c r="W4" s="180"/>
      <c r="X4" s="180"/>
      <c r="Y4" s="180"/>
    </row>
    <row r="5" spans="1:74" x14ac:dyDescent="0.25">
      <c r="A5" s="458" t="s">
        <v>162</v>
      </c>
      <c r="B5" s="458"/>
      <c r="C5" s="458" t="s">
        <v>160</v>
      </c>
      <c r="D5" s="458"/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8"/>
      <c r="R5" s="180"/>
      <c r="S5" s="180"/>
      <c r="T5" s="180"/>
      <c r="U5" s="180"/>
      <c r="V5" s="180"/>
      <c r="W5" s="180"/>
      <c r="X5" s="180"/>
      <c r="Y5" s="180"/>
    </row>
    <row r="6" spans="1:74" x14ac:dyDescent="0.25">
      <c r="A6" s="861" t="s">
        <v>164</v>
      </c>
      <c r="B6" s="861"/>
      <c r="C6" s="459" t="s">
        <v>163</v>
      </c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459"/>
      <c r="Q6" s="459"/>
      <c r="R6" s="180"/>
      <c r="S6" s="180"/>
      <c r="T6" s="180"/>
      <c r="U6" s="180"/>
      <c r="V6" s="180"/>
      <c r="W6" s="180"/>
      <c r="X6" s="180"/>
      <c r="Y6" s="180"/>
    </row>
    <row r="7" spans="1:74" x14ac:dyDescent="0.25">
      <c r="A7" s="862"/>
      <c r="B7" s="862"/>
      <c r="C7" s="862"/>
      <c r="D7" s="862"/>
      <c r="E7" s="873" t="s">
        <v>198</v>
      </c>
      <c r="F7" s="874"/>
      <c r="G7" s="875"/>
      <c r="H7" s="761" t="s">
        <v>152</v>
      </c>
      <c r="I7" s="762"/>
      <c r="J7" s="762"/>
      <c r="K7" s="762"/>
      <c r="L7" s="762"/>
      <c r="M7" s="762"/>
      <c r="N7" s="762"/>
      <c r="O7" s="762"/>
      <c r="P7" s="762"/>
      <c r="Q7" s="763"/>
      <c r="R7" s="876" t="s">
        <v>62</v>
      </c>
      <c r="S7" s="877"/>
      <c r="T7" s="877"/>
      <c r="U7" s="878"/>
      <c r="V7" s="867" t="s">
        <v>6</v>
      </c>
      <c r="W7" s="868"/>
      <c r="X7" s="868"/>
      <c r="Y7" s="869"/>
      <c r="Z7" s="770" t="s">
        <v>180</v>
      </c>
      <c r="AA7" s="770"/>
      <c r="AB7" s="770" t="s">
        <v>181</v>
      </c>
      <c r="AC7" s="770"/>
      <c r="AD7" s="770" t="s">
        <v>182</v>
      </c>
      <c r="AE7" s="770"/>
      <c r="AF7" s="770" t="s">
        <v>183</v>
      </c>
      <c r="AG7" s="770"/>
      <c r="AH7" s="770" t="s">
        <v>184</v>
      </c>
      <c r="AI7" s="770"/>
      <c r="AJ7" s="770" t="s">
        <v>185</v>
      </c>
      <c r="AK7" s="770"/>
      <c r="AL7" s="770" t="s">
        <v>186</v>
      </c>
      <c r="AM7" s="770"/>
      <c r="AN7" s="770" t="s">
        <v>187</v>
      </c>
      <c r="AO7" s="770"/>
      <c r="AP7" s="770" t="s">
        <v>188</v>
      </c>
      <c r="AQ7" s="770"/>
      <c r="AR7" s="770" t="s">
        <v>189</v>
      </c>
      <c r="AS7" s="770"/>
      <c r="AT7" s="770" t="s">
        <v>190</v>
      </c>
      <c r="AU7" s="770"/>
      <c r="AV7" s="770" t="s">
        <v>191</v>
      </c>
      <c r="AW7" s="770"/>
      <c r="AX7" s="770" t="s">
        <v>192</v>
      </c>
      <c r="AY7" s="770"/>
      <c r="AZ7" s="770" t="s">
        <v>193</v>
      </c>
      <c r="BA7" s="770"/>
      <c r="BB7" s="770" t="s">
        <v>194</v>
      </c>
      <c r="BC7" s="770"/>
      <c r="BD7" s="770" t="s">
        <v>195</v>
      </c>
      <c r="BE7" s="770"/>
      <c r="BF7" s="770" t="s">
        <v>196</v>
      </c>
      <c r="BG7" s="770"/>
      <c r="BH7" s="770" t="s">
        <v>197</v>
      </c>
      <c r="BI7" s="770"/>
      <c r="BJ7" s="770" t="s">
        <v>17</v>
      </c>
      <c r="BK7" s="851"/>
      <c r="BL7" s="740" t="s">
        <v>230</v>
      </c>
    </row>
    <row r="8" spans="1:74" x14ac:dyDescent="0.25">
      <c r="A8" s="771" t="s">
        <v>13</v>
      </c>
      <c r="B8" s="577" t="s">
        <v>1</v>
      </c>
      <c r="C8" s="863" t="s">
        <v>12</v>
      </c>
      <c r="D8" s="863" t="s">
        <v>14</v>
      </c>
      <c r="E8" s="849" t="s">
        <v>28</v>
      </c>
      <c r="F8" s="865" t="s">
        <v>26</v>
      </c>
      <c r="G8" s="766" t="s">
        <v>27</v>
      </c>
      <c r="H8" s="16" t="s">
        <v>200</v>
      </c>
      <c r="I8" s="16" t="s">
        <v>201</v>
      </c>
      <c r="J8" s="16" t="s">
        <v>202</v>
      </c>
      <c r="K8" s="16" t="s">
        <v>203</v>
      </c>
      <c r="L8" s="16" t="s">
        <v>204</v>
      </c>
      <c r="M8" s="16" t="s">
        <v>205</v>
      </c>
      <c r="N8" s="16" t="s">
        <v>919</v>
      </c>
      <c r="O8" s="16" t="s">
        <v>206</v>
      </c>
      <c r="P8" s="16" t="s">
        <v>207</v>
      </c>
      <c r="Q8" s="16" t="s">
        <v>768</v>
      </c>
      <c r="R8" s="879"/>
      <c r="S8" s="880"/>
      <c r="T8" s="880"/>
      <c r="U8" s="881"/>
      <c r="V8" s="870"/>
      <c r="W8" s="871"/>
      <c r="X8" s="871"/>
      <c r="Y8" s="872"/>
      <c r="Z8" s="770"/>
      <c r="AA8" s="770"/>
      <c r="AB8" s="770" t="s">
        <v>43</v>
      </c>
      <c r="AC8" s="770"/>
      <c r="AD8" s="770" t="s">
        <v>44</v>
      </c>
      <c r="AE8" s="770"/>
      <c r="AF8" s="770" t="s">
        <v>45</v>
      </c>
      <c r="AG8" s="770"/>
      <c r="AH8" s="770" t="s">
        <v>46</v>
      </c>
      <c r="AI8" s="770"/>
      <c r="AJ8" s="770" t="s">
        <v>47</v>
      </c>
      <c r="AK8" s="770"/>
      <c r="AL8" s="770" t="s">
        <v>48</v>
      </c>
      <c r="AM8" s="770"/>
      <c r="AN8" s="770" t="s">
        <v>49</v>
      </c>
      <c r="AO8" s="770"/>
      <c r="AP8" s="770" t="s">
        <v>50</v>
      </c>
      <c r="AQ8" s="770"/>
      <c r="AR8" s="770" t="s">
        <v>51</v>
      </c>
      <c r="AS8" s="770"/>
      <c r="AT8" s="770" t="s">
        <v>52</v>
      </c>
      <c r="AU8" s="770"/>
      <c r="AV8" s="770" t="s">
        <v>53</v>
      </c>
      <c r="AW8" s="770"/>
      <c r="AX8" s="770" t="s">
        <v>54</v>
      </c>
      <c r="AY8" s="770"/>
      <c r="AZ8" s="770" t="s">
        <v>55</v>
      </c>
      <c r="BA8" s="770"/>
      <c r="BB8" s="770" t="s">
        <v>40</v>
      </c>
      <c r="BC8" s="770"/>
      <c r="BD8" s="770" t="s">
        <v>37</v>
      </c>
      <c r="BE8" s="770"/>
      <c r="BF8" s="770"/>
      <c r="BG8" s="770"/>
      <c r="BH8" s="770"/>
      <c r="BI8" s="770"/>
      <c r="BJ8" s="770"/>
      <c r="BK8" s="851"/>
      <c r="BL8" s="740"/>
      <c r="BN8" s="746" t="s">
        <v>228</v>
      </c>
      <c r="BO8" s="746"/>
      <c r="BP8" s="746"/>
      <c r="BQ8" s="746"/>
      <c r="BR8" s="746"/>
      <c r="BS8" s="746" t="s">
        <v>229</v>
      </c>
      <c r="BT8" s="746"/>
      <c r="BU8" s="737"/>
      <c r="BV8" s="740" t="s">
        <v>17</v>
      </c>
    </row>
    <row r="9" spans="1:74" ht="47.25" x14ac:dyDescent="0.25">
      <c r="A9" s="772"/>
      <c r="B9" s="577" t="s">
        <v>2</v>
      </c>
      <c r="C9" s="864"/>
      <c r="D9" s="864"/>
      <c r="E9" s="850"/>
      <c r="F9" s="866"/>
      <c r="G9" s="766"/>
      <c r="H9" s="460"/>
      <c r="I9" s="460"/>
      <c r="J9" s="460">
        <v>0</v>
      </c>
      <c r="K9" s="460">
        <v>0</v>
      </c>
      <c r="L9" s="460">
        <v>0</v>
      </c>
      <c r="M9" s="460">
        <v>0</v>
      </c>
      <c r="N9" s="460">
        <v>0</v>
      </c>
      <c r="O9" s="460">
        <v>0</v>
      </c>
      <c r="P9" s="460">
        <v>0</v>
      </c>
      <c r="Q9" s="460">
        <v>0</v>
      </c>
      <c r="R9" s="577" t="s">
        <v>7</v>
      </c>
      <c r="S9" s="577" t="s">
        <v>8</v>
      </c>
      <c r="T9" s="577" t="s">
        <v>9</v>
      </c>
      <c r="U9" s="577" t="s">
        <v>10</v>
      </c>
      <c r="V9" s="577" t="s">
        <v>7</v>
      </c>
      <c r="W9" s="577" t="s">
        <v>8</v>
      </c>
      <c r="X9" s="577" t="s">
        <v>9</v>
      </c>
      <c r="Y9" s="577" t="s">
        <v>10</v>
      </c>
      <c r="Z9" s="423" t="s">
        <v>14</v>
      </c>
      <c r="AA9" s="424" t="s">
        <v>15</v>
      </c>
      <c r="AB9" s="425" t="s">
        <v>14</v>
      </c>
      <c r="AC9" s="425" t="s">
        <v>15</v>
      </c>
      <c r="AD9" s="425" t="s">
        <v>14</v>
      </c>
      <c r="AE9" s="425" t="s">
        <v>15</v>
      </c>
      <c r="AF9" s="425" t="s">
        <v>14</v>
      </c>
      <c r="AG9" s="425" t="s">
        <v>15</v>
      </c>
      <c r="AH9" s="425" t="s">
        <v>14</v>
      </c>
      <c r="AI9" s="425" t="s">
        <v>15</v>
      </c>
      <c r="AJ9" s="425" t="s">
        <v>14</v>
      </c>
      <c r="AK9" s="425" t="s">
        <v>15</v>
      </c>
      <c r="AL9" s="425" t="s">
        <v>14</v>
      </c>
      <c r="AM9" s="425" t="s">
        <v>15</v>
      </c>
      <c r="AN9" s="425" t="s">
        <v>14</v>
      </c>
      <c r="AO9" s="425" t="s">
        <v>15</v>
      </c>
      <c r="AP9" s="425" t="s">
        <v>14</v>
      </c>
      <c r="AQ9" s="425" t="s">
        <v>15</v>
      </c>
      <c r="AR9" s="425" t="s">
        <v>14</v>
      </c>
      <c r="AS9" s="425" t="s">
        <v>15</v>
      </c>
      <c r="AT9" s="425" t="s">
        <v>14</v>
      </c>
      <c r="AU9" s="425" t="s">
        <v>15</v>
      </c>
      <c r="AV9" s="425" t="s">
        <v>14</v>
      </c>
      <c r="AW9" s="425" t="s">
        <v>15</v>
      </c>
      <c r="AX9" s="425" t="s">
        <v>14</v>
      </c>
      <c r="AY9" s="425" t="s">
        <v>15</v>
      </c>
      <c r="AZ9" s="425" t="s">
        <v>14</v>
      </c>
      <c r="BA9" s="425" t="s">
        <v>15</v>
      </c>
      <c r="BB9" s="425" t="s">
        <v>14</v>
      </c>
      <c r="BC9" s="425" t="s">
        <v>15</v>
      </c>
      <c r="BD9" s="425" t="s">
        <v>14</v>
      </c>
      <c r="BE9" s="425" t="s">
        <v>15</v>
      </c>
      <c r="BF9" s="425" t="s">
        <v>14</v>
      </c>
      <c r="BG9" s="425" t="s">
        <v>15</v>
      </c>
      <c r="BH9" s="425" t="s">
        <v>14</v>
      </c>
      <c r="BI9" s="425" t="s">
        <v>15</v>
      </c>
      <c r="BJ9" s="425" t="s">
        <v>14</v>
      </c>
      <c r="BK9" s="426" t="s">
        <v>15</v>
      </c>
      <c r="BL9" s="740"/>
      <c r="BN9" s="16" t="s">
        <v>219</v>
      </c>
      <c r="BO9" s="28" t="s">
        <v>220</v>
      </c>
      <c r="BP9" s="28" t="s">
        <v>221</v>
      </c>
      <c r="BQ9" s="565" t="s">
        <v>222</v>
      </c>
      <c r="BR9" s="28" t="s">
        <v>223</v>
      </c>
      <c r="BS9" s="28" t="s">
        <v>224</v>
      </c>
      <c r="BT9" s="28" t="s">
        <v>225</v>
      </c>
      <c r="BU9" s="461" t="s">
        <v>226</v>
      </c>
      <c r="BV9" s="740"/>
    </row>
    <row r="10" spans="1:74" x14ac:dyDescent="0.25">
      <c r="A10" s="135"/>
      <c r="B10" s="169"/>
      <c r="C10" s="185" t="s">
        <v>316</v>
      </c>
      <c r="D10" s="186"/>
      <c r="E10" s="186"/>
      <c r="F10" s="8"/>
      <c r="G10" s="428"/>
      <c r="H10" s="428"/>
      <c r="I10" s="428"/>
      <c r="J10" s="428"/>
      <c r="K10" s="428"/>
      <c r="L10" s="428"/>
      <c r="M10" s="428"/>
      <c r="N10" s="428"/>
      <c r="O10" s="462"/>
      <c r="P10" s="462"/>
      <c r="Q10" s="462"/>
      <c r="R10" s="463"/>
      <c r="S10" s="446"/>
      <c r="T10" s="463"/>
      <c r="U10" s="463"/>
      <c r="V10" s="463"/>
      <c r="W10" s="8"/>
      <c r="X10" s="577"/>
      <c r="Y10" s="577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186"/>
      <c r="BN10" s="190"/>
      <c r="BO10" s="190"/>
      <c r="BP10" s="190"/>
      <c r="BQ10" s="190"/>
      <c r="BR10" s="190"/>
      <c r="BS10" s="190"/>
      <c r="BT10" s="190"/>
      <c r="BU10" s="444"/>
      <c r="BV10" s="167">
        <f>BR10+BU10</f>
        <v>0</v>
      </c>
    </row>
    <row r="11" spans="1:74" x14ac:dyDescent="0.25">
      <c r="A11" s="135"/>
      <c r="B11" s="207"/>
      <c r="C11" s="185" t="s">
        <v>371</v>
      </c>
      <c r="D11" s="186"/>
      <c r="E11" s="186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186"/>
      <c r="BN11" s="190"/>
      <c r="BO11" s="190"/>
      <c r="BP11" s="190"/>
      <c r="BQ11" s="190"/>
      <c r="BR11" s="190"/>
      <c r="BS11" s="190"/>
      <c r="BT11" s="190"/>
      <c r="BU11" s="444"/>
      <c r="BV11" s="167">
        <f t="shared" ref="BV11:BV78" si="0">BR11+BU11</f>
        <v>0</v>
      </c>
    </row>
    <row r="12" spans="1:74" x14ac:dyDescent="0.25">
      <c r="A12" s="135"/>
      <c r="B12" s="586" t="s">
        <v>1056</v>
      </c>
      <c r="C12" s="192" t="s">
        <v>310</v>
      </c>
      <c r="D12" s="186" t="s">
        <v>65</v>
      </c>
      <c r="E12" s="193">
        <v>250000</v>
      </c>
      <c r="F12" s="8">
        <f>BJ12</f>
        <v>12</v>
      </c>
      <c r="G12" s="464">
        <f>F12*E12</f>
        <v>3000000</v>
      </c>
      <c r="H12" s="464">
        <f>G12*0.5</f>
        <v>1500000</v>
      </c>
      <c r="I12" s="464">
        <f>G12*0.5</f>
        <v>1500000</v>
      </c>
      <c r="J12" s="464"/>
      <c r="K12" s="464"/>
      <c r="L12" s="464"/>
      <c r="M12" s="464"/>
      <c r="N12" s="464"/>
      <c r="O12" s="7"/>
      <c r="P12" s="7"/>
      <c r="Q12" s="7"/>
      <c r="R12" s="8">
        <f>F12*0.25</f>
        <v>3</v>
      </c>
      <c r="S12" s="8">
        <f>F12*0.25</f>
        <v>3</v>
      </c>
      <c r="T12" s="8">
        <f>F12*0.25</f>
        <v>3</v>
      </c>
      <c r="U12" s="8">
        <f>F12*0.25</f>
        <v>3</v>
      </c>
      <c r="V12" s="167">
        <f>R12*E12</f>
        <v>750000</v>
      </c>
      <c r="W12" s="167">
        <f>S12*E12</f>
        <v>750000</v>
      </c>
      <c r="X12" s="167">
        <f>T12*E12</f>
        <v>750000</v>
      </c>
      <c r="Y12" s="167">
        <f>U12*E12</f>
        <v>750000</v>
      </c>
      <c r="Z12" s="8"/>
      <c r="AA12" s="167"/>
      <c r="AB12" s="8"/>
      <c r="AC12" s="167"/>
      <c r="AD12" s="8"/>
      <c r="AE12" s="167"/>
      <c r="AF12" s="8"/>
      <c r="AG12" s="167"/>
      <c r="AH12" s="8"/>
      <c r="AI12" s="167"/>
      <c r="AJ12" s="8"/>
      <c r="AK12" s="167"/>
      <c r="AL12" s="8"/>
      <c r="AM12" s="167"/>
      <c r="AN12" s="8"/>
      <c r="AO12" s="167"/>
      <c r="AP12" s="8"/>
      <c r="AQ12" s="167"/>
      <c r="AR12" s="8"/>
      <c r="AS12" s="167"/>
      <c r="AT12" s="8"/>
      <c r="AU12" s="167"/>
      <c r="AV12" s="8"/>
      <c r="AW12" s="167"/>
      <c r="AX12" s="8"/>
      <c r="AY12" s="167"/>
      <c r="AZ12" s="8"/>
      <c r="BA12" s="167"/>
      <c r="BB12" s="8"/>
      <c r="BC12" s="167"/>
      <c r="BD12" s="8"/>
      <c r="BE12" s="167"/>
      <c r="BF12" s="8"/>
      <c r="BG12" s="167"/>
      <c r="BH12" s="8">
        <v>12</v>
      </c>
      <c r="BI12" s="167">
        <f>BH12*E12</f>
        <v>3000000</v>
      </c>
      <c r="BJ12" s="8">
        <f t="shared" ref="BJ12:BJ24" si="1">BH12</f>
        <v>12</v>
      </c>
      <c r="BK12" s="8">
        <f t="shared" ref="BK12:BK24" si="2">BI12</f>
        <v>3000000</v>
      </c>
      <c r="BL12" s="186" t="s">
        <v>212</v>
      </c>
      <c r="BN12" s="190"/>
      <c r="BO12" s="190"/>
      <c r="BP12" s="190"/>
      <c r="BQ12" s="190"/>
      <c r="BR12" s="190">
        <f>BN12+BO12+BP12+BQ12</f>
        <v>0</v>
      </c>
      <c r="BS12" s="190"/>
      <c r="BT12" s="190">
        <f>BK12</f>
        <v>3000000</v>
      </c>
      <c r="BU12" s="444">
        <f>BS12+BT12</f>
        <v>3000000</v>
      </c>
      <c r="BV12" s="167">
        <f t="shared" si="0"/>
        <v>3000000</v>
      </c>
    </row>
    <row r="13" spans="1:74" x14ac:dyDescent="0.25">
      <c r="A13" s="135"/>
      <c r="B13" s="586" t="s">
        <v>1057</v>
      </c>
      <c r="C13" s="192" t="s">
        <v>311</v>
      </c>
      <c r="D13" s="186" t="s">
        <v>16</v>
      </c>
      <c r="E13" s="193">
        <v>150000</v>
      </c>
      <c r="F13" s="8">
        <f>BJ13</f>
        <v>1</v>
      </c>
      <c r="G13" s="464">
        <f t="shared" ref="G13:G24" si="3">F13*E13</f>
        <v>150000</v>
      </c>
      <c r="H13" s="464">
        <f t="shared" ref="H13:H23" si="4">G13*0.2</f>
        <v>30000</v>
      </c>
      <c r="I13" s="464">
        <f t="shared" ref="I13:I23" si="5">G13*0.8</f>
        <v>120000</v>
      </c>
      <c r="J13" s="464"/>
      <c r="K13" s="464"/>
      <c r="L13" s="464"/>
      <c r="M13" s="464"/>
      <c r="N13" s="464"/>
      <c r="O13" s="7"/>
      <c r="P13" s="7"/>
      <c r="Q13" s="7"/>
      <c r="R13" s="8"/>
      <c r="S13" s="8">
        <f>F13</f>
        <v>1</v>
      </c>
      <c r="T13" s="8"/>
      <c r="U13" s="8"/>
      <c r="V13" s="167">
        <f t="shared" ref="V13:V24" si="6">R13*E13</f>
        <v>0</v>
      </c>
      <c r="W13" s="167">
        <f t="shared" ref="W13:W24" si="7">S13*E13</f>
        <v>150000</v>
      </c>
      <c r="X13" s="167">
        <f t="shared" ref="X13:X24" si="8">T13*E13</f>
        <v>0</v>
      </c>
      <c r="Y13" s="167">
        <f t="shared" ref="Y13:Y24" si="9">U13*E13</f>
        <v>0</v>
      </c>
      <c r="Z13" s="8"/>
      <c r="AA13" s="167"/>
      <c r="AB13" s="8"/>
      <c r="AC13" s="167"/>
      <c r="AD13" s="8"/>
      <c r="AE13" s="167"/>
      <c r="AF13" s="8"/>
      <c r="AG13" s="167"/>
      <c r="AH13" s="8"/>
      <c r="AI13" s="167"/>
      <c r="AJ13" s="8"/>
      <c r="AK13" s="167"/>
      <c r="AL13" s="8"/>
      <c r="AM13" s="167"/>
      <c r="AN13" s="8"/>
      <c r="AO13" s="167"/>
      <c r="AP13" s="8"/>
      <c r="AQ13" s="167"/>
      <c r="AR13" s="8"/>
      <c r="AS13" s="167"/>
      <c r="AT13" s="8"/>
      <c r="AU13" s="167"/>
      <c r="AV13" s="8"/>
      <c r="AW13" s="167"/>
      <c r="AX13" s="8"/>
      <c r="AY13" s="167"/>
      <c r="AZ13" s="8"/>
      <c r="BA13" s="167"/>
      <c r="BB13" s="8"/>
      <c r="BC13" s="167"/>
      <c r="BD13" s="8"/>
      <c r="BE13" s="167"/>
      <c r="BF13" s="8"/>
      <c r="BG13" s="167"/>
      <c r="BH13" s="8">
        <v>1</v>
      </c>
      <c r="BI13" s="167">
        <f t="shared" ref="BI13:BI78" si="10">BH13*E13</f>
        <v>150000</v>
      </c>
      <c r="BJ13" s="8">
        <f t="shared" si="1"/>
        <v>1</v>
      </c>
      <c r="BK13" s="8">
        <f t="shared" si="2"/>
        <v>150000</v>
      </c>
      <c r="BL13" s="186" t="s">
        <v>210</v>
      </c>
      <c r="BN13" s="190"/>
      <c r="BO13" s="190"/>
      <c r="BP13" s="190">
        <f>BK13</f>
        <v>150000</v>
      </c>
      <c r="BQ13" s="190"/>
      <c r="BR13" s="190">
        <f t="shared" ref="BR13:BR24" si="11">BN13+BO13+BP13+BQ13</f>
        <v>150000</v>
      </c>
      <c r="BS13" s="190"/>
      <c r="BT13" s="190"/>
      <c r="BU13" s="444">
        <f t="shared" ref="BU13:BU24" si="12">BS13+BT13</f>
        <v>0</v>
      </c>
      <c r="BV13" s="167">
        <f t="shared" si="0"/>
        <v>150000</v>
      </c>
    </row>
    <row r="14" spans="1:74" x14ac:dyDescent="0.25">
      <c r="A14" s="135"/>
      <c r="B14" s="586" t="s">
        <v>1058</v>
      </c>
      <c r="C14" s="192" t="s">
        <v>312</v>
      </c>
      <c r="D14" s="186" t="s">
        <v>100</v>
      </c>
      <c r="E14" s="193" t="s">
        <v>342</v>
      </c>
      <c r="F14" s="8">
        <f t="shared" ref="F14:F24" si="13">BJ14</f>
        <v>1</v>
      </c>
      <c r="G14" s="464">
        <f t="shared" si="3"/>
        <v>40000</v>
      </c>
      <c r="H14" s="464">
        <f t="shared" si="4"/>
        <v>8000</v>
      </c>
      <c r="I14" s="464">
        <f t="shared" si="5"/>
        <v>32000</v>
      </c>
      <c r="J14" s="464"/>
      <c r="K14" s="464"/>
      <c r="L14" s="464"/>
      <c r="M14" s="464"/>
      <c r="N14" s="464"/>
      <c r="O14" s="7"/>
      <c r="P14" s="7"/>
      <c r="Q14" s="7"/>
      <c r="R14" s="8"/>
      <c r="S14" s="8">
        <f>F14</f>
        <v>1</v>
      </c>
      <c r="T14" s="8"/>
      <c r="U14" s="8"/>
      <c r="V14" s="167">
        <f t="shared" si="6"/>
        <v>0</v>
      </c>
      <c r="W14" s="167">
        <f t="shared" si="7"/>
        <v>40000</v>
      </c>
      <c r="X14" s="167">
        <f t="shared" si="8"/>
        <v>0</v>
      </c>
      <c r="Y14" s="167">
        <f t="shared" si="9"/>
        <v>0</v>
      </c>
      <c r="Z14" s="8"/>
      <c r="AA14" s="167"/>
      <c r="AB14" s="8"/>
      <c r="AC14" s="167"/>
      <c r="AD14" s="8"/>
      <c r="AE14" s="167"/>
      <c r="AF14" s="8"/>
      <c r="AG14" s="167"/>
      <c r="AH14" s="8"/>
      <c r="AI14" s="167"/>
      <c r="AJ14" s="8"/>
      <c r="AK14" s="167"/>
      <c r="AL14" s="8"/>
      <c r="AM14" s="167"/>
      <c r="AN14" s="8"/>
      <c r="AO14" s="167"/>
      <c r="AP14" s="8"/>
      <c r="AQ14" s="167"/>
      <c r="AR14" s="8"/>
      <c r="AS14" s="167"/>
      <c r="AT14" s="8"/>
      <c r="AU14" s="167"/>
      <c r="AV14" s="8"/>
      <c r="AW14" s="167"/>
      <c r="AX14" s="8"/>
      <c r="AY14" s="167"/>
      <c r="AZ14" s="8"/>
      <c r="BA14" s="167"/>
      <c r="BB14" s="8"/>
      <c r="BC14" s="167"/>
      <c r="BD14" s="8"/>
      <c r="BE14" s="167"/>
      <c r="BF14" s="8"/>
      <c r="BG14" s="167"/>
      <c r="BH14" s="8">
        <v>1</v>
      </c>
      <c r="BI14" s="167">
        <f t="shared" si="10"/>
        <v>40000</v>
      </c>
      <c r="BJ14" s="8">
        <f t="shared" si="1"/>
        <v>1</v>
      </c>
      <c r="BK14" s="8">
        <f t="shared" si="2"/>
        <v>40000</v>
      </c>
      <c r="BL14" s="186" t="s">
        <v>210</v>
      </c>
      <c r="BN14" s="190"/>
      <c r="BO14" s="190"/>
      <c r="BP14" s="190">
        <f t="shared" ref="BP14:BP24" si="14">BK14</f>
        <v>40000</v>
      </c>
      <c r="BQ14" s="190"/>
      <c r="BR14" s="190">
        <f t="shared" si="11"/>
        <v>40000</v>
      </c>
      <c r="BS14" s="190"/>
      <c r="BT14" s="190"/>
      <c r="BU14" s="444">
        <f t="shared" si="12"/>
        <v>0</v>
      </c>
      <c r="BV14" s="167">
        <f t="shared" si="0"/>
        <v>40000</v>
      </c>
    </row>
    <row r="15" spans="1:74" x14ac:dyDescent="0.25">
      <c r="A15" s="135"/>
      <c r="B15" s="586" t="s">
        <v>1059</v>
      </c>
      <c r="C15" s="192" t="s">
        <v>313</v>
      </c>
      <c r="D15" s="186" t="s">
        <v>100</v>
      </c>
      <c r="E15" s="193">
        <v>40000</v>
      </c>
      <c r="F15" s="8">
        <f t="shared" si="13"/>
        <v>5</v>
      </c>
      <c r="G15" s="464">
        <f t="shared" si="3"/>
        <v>200000</v>
      </c>
      <c r="H15" s="464">
        <f t="shared" si="4"/>
        <v>40000</v>
      </c>
      <c r="I15" s="464">
        <f t="shared" si="5"/>
        <v>160000</v>
      </c>
      <c r="J15" s="464"/>
      <c r="K15" s="464"/>
      <c r="L15" s="464"/>
      <c r="M15" s="464"/>
      <c r="N15" s="464"/>
      <c r="O15" s="7"/>
      <c r="P15" s="7"/>
      <c r="Q15" s="7"/>
      <c r="R15" s="8"/>
      <c r="S15" s="8">
        <f t="shared" ref="S15:S24" si="15">F15</f>
        <v>5</v>
      </c>
      <c r="T15" s="8"/>
      <c r="U15" s="8"/>
      <c r="V15" s="167">
        <f t="shared" si="6"/>
        <v>0</v>
      </c>
      <c r="W15" s="167">
        <f t="shared" si="7"/>
        <v>200000</v>
      </c>
      <c r="X15" s="167">
        <f t="shared" si="8"/>
        <v>0</v>
      </c>
      <c r="Y15" s="167">
        <f t="shared" si="9"/>
        <v>0</v>
      </c>
      <c r="Z15" s="8"/>
      <c r="AA15" s="167"/>
      <c r="AB15" s="8"/>
      <c r="AC15" s="167"/>
      <c r="AD15" s="8"/>
      <c r="AE15" s="167"/>
      <c r="AF15" s="8"/>
      <c r="AG15" s="167"/>
      <c r="AH15" s="8"/>
      <c r="AI15" s="167"/>
      <c r="AJ15" s="8"/>
      <c r="AK15" s="167"/>
      <c r="AL15" s="8"/>
      <c r="AM15" s="167"/>
      <c r="AN15" s="8"/>
      <c r="AO15" s="167"/>
      <c r="AP15" s="8"/>
      <c r="AQ15" s="167"/>
      <c r="AR15" s="8"/>
      <c r="AS15" s="167"/>
      <c r="AT15" s="8"/>
      <c r="AU15" s="167"/>
      <c r="AV15" s="8"/>
      <c r="AW15" s="167"/>
      <c r="AX15" s="8"/>
      <c r="AY15" s="167"/>
      <c r="AZ15" s="8"/>
      <c r="BA15" s="167"/>
      <c r="BB15" s="8"/>
      <c r="BC15" s="167"/>
      <c r="BD15" s="8"/>
      <c r="BE15" s="167"/>
      <c r="BF15" s="8"/>
      <c r="BG15" s="167"/>
      <c r="BH15" s="8">
        <v>5</v>
      </c>
      <c r="BI15" s="167">
        <f t="shared" si="10"/>
        <v>200000</v>
      </c>
      <c r="BJ15" s="8">
        <f t="shared" si="1"/>
        <v>5</v>
      </c>
      <c r="BK15" s="8">
        <f t="shared" si="2"/>
        <v>200000</v>
      </c>
      <c r="BL15" s="186" t="s">
        <v>210</v>
      </c>
      <c r="BN15" s="190"/>
      <c r="BO15" s="190"/>
      <c r="BP15" s="190">
        <f t="shared" si="14"/>
        <v>200000</v>
      </c>
      <c r="BQ15" s="190"/>
      <c r="BR15" s="190">
        <f t="shared" si="11"/>
        <v>200000</v>
      </c>
      <c r="BS15" s="190"/>
      <c r="BT15" s="190"/>
      <c r="BU15" s="444">
        <f t="shared" si="12"/>
        <v>0</v>
      </c>
      <c r="BV15" s="167">
        <f t="shared" si="0"/>
        <v>200000</v>
      </c>
    </row>
    <row r="16" spans="1:74" x14ac:dyDescent="0.25">
      <c r="A16" s="135"/>
      <c r="B16" s="586" t="s">
        <v>1060</v>
      </c>
      <c r="C16" s="192" t="s">
        <v>692</v>
      </c>
      <c r="D16" s="186" t="s">
        <v>100</v>
      </c>
      <c r="E16" s="193">
        <v>250000</v>
      </c>
      <c r="F16" s="8">
        <f t="shared" si="13"/>
        <v>0</v>
      </c>
      <c r="G16" s="464">
        <f t="shared" si="3"/>
        <v>0</v>
      </c>
      <c r="H16" s="464">
        <f t="shared" si="4"/>
        <v>0</v>
      </c>
      <c r="I16" s="464">
        <f t="shared" si="5"/>
        <v>0</v>
      </c>
      <c r="J16" s="464"/>
      <c r="K16" s="464"/>
      <c r="L16" s="464"/>
      <c r="M16" s="464"/>
      <c r="N16" s="464"/>
      <c r="O16" s="7"/>
      <c r="P16" s="7"/>
      <c r="Q16" s="7"/>
      <c r="R16" s="8"/>
      <c r="S16" s="8"/>
      <c r="T16" s="8"/>
      <c r="U16" s="8"/>
      <c r="V16" s="167">
        <f t="shared" si="6"/>
        <v>0</v>
      </c>
      <c r="W16" s="167"/>
      <c r="X16" s="167">
        <f t="shared" si="8"/>
        <v>0</v>
      </c>
      <c r="Y16" s="167">
        <f t="shared" si="9"/>
        <v>0</v>
      </c>
      <c r="Z16" s="8"/>
      <c r="AA16" s="167"/>
      <c r="AB16" s="8"/>
      <c r="AC16" s="167"/>
      <c r="AD16" s="8"/>
      <c r="AE16" s="167"/>
      <c r="AF16" s="8"/>
      <c r="AG16" s="167"/>
      <c r="AH16" s="8"/>
      <c r="AI16" s="167"/>
      <c r="AJ16" s="8"/>
      <c r="AK16" s="167"/>
      <c r="AL16" s="8"/>
      <c r="AM16" s="167"/>
      <c r="AN16" s="8"/>
      <c r="AO16" s="167"/>
      <c r="AP16" s="8"/>
      <c r="AQ16" s="167"/>
      <c r="AR16" s="8"/>
      <c r="AS16" s="167"/>
      <c r="AT16" s="8"/>
      <c r="AU16" s="167"/>
      <c r="AV16" s="8"/>
      <c r="AW16" s="167"/>
      <c r="AX16" s="8"/>
      <c r="AY16" s="167"/>
      <c r="AZ16" s="8"/>
      <c r="BA16" s="167"/>
      <c r="BB16" s="8"/>
      <c r="BC16" s="167"/>
      <c r="BD16" s="8"/>
      <c r="BE16" s="167"/>
      <c r="BF16" s="8"/>
      <c r="BG16" s="167"/>
      <c r="BH16" s="8">
        <v>0</v>
      </c>
      <c r="BI16" s="167">
        <f t="shared" si="10"/>
        <v>0</v>
      </c>
      <c r="BJ16" s="8">
        <f t="shared" si="1"/>
        <v>0</v>
      </c>
      <c r="BK16" s="8">
        <f t="shared" si="2"/>
        <v>0</v>
      </c>
      <c r="BL16" s="186"/>
      <c r="BN16" s="190"/>
      <c r="BO16" s="190"/>
      <c r="BP16" s="190"/>
      <c r="BQ16" s="190"/>
      <c r="BR16" s="190"/>
      <c r="BS16" s="190"/>
      <c r="BT16" s="190"/>
      <c r="BU16" s="444"/>
      <c r="BV16" s="167"/>
    </row>
    <row r="17" spans="1:74" x14ac:dyDescent="0.25">
      <c r="A17" s="135"/>
      <c r="B17" s="586" t="s">
        <v>1061</v>
      </c>
      <c r="C17" s="192" t="s">
        <v>314</v>
      </c>
      <c r="D17" s="186" t="s">
        <v>100</v>
      </c>
      <c r="E17" s="193" t="s">
        <v>346</v>
      </c>
      <c r="F17" s="8">
        <f t="shared" si="13"/>
        <v>0</v>
      </c>
      <c r="G17" s="464">
        <f t="shared" si="3"/>
        <v>0</v>
      </c>
      <c r="H17" s="464">
        <f t="shared" si="4"/>
        <v>0</v>
      </c>
      <c r="I17" s="464">
        <f t="shared" si="5"/>
        <v>0</v>
      </c>
      <c r="J17" s="464"/>
      <c r="K17" s="464"/>
      <c r="L17" s="464"/>
      <c r="M17" s="464"/>
      <c r="N17" s="464"/>
      <c r="O17" s="7"/>
      <c r="P17" s="7"/>
      <c r="Q17" s="7"/>
      <c r="R17" s="8"/>
      <c r="S17" s="8">
        <f t="shared" si="15"/>
        <v>0</v>
      </c>
      <c r="T17" s="8"/>
      <c r="U17" s="8"/>
      <c r="V17" s="167">
        <f t="shared" si="6"/>
        <v>0</v>
      </c>
      <c r="W17" s="167">
        <f t="shared" si="7"/>
        <v>0</v>
      </c>
      <c r="X17" s="167">
        <f t="shared" si="8"/>
        <v>0</v>
      </c>
      <c r="Y17" s="167">
        <f t="shared" si="9"/>
        <v>0</v>
      </c>
      <c r="Z17" s="8"/>
      <c r="AA17" s="167"/>
      <c r="AB17" s="8"/>
      <c r="AC17" s="167"/>
      <c r="AD17" s="8"/>
      <c r="AE17" s="167"/>
      <c r="AF17" s="8"/>
      <c r="AG17" s="167"/>
      <c r="AH17" s="8"/>
      <c r="AI17" s="167"/>
      <c r="AJ17" s="8"/>
      <c r="AK17" s="167"/>
      <c r="AL17" s="8"/>
      <c r="AM17" s="167"/>
      <c r="AN17" s="8"/>
      <c r="AO17" s="167"/>
      <c r="AP17" s="8"/>
      <c r="AQ17" s="167"/>
      <c r="AR17" s="8"/>
      <c r="AS17" s="167"/>
      <c r="AT17" s="8"/>
      <c r="AU17" s="167"/>
      <c r="AV17" s="8"/>
      <c r="AW17" s="167"/>
      <c r="AX17" s="8"/>
      <c r="AY17" s="167"/>
      <c r="AZ17" s="8"/>
      <c r="BA17" s="167"/>
      <c r="BB17" s="8"/>
      <c r="BC17" s="167"/>
      <c r="BD17" s="8"/>
      <c r="BE17" s="167"/>
      <c r="BF17" s="8"/>
      <c r="BG17" s="167"/>
      <c r="BH17" s="8">
        <v>0</v>
      </c>
      <c r="BI17" s="167">
        <f t="shared" si="10"/>
        <v>0</v>
      </c>
      <c r="BJ17" s="8">
        <f t="shared" si="1"/>
        <v>0</v>
      </c>
      <c r="BK17" s="8">
        <f t="shared" si="2"/>
        <v>0</v>
      </c>
      <c r="BL17" s="186" t="s">
        <v>210</v>
      </c>
      <c r="BN17" s="190"/>
      <c r="BO17" s="190"/>
      <c r="BP17" s="190">
        <f t="shared" si="14"/>
        <v>0</v>
      </c>
      <c r="BQ17" s="190"/>
      <c r="BR17" s="190">
        <f t="shared" si="11"/>
        <v>0</v>
      </c>
      <c r="BS17" s="190"/>
      <c r="BT17" s="190"/>
      <c r="BU17" s="444">
        <f t="shared" si="12"/>
        <v>0</v>
      </c>
      <c r="BV17" s="167">
        <f t="shared" si="0"/>
        <v>0</v>
      </c>
    </row>
    <row r="18" spans="1:74" x14ac:dyDescent="0.25">
      <c r="A18" s="135"/>
      <c r="B18" s="586" t="s">
        <v>1062</v>
      </c>
      <c r="C18" s="192" t="s">
        <v>105</v>
      </c>
      <c r="D18" s="186" t="s">
        <v>100</v>
      </c>
      <c r="E18" s="200">
        <v>50000</v>
      </c>
      <c r="F18" s="8">
        <f t="shared" si="13"/>
        <v>4</v>
      </c>
      <c r="G18" s="464">
        <f t="shared" si="3"/>
        <v>200000</v>
      </c>
      <c r="H18" s="464">
        <f t="shared" si="4"/>
        <v>40000</v>
      </c>
      <c r="I18" s="464">
        <f t="shared" si="5"/>
        <v>160000</v>
      </c>
      <c r="J18" s="465"/>
      <c r="K18" s="465"/>
      <c r="L18" s="465"/>
      <c r="M18" s="465"/>
      <c r="N18" s="465"/>
      <c r="O18" s="465"/>
      <c r="P18" s="465"/>
      <c r="Q18" s="465"/>
      <c r="R18" s="169"/>
      <c r="S18" s="8">
        <f t="shared" si="15"/>
        <v>4</v>
      </c>
      <c r="T18" s="169"/>
      <c r="U18" s="169"/>
      <c r="V18" s="167">
        <f t="shared" si="6"/>
        <v>0</v>
      </c>
      <c r="W18" s="167">
        <f t="shared" si="7"/>
        <v>200000</v>
      </c>
      <c r="X18" s="167">
        <f t="shared" si="8"/>
        <v>0</v>
      </c>
      <c r="Y18" s="167">
        <f t="shared" si="9"/>
        <v>0</v>
      </c>
      <c r="Z18" s="169"/>
      <c r="AA18" s="465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>
        <v>4</v>
      </c>
      <c r="BI18" s="167">
        <f t="shared" si="10"/>
        <v>200000</v>
      </c>
      <c r="BJ18" s="8">
        <f t="shared" si="1"/>
        <v>4</v>
      </c>
      <c r="BK18" s="8">
        <f t="shared" si="2"/>
        <v>200000</v>
      </c>
      <c r="BL18" s="186" t="s">
        <v>210</v>
      </c>
      <c r="BN18" s="466"/>
      <c r="BO18" s="466"/>
      <c r="BP18" s="190">
        <f t="shared" si="14"/>
        <v>200000</v>
      </c>
      <c r="BQ18" s="466"/>
      <c r="BR18" s="190">
        <f t="shared" si="11"/>
        <v>200000</v>
      </c>
      <c r="BS18" s="466"/>
      <c r="BT18" s="466"/>
      <c r="BU18" s="444">
        <f t="shared" si="12"/>
        <v>0</v>
      </c>
      <c r="BV18" s="167">
        <f t="shared" si="0"/>
        <v>200000</v>
      </c>
    </row>
    <row r="19" spans="1:74" x14ac:dyDescent="0.25">
      <c r="A19" s="135"/>
      <c r="B19" s="586" t="s">
        <v>1063</v>
      </c>
      <c r="C19" s="192" t="s">
        <v>315</v>
      </c>
      <c r="D19" s="186" t="s">
        <v>100</v>
      </c>
      <c r="E19" s="200">
        <v>40000</v>
      </c>
      <c r="F19" s="8">
        <f t="shared" si="13"/>
        <v>10</v>
      </c>
      <c r="G19" s="464">
        <f t="shared" si="3"/>
        <v>400000</v>
      </c>
      <c r="H19" s="464">
        <f t="shared" si="4"/>
        <v>80000</v>
      </c>
      <c r="I19" s="464">
        <f t="shared" si="5"/>
        <v>320000</v>
      </c>
      <c r="J19" s="8"/>
      <c r="K19" s="8"/>
      <c r="L19" s="8"/>
      <c r="M19" s="8"/>
      <c r="N19" s="8"/>
      <c r="O19" s="8"/>
      <c r="P19" s="8"/>
      <c r="Q19" s="8"/>
      <c r="R19" s="8"/>
      <c r="S19" s="8">
        <f t="shared" si="15"/>
        <v>10</v>
      </c>
      <c r="T19" s="8"/>
      <c r="U19" s="8"/>
      <c r="V19" s="167">
        <f t="shared" si="6"/>
        <v>0</v>
      </c>
      <c r="W19" s="167">
        <f t="shared" si="7"/>
        <v>400000</v>
      </c>
      <c r="X19" s="167">
        <f t="shared" si="8"/>
        <v>0</v>
      </c>
      <c r="Y19" s="167">
        <f t="shared" si="9"/>
        <v>0</v>
      </c>
      <c r="Z19" s="8"/>
      <c r="AA19" s="8"/>
      <c r="AB19" s="8"/>
      <c r="AC19" s="167"/>
      <c r="AD19" s="8"/>
      <c r="AE19" s="167"/>
      <c r="AF19" s="8"/>
      <c r="AG19" s="167"/>
      <c r="AH19" s="8"/>
      <c r="AI19" s="167"/>
      <c r="AJ19" s="8"/>
      <c r="AK19" s="167"/>
      <c r="AL19" s="8"/>
      <c r="AM19" s="167"/>
      <c r="AN19" s="8"/>
      <c r="AO19" s="167"/>
      <c r="AP19" s="8"/>
      <c r="AQ19" s="167"/>
      <c r="AR19" s="8"/>
      <c r="AS19" s="167"/>
      <c r="AT19" s="8"/>
      <c r="AU19" s="167"/>
      <c r="AV19" s="8"/>
      <c r="AW19" s="167"/>
      <c r="AX19" s="8"/>
      <c r="AY19" s="167"/>
      <c r="AZ19" s="8"/>
      <c r="BA19" s="167"/>
      <c r="BB19" s="8"/>
      <c r="BC19" s="167"/>
      <c r="BD19" s="8"/>
      <c r="BE19" s="167"/>
      <c r="BF19" s="8"/>
      <c r="BG19" s="167"/>
      <c r="BH19" s="8">
        <v>10</v>
      </c>
      <c r="BI19" s="167">
        <f t="shared" si="10"/>
        <v>400000</v>
      </c>
      <c r="BJ19" s="8">
        <f t="shared" si="1"/>
        <v>10</v>
      </c>
      <c r="BK19" s="8">
        <f t="shared" si="2"/>
        <v>400000</v>
      </c>
      <c r="BL19" s="186" t="s">
        <v>210</v>
      </c>
      <c r="BN19" s="190"/>
      <c r="BO19" s="190"/>
      <c r="BP19" s="190">
        <f t="shared" si="14"/>
        <v>400000</v>
      </c>
      <c r="BQ19" s="190"/>
      <c r="BR19" s="190">
        <f t="shared" si="11"/>
        <v>400000</v>
      </c>
      <c r="BS19" s="190"/>
      <c r="BT19" s="190"/>
      <c r="BU19" s="444">
        <f t="shared" si="12"/>
        <v>0</v>
      </c>
      <c r="BV19" s="167">
        <f t="shared" si="0"/>
        <v>400000</v>
      </c>
    </row>
    <row r="20" spans="1:74" x14ac:dyDescent="0.25">
      <c r="A20" s="135"/>
      <c r="B20" s="586" t="s">
        <v>1064</v>
      </c>
      <c r="C20" s="192" t="s">
        <v>584</v>
      </c>
      <c r="D20" s="186" t="s">
        <v>100</v>
      </c>
      <c r="E20" s="200">
        <v>400000</v>
      </c>
      <c r="F20" s="8">
        <f t="shared" si="13"/>
        <v>1</v>
      </c>
      <c r="G20" s="464">
        <f t="shared" si="3"/>
        <v>400000</v>
      </c>
      <c r="H20" s="464">
        <f t="shared" si="4"/>
        <v>80000</v>
      </c>
      <c r="I20" s="464">
        <f t="shared" si="5"/>
        <v>320000</v>
      </c>
      <c r="J20" s="464"/>
      <c r="K20" s="464"/>
      <c r="L20" s="464"/>
      <c r="M20" s="464"/>
      <c r="N20" s="464"/>
      <c r="O20" s="7"/>
      <c r="P20" s="7"/>
      <c r="Q20" s="7"/>
      <c r="R20" s="8"/>
      <c r="S20" s="8">
        <f t="shared" si="15"/>
        <v>1</v>
      </c>
      <c r="T20" s="8"/>
      <c r="U20" s="8"/>
      <c r="V20" s="167">
        <f t="shared" si="6"/>
        <v>0</v>
      </c>
      <c r="W20" s="167">
        <f t="shared" si="7"/>
        <v>400000</v>
      </c>
      <c r="X20" s="167">
        <f t="shared" si="8"/>
        <v>0</v>
      </c>
      <c r="Y20" s="167">
        <f t="shared" si="9"/>
        <v>0</v>
      </c>
      <c r="Z20" s="8"/>
      <c r="AA20" s="167"/>
      <c r="AB20" s="8"/>
      <c r="AC20" s="167"/>
      <c r="AD20" s="8"/>
      <c r="AE20" s="167"/>
      <c r="AF20" s="8"/>
      <c r="AG20" s="167"/>
      <c r="AH20" s="8"/>
      <c r="AI20" s="167"/>
      <c r="AJ20" s="8"/>
      <c r="AK20" s="167"/>
      <c r="AL20" s="8"/>
      <c r="AM20" s="167"/>
      <c r="AN20" s="8"/>
      <c r="AO20" s="167"/>
      <c r="AP20" s="8"/>
      <c r="AQ20" s="167"/>
      <c r="AR20" s="8"/>
      <c r="AS20" s="167"/>
      <c r="AT20" s="8"/>
      <c r="AU20" s="167"/>
      <c r="AV20" s="8"/>
      <c r="AW20" s="167"/>
      <c r="AX20" s="8"/>
      <c r="AY20" s="167"/>
      <c r="AZ20" s="8"/>
      <c r="BA20" s="167"/>
      <c r="BB20" s="8"/>
      <c r="BC20" s="167"/>
      <c r="BD20" s="8"/>
      <c r="BE20" s="167"/>
      <c r="BF20" s="8"/>
      <c r="BG20" s="167"/>
      <c r="BH20" s="8">
        <v>1</v>
      </c>
      <c r="BI20" s="167">
        <f t="shared" si="10"/>
        <v>400000</v>
      </c>
      <c r="BJ20" s="8">
        <f t="shared" si="1"/>
        <v>1</v>
      </c>
      <c r="BK20" s="8">
        <f t="shared" si="2"/>
        <v>400000</v>
      </c>
      <c r="BL20" s="186" t="s">
        <v>210</v>
      </c>
      <c r="BN20" s="190"/>
      <c r="BO20" s="190"/>
      <c r="BP20" s="190">
        <f t="shared" si="14"/>
        <v>400000</v>
      </c>
      <c r="BQ20" s="190"/>
      <c r="BR20" s="190">
        <f t="shared" si="11"/>
        <v>400000</v>
      </c>
      <c r="BS20" s="190"/>
      <c r="BT20" s="190"/>
      <c r="BU20" s="444">
        <f t="shared" si="12"/>
        <v>0</v>
      </c>
      <c r="BV20" s="167">
        <f t="shared" si="0"/>
        <v>400000</v>
      </c>
    </row>
    <row r="21" spans="1:74" x14ac:dyDescent="0.25">
      <c r="A21" s="135"/>
      <c r="B21" s="586" t="s">
        <v>1065</v>
      </c>
      <c r="C21" s="192" t="s">
        <v>102</v>
      </c>
      <c r="D21" s="186" t="s">
        <v>100</v>
      </c>
      <c r="E21" s="200">
        <v>50000</v>
      </c>
      <c r="F21" s="8">
        <f t="shared" si="13"/>
        <v>6</v>
      </c>
      <c r="G21" s="464">
        <f t="shared" si="3"/>
        <v>300000</v>
      </c>
      <c r="H21" s="464">
        <f t="shared" si="4"/>
        <v>60000</v>
      </c>
      <c r="I21" s="464">
        <f t="shared" si="5"/>
        <v>240000</v>
      </c>
      <c r="J21" s="464"/>
      <c r="K21" s="464"/>
      <c r="L21" s="464"/>
      <c r="M21" s="464"/>
      <c r="N21" s="464"/>
      <c r="O21" s="7"/>
      <c r="P21" s="7"/>
      <c r="Q21" s="7"/>
      <c r="R21" s="8"/>
      <c r="S21" s="8">
        <f t="shared" si="15"/>
        <v>6</v>
      </c>
      <c r="T21" s="8"/>
      <c r="U21" s="8"/>
      <c r="V21" s="167">
        <f t="shared" si="6"/>
        <v>0</v>
      </c>
      <c r="W21" s="167">
        <f t="shared" si="7"/>
        <v>300000</v>
      </c>
      <c r="X21" s="167">
        <f t="shared" si="8"/>
        <v>0</v>
      </c>
      <c r="Y21" s="167">
        <f t="shared" si="9"/>
        <v>0</v>
      </c>
      <c r="Z21" s="8"/>
      <c r="AA21" s="167"/>
      <c r="AB21" s="8"/>
      <c r="AC21" s="167"/>
      <c r="AD21" s="8"/>
      <c r="AE21" s="167"/>
      <c r="AF21" s="8"/>
      <c r="AG21" s="167"/>
      <c r="AH21" s="8"/>
      <c r="AI21" s="167"/>
      <c r="AJ21" s="8"/>
      <c r="AK21" s="167"/>
      <c r="AL21" s="8"/>
      <c r="AM21" s="167"/>
      <c r="AN21" s="8"/>
      <c r="AO21" s="167"/>
      <c r="AP21" s="8"/>
      <c r="AQ21" s="167"/>
      <c r="AR21" s="8"/>
      <c r="AS21" s="167"/>
      <c r="AT21" s="8"/>
      <c r="AU21" s="167"/>
      <c r="AV21" s="8"/>
      <c r="AW21" s="167"/>
      <c r="AX21" s="8"/>
      <c r="AY21" s="167"/>
      <c r="AZ21" s="8"/>
      <c r="BA21" s="167"/>
      <c r="BB21" s="8"/>
      <c r="BC21" s="167"/>
      <c r="BD21" s="8"/>
      <c r="BE21" s="167"/>
      <c r="BF21" s="8"/>
      <c r="BG21" s="167"/>
      <c r="BH21" s="8">
        <v>6</v>
      </c>
      <c r="BI21" s="167">
        <f t="shared" si="10"/>
        <v>300000</v>
      </c>
      <c r="BJ21" s="8">
        <f t="shared" si="1"/>
        <v>6</v>
      </c>
      <c r="BK21" s="8">
        <f t="shared" si="2"/>
        <v>300000</v>
      </c>
      <c r="BL21" s="186" t="s">
        <v>210</v>
      </c>
      <c r="BN21" s="190"/>
      <c r="BO21" s="190"/>
      <c r="BP21" s="190">
        <f t="shared" si="14"/>
        <v>300000</v>
      </c>
      <c r="BQ21" s="190"/>
      <c r="BR21" s="190">
        <f t="shared" si="11"/>
        <v>300000</v>
      </c>
      <c r="BS21" s="190"/>
      <c r="BT21" s="190"/>
      <c r="BU21" s="444">
        <f t="shared" si="12"/>
        <v>0</v>
      </c>
      <c r="BV21" s="167">
        <f t="shared" si="0"/>
        <v>300000</v>
      </c>
    </row>
    <row r="22" spans="1:74" x14ac:dyDescent="0.25">
      <c r="A22" s="135"/>
      <c r="B22" s="586" t="s">
        <v>1066</v>
      </c>
      <c r="C22" s="192" t="s">
        <v>520</v>
      </c>
      <c r="D22" s="186" t="s">
        <v>100</v>
      </c>
      <c r="E22" s="193">
        <v>2500</v>
      </c>
      <c r="F22" s="8">
        <f t="shared" si="13"/>
        <v>5</v>
      </c>
      <c r="G22" s="464">
        <f t="shared" si="3"/>
        <v>12500</v>
      </c>
      <c r="H22" s="464">
        <f t="shared" si="4"/>
        <v>2500</v>
      </c>
      <c r="I22" s="464">
        <f t="shared" si="5"/>
        <v>10000</v>
      </c>
      <c r="J22" s="464"/>
      <c r="K22" s="464"/>
      <c r="L22" s="464"/>
      <c r="M22" s="464"/>
      <c r="N22" s="464"/>
      <c r="O22" s="7"/>
      <c r="P22" s="7"/>
      <c r="Q22" s="7"/>
      <c r="R22" s="8"/>
      <c r="S22" s="8">
        <f t="shared" si="15"/>
        <v>5</v>
      </c>
      <c r="T22" s="8"/>
      <c r="U22" s="8"/>
      <c r="V22" s="167">
        <f t="shared" si="6"/>
        <v>0</v>
      </c>
      <c r="W22" s="167">
        <f t="shared" si="7"/>
        <v>12500</v>
      </c>
      <c r="X22" s="167">
        <f t="shared" si="8"/>
        <v>0</v>
      </c>
      <c r="Y22" s="167">
        <f t="shared" si="9"/>
        <v>0</v>
      </c>
      <c r="Z22" s="8"/>
      <c r="AA22" s="167"/>
      <c r="AB22" s="8"/>
      <c r="AC22" s="167"/>
      <c r="AD22" s="8"/>
      <c r="AE22" s="167"/>
      <c r="AF22" s="8"/>
      <c r="AG22" s="167"/>
      <c r="AH22" s="8"/>
      <c r="AI22" s="167"/>
      <c r="AJ22" s="8"/>
      <c r="AK22" s="167"/>
      <c r="AL22" s="8"/>
      <c r="AM22" s="167"/>
      <c r="AN22" s="8"/>
      <c r="AO22" s="167"/>
      <c r="AP22" s="8"/>
      <c r="AQ22" s="167"/>
      <c r="AR22" s="8"/>
      <c r="AS22" s="167"/>
      <c r="AT22" s="8"/>
      <c r="AU22" s="167"/>
      <c r="AV22" s="8"/>
      <c r="AW22" s="167"/>
      <c r="AX22" s="8"/>
      <c r="AY22" s="167"/>
      <c r="AZ22" s="8"/>
      <c r="BA22" s="167"/>
      <c r="BB22" s="8"/>
      <c r="BC22" s="167"/>
      <c r="BD22" s="8"/>
      <c r="BE22" s="167"/>
      <c r="BF22" s="8"/>
      <c r="BG22" s="167"/>
      <c r="BH22" s="8">
        <v>5</v>
      </c>
      <c r="BI22" s="167">
        <f t="shared" si="10"/>
        <v>12500</v>
      </c>
      <c r="BJ22" s="8">
        <f t="shared" si="1"/>
        <v>5</v>
      </c>
      <c r="BK22" s="8">
        <f t="shared" si="2"/>
        <v>12500</v>
      </c>
      <c r="BL22" s="186" t="s">
        <v>210</v>
      </c>
      <c r="BN22" s="190"/>
      <c r="BO22" s="190"/>
      <c r="BP22" s="190">
        <f t="shared" si="14"/>
        <v>12500</v>
      </c>
      <c r="BQ22" s="190"/>
      <c r="BR22" s="190">
        <f t="shared" si="11"/>
        <v>12500</v>
      </c>
      <c r="BS22" s="190"/>
      <c r="BT22" s="190"/>
      <c r="BU22" s="444">
        <f t="shared" si="12"/>
        <v>0</v>
      </c>
      <c r="BV22" s="167">
        <f t="shared" si="0"/>
        <v>12500</v>
      </c>
    </row>
    <row r="23" spans="1:74" x14ac:dyDescent="0.25">
      <c r="A23" s="135"/>
      <c r="B23" s="586" t="s">
        <v>1067</v>
      </c>
      <c r="C23" s="192" t="s">
        <v>575</v>
      </c>
      <c r="D23" s="186" t="s">
        <v>16</v>
      </c>
      <c r="E23" s="200">
        <v>1000000</v>
      </c>
      <c r="F23" s="8">
        <f t="shared" si="13"/>
        <v>1</v>
      </c>
      <c r="G23" s="464">
        <f t="shared" si="3"/>
        <v>1000000</v>
      </c>
      <c r="H23" s="464">
        <f t="shared" si="4"/>
        <v>200000</v>
      </c>
      <c r="I23" s="464">
        <f t="shared" si="5"/>
        <v>800000</v>
      </c>
      <c r="J23" s="464"/>
      <c r="K23" s="464"/>
      <c r="L23" s="464"/>
      <c r="M23" s="464"/>
      <c r="N23" s="464"/>
      <c r="O23" s="7"/>
      <c r="P23" s="7"/>
      <c r="Q23" s="7"/>
      <c r="R23" s="8"/>
      <c r="S23" s="8">
        <f t="shared" si="15"/>
        <v>1</v>
      </c>
      <c r="T23" s="8"/>
      <c r="U23" s="8"/>
      <c r="V23" s="167">
        <f t="shared" si="6"/>
        <v>0</v>
      </c>
      <c r="W23" s="167">
        <f t="shared" si="7"/>
        <v>1000000</v>
      </c>
      <c r="X23" s="167">
        <f t="shared" si="8"/>
        <v>0</v>
      </c>
      <c r="Y23" s="167">
        <f t="shared" si="9"/>
        <v>0</v>
      </c>
      <c r="Z23" s="8"/>
      <c r="AA23" s="167"/>
      <c r="AB23" s="8"/>
      <c r="AC23" s="167"/>
      <c r="AD23" s="8"/>
      <c r="AE23" s="167"/>
      <c r="AF23" s="8"/>
      <c r="AG23" s="167"/>
      <c r="AH23" s="8"/>
      <c r="AI23" s="167"/>
      <c r="AJ23" s="8"/>
      <c r="AK23" s="167"/>
      <c r="AL23" s="8"/>
      <c r="AM23" s="167"/>
      <c r="AN23" s="8"/>
      <c r="AO23" s="167"/>
      <c r="AP23" s="8"/>
      <c r="AQ23" s="167"/>
      <c r="AR23" s="8"/>
      <c r="AS23" s="167"/>
      <c r="AT23" s="8"/>
      <c r="AU23" s="167"/>
      <c r="AV23" s="8"/>
      <c r="AW23" s="167"/>
      <c r="AX23" s="8"/>
      <c r="AY23" s="167"/>
      <c r="AZ23" s="8"/>
      <c r="BA23" s="167"/>
      <c r="BB23" s="8"/>
      <c r="BC23" s="167"/>
      <c r="BD23" s="8"/>
      <c r="BE23" s="167"/>
      <c r="BF23" s="8"/>
      <c r="BG23" s="167"/>
      <c r="BH23" s="8">
        <v>1</v>
      </c>
      <c r="BI23" s="167">
        <f t="shared" si="10"/>
        <v>1000000</v>
      </c>
      <c r="BJ23" s="8">
        <f t="shared" si="1"/>
        <v>1</v>
      </c>
      <c r="BK23" s="8">
        <f t="shared" si="2"/>
        <v>1000000</v>
      </c>
      <c r="BL23" s="186" t="s">
        <v>210</v>
      </c>
      <c r="BN23" s="190"/>
      <c r="BO23" s="190"/>
      <c r="BP23" s="190">
        <f t="shared" si="14"/>
        <v>1000000</v>
      </c>
      <c r="BQ23" s="190"/>
      <c r="BR23" s="190">
        <f t="shared" si="11"/>
        <v>1000000</v>
      </c>
      <c r="BS23" s="190"/>
      <c r="BT23" s="190"/>
      <c r="BU23" s="444">
        <f t="shared" si="12"/>
        <v>0</v>
      </c>
      <c r="BV23" s="167">
        <f t="shared" si="0"/>
        <v>1000000</v>
      </c>
    </row>
    <row r="24" spans="1:74" x14ac:dyDescent="0.25">
      <c r="A24" s="135"/>
      <c r="B24" s="586" t="s">
        <v>1068</v>
      </c>
      <c r="C24" s="192" t="s">
        <v>104</v>
      </c>
      <c r="D24" s="186" t="s">
        <v>100</v>
      </c>
      <c r="E24" s="193" t="s">
        <v>344</v>
      </c>
      <c r="F24" s="8">
        <f t="shared" si="13"/>
        <v>3</v>
      </c>
      <c r="G24" s="464">
        <f t="shared" si="3"/>
        <v>450000</v>
      </c>
      <c r="H24" s="464">
        <f>G24*0.2</f>
        <v>90000</v>
      </c>
      <c r="I24" s="464">
        <f>G24*0.8</f>
        <v>360000</v>
      </c>
      <c r="J24" s="464"/>
      <c r="K24" s="464"/>
      <c r="L24" s="464"/>
      <c r="M24" s="464"/>
      <c r="N24" s="464"/>
      <c r="O24" s="7"/>
      <c r="P24" s="7"/>
      <c r="Q24" s="7"/>
      <c r="R24" s="8"/>
      <c r="S24" s="8">
        <f t="shared" si="15"/>
        <v>3</v>
      </c>
      <c r="T24" s="8"/>
      <c r="U24" s="8"/>
      <c r="V24" s="167">
        <f t="shared" si="6"/>
        <v>0</v>
      </c>
      <c r="W24" s="167">
        <f t="shared" si="7"/>
        <v>450000</v>
      </c>
      <c r="X24" s="167">
        <f t="shared" si="8"/>
        <v>0</v>
      </c>
      <c r="Y24" s="167">
        <f t="shared" si="9"/>
        <v>0</v>
      </c>
      <c r="Z24" s="8"/>
      <c r="AA24" s="167"/>
      <c r="AB24" s="8"/>
      <c r="AC24" s="167"/>
      <c r="AD24" s="8"/>
      <c r="AE24" s="167"/>
      <c r="AF24" s="8"/>
      <c r="AG24" s="167"/>
      <c r="AH24" s="8"/>
      <c r="AI24" s="167"/>
      <c r="AJ24" s="8"/>
      <c r="AK24" s="167"/>
      <c r="AL24" s="8"/>
      <c r="AM24" s="167"/>
      <c r="AN24" s="8"/>
      <c r="AO24" s="167"/>
      <c r="AP24" s="8"/>
      <c r="AQ24" s="167"/>
      <c r="AR24" s="8"/>
      <c r="AS24" s="167"/>
      <c r="AT24" s="8"/>
      <c r="AU24" s="167"/>
      <c r="AV24" s="8"/>
      <c r="AW24" s="167"/>
      <c r="AX24" s="8"/>
      <c r="AY24" s="167"/>
      <c r="AZ24" s="8"/>
      <c r="BA24" s="167"/>
      <c r="BB24" s="8"/>
      <c r="BC24" s="167"/>
      <c r="BD24" s="8"/>
      <c r="BE24" s="167"/>
      <c r="BF24" s="8"/>
      <c r="BG24" s="167"/>
      <c r="BH24" s="8">
        <v>3</v>
      </c>
      <c r="BI24" s="167">
        <f t="shared" si="10"/>
        <v>450000</v>
      </c>
      <c r="BJ24" s="8">
        <f t="shared" si="1"/>
        <v>3</v>
      </c>
      <c r="BK24" s="8">
        <f t="shared" si="2"/>
        <v>450000</v>
      </c>
      <c r="BL24" s="186" t="s">
        <v>210</v>
      </c>
      <c r="BN24" s="190"/>
      <c r="BO24" s="190"/>
      <c r="BP24" s="190">
        <f t="shared" si="14"/>
        <v>450000</v>
      </c>
      <c r="BQ24" s="190"/>
      <c r="BR24" s="190">
        <f t="shared" si="11"/>
        <v>450000</v>
      </c>
      <c r="BS24" s="190"/>
      <c r="BT24" s="190"/>
      <c r="BU24" s="444">
        <f t="shared" si="12"/>
        <v>0</v>
      </c>
      <c r="BV24" s="167">
        <f t="shared" si="0"/>
        <v>450000</v>
      </c>
    </row>
    <row r="25" spans="1:74" s="180" customFormat="1" x14ac:dyDescent="0.25">
      <c r="A25" s="135"/>
      <c r="B25" s="207"/>
      <c r="C25" s="185" t="s">
        <v>372</v>
      </c>
      <c r="D25" s="204" t="s">
        <v>111</v>
      </c>
      <c r="E25" s="205" t="s">
        <v>111</v>
      </c>
      <c r="F25" s="16">
        <f>SUM(F12:F24)</f>
        <v>49</v>
      </c>
      <c r="G25" s="16">
        <f t="shared" ref="G25:BK25" si="16">SUM(G12:G24)</f>
        <v>6152500</v>
      </c>
      <c r="H25" s="16">
        <f t="shared" si="16"/>
        <v>2130500</v>
      </c>
      <c r="I25" s="16">
        <f t="shared" si="16"/>
        <v>4022000</v>
      </c>
      <c r="J25" s="16">
        <f t="shared" si="16"/>
        <v>0</v>
      </c>
      <c r="K25" s="16">
        <f t="shared" si="16"/>
        <v>0</v>
      </c>
      <c r="L25" s="16">
        <f t="shared" si="16"/>
        <v>0</v>
      </c>
      <c r="M25" s="16">
        <f t="shared" si="16"/>
        <v>0</v>
      </c>
      <c r="N25" s="16">
        <f t="shared" si="16"/>
        <v>0</v>
      </c>
      <c r="O25" s="16">
        <f t="shared" si="16"/>
        <v>0</v>
      </c>
      <c r="P25" s="16">
        <f t="shared" si="16"/>
        <v>0</v>
      </c>
      <c r="Q25" s="16">
        <f t="shared" si="16"/>
        <v>0</v>
      </c>
      <c r="R25" s="16">
        <f t="shared" si="16"/>
        <v>3</v>
      </c>
      <c r="S25" s="16">
        <f t="shared" si="16"/>
        <v>40</v>
      </c>
      <c r="T25" s="16">
        <f t="shared" si="16"/>
        <v>3</v>
      </c>
      <c r="U25" s="16">
        <f t="shared" si="16"/>
        <v>3</v>
      </c>
      <c r="V25" s="16">
        <f t="shared" si="16"/>
        <v>750000</v>
      </c>
      <c r="W25" s="16">
        <f t="shared" si="16"/>
        <v>3902500</v>
      </c>
      <c r="X25" s="16">
        <f t="shared" si="16"/>
        <v>750000</v>
      </c>
      <c r="Y25" s="16">
        <f t="shared" si="16"/>
        <v>750000</v>
      </c>
      <c r="Z25" s="16">
        <f t="shared" si="16"/>
        <v>0</v>
      </c>
      <c r="AA25" s="16">
        <f t="shared" si="16"/>
        <v>0</v>
      </c>
      <c r="AB25" s="16">
        <f t="shared" si="16"/>
        <v>0</v>
      </c>
      <c r="AC25" s="16">
        <f t="shared" si="16"/>
        <v>0</v>
      </c>
      <c r="AD25" s="16">
        <f t="shared" si="16"/>
        <v>0</v>
      </c>
      <c r="AE25" s="16">
        <f t="shared" si="16"/>
        <v>0</v>
      </c>
      <c r="AF25" s="16">
        <f t="shared" si="16"/>
        <v>0</v>
      </c>
      <c r="AG25" s="16">
        <f t="shared" si="16"/>
        <v>0</v>
      </c>
      <c r="AH25" s="16">
        <f t="shared" si="16"/>
        <v>0</v>
      </c>
      <c r="AI25" s="16">
        <f t="shared" si="16"/>
        <v>0</v>
      </c>
      <c r="AJ25" s="16">
        <f t="shared" si="16"/>
        <v>0</v>
      </c>
      <c r="AK25" s="16">
        <f t="shared" si="16"/>
        <v>0</v>
      </c>
      <c r="AL25" s="16">
        <f t="shared" si="16"/>
        <v>0</v>
      </c>
      <c r="AM25" s="16">
        <f t="shared" si="16"/>
        <v>0</v>
      </c>
      <c r="AN25" s="16">
        <f t="shared" si="16"/>
        <v>0</v>
      </c>
      <c r="AO25" s="16">
        <f t="shared" si="16"/>
        <v>0</v>
      </c>
      <c r="AP25" s="16">
        <f t="shared" si="16"/>
        <v>0</v>
      </c>
      <c r="AQ25" s="16">
        <f t="shared" si="16"/>
        <v>0</v>
      </c>
      <c r="AR25" s="16">
        <f t="shared" si="16"/>
        <v>0</v>
      </c>
      <c r="AS25" s="16">
        <f t="shared" si="16"/>
        <v>0</v>
      </c>
      <c r="AT25" s="16">
        <f t="shared" si="16"/>
        <v>0</v>
      </c>
      <c r="AU25" s="16">
        <f t="shared" si="16"/>
        <v>0</v>
      </c>
      <c r="AV25" s="16">
        <f t="shared" si="16"/>
        <v>0</v>
      </c>
      <c r="AW25" s="16">
        <f t="shared" si="16"/>
        <v>0</v>
      </c>
      <c r="AX25" s="16">
        <f t="shared" si="16"/>
        <v>0</v>
      </c>
      <c r="AY25" s="16">
        <f t="shared" si="16"/>
        <v>0</v>
      </c>
      <c r="AZ25" s="16">
        <f t="shared" si="16"/>
        <v>0</v>
      </c>
      <c r="BA25" s="16">
        <f t="shared" si="16"/>
        <v>0</v>
      </c>
      <c r="BB25" s="16">
        <f t="shared" si="16"/>
        <v>0</v>
      </c>
      <c r="BC25" s="16">
        <f t="shared" si="16"/>
        <v>0</v>
      </c>
      <c r="BD25" s="16">
        <f t="shared" si="16"/>
        <v>0</v>
      </c>
      <c r="BE25" s="16">
        <f t="shared" si="16"/>
        <v>0</v>
      </c>
      <c r="BF25" s="16">
        <f t="shared" si="16"/>
        <v>0</v>
      </c>
      <c r="BG25" s="16">
        <f t="shared" si="16"/>
        <v>0</v>
      </c>
      <c r="BH25" s="16">
        <f t="shared" si="16"/>
        <v>49</v>
      </c>
      <c r="BI25" s="16">
        <f t="shared" si="16"/>
        <v>6152500</v>
      </c>
      <c r="BJ25" s="16">
        <f t="shared" si="16"/>
        <v>49</v>
      </c>
      <c r="BK25" s="16">
        <f t="shared" si="16"/>
        <v>6152500</v>
      </c>
      <c r="BL25" s="204" t="s">
        <v>111</v>
      </c>
      <c r="BN25" s="206"/>
      <c r="BO25" s="206"/>
      <c r="BP25" s="206">
        <f t="shared" ref="BP25:BP33" si="17">G25</f>
        <v>6152500</v>
      </c>
      <c r="BQ25" s="206"/>
      <c r="BR25" s="206">
        <f t="shared" ref="BR25:BR47" si="18">BN25+BO25+BP25+BQ25</f>
        <v>6152500</v>
      </c>
      <c r="BS25" s="206"/>
      <c r="BT25" s="206"/>
      <c r="BU25" s="467">
        <f t="shared" ref="BU25:BU47" si="19">BS25+BT25</f>
        <v>0</v>
      </c>
      <c r="BV25" s="167">
        <f t="shared" si="0"/>
        <v>6152500</v>
      </c>
    </row>
    <row r="26" spans="1:74" x14ac:dyDescent="0.25">
      <c r="A26" s="135"/>
      <c r="B26" s="586"/>
      <c r="C26" s="185" t="s">
        <v>373</v>
      </c>
      <c r="D26" s="186"/>
      <c r="E26" s="186"/>
      <c r="F26" s="8"/>
      <c r="G26" s="464"/>
      <c r="H26" s="464"/>
      <c r="I26" s="464"/>
      <c r="J26" s="464"/>
      <c r="K26" s="464"/>
      <c r="L26" s="464"/>
      <c r="M26" s="464"/>
      <c r="N26" s="464"/>
      <c r="O26" s="7"/>
      <c r="P26" s="7"/>
      <c r="Q26" s="7"/>
      <c r="R26" s="8"/>
      <c r="S26" s="8"/>
      <c r="T26" s="8"/>
      <c r="U26" s="8"/>
      <c r="V26" s="167"/>
      <c r="W26" s="167"/>
      <c r="X26" s="167"/>
      <c r="Y26" s="167"/>
      <c r="Z26" s="8"/>
      <c r="AA26" s="167"/>
      <c r="AB26" s="8"/>
      <c r="AC26" s="167"/>
      <c r="AD26" s="8"/>
      <c r="AE26" s="167"/>
      <c r="AF26" s="8"/>
      <c r="AG26" s="167"/>
      <c r="AH26" s="8"/>
      <c r="AI26" s="167"/>
      <c r="AJ26" s="8"/>
      <c r="AK26" s="167"/>
      <c r="AL26" s="8"/>
      <c r="AM26" s="167"/>
      <c r="AN26" s="8"/>
      <c r="AO26" s="167"/>
      <c r="AP26" s="8"/>
      <c r="AQ26" s="167"/>
      <c r="AR26" s="8"/>
      <c r="AS26" s="167"/>
      <c r="AT26" s="8"/>
      <c r="AU26" s="167"/>
      <c r="AV26" s="8"/>
      <c r="AW26" s="167"/>
      <c r="AX26" s="8"/>
      <c r="AY26" s="167"/>
      <c r="AZ26" s="8"/>
      <c r="BA26" s="167"/>
      <c r="BB26" s="8"/>
      <c r="BC26" s="167"/>
      <c r="BD26" s="8"/>
      <c r="BE26" s="167"/>
      <c r="BF26" s="8"/>
      <c r="BG26" s="167"/>
      <c r="BH26" s="8"/>
      <c r="BI26" s="167">
        <f t="shared" si="10"/>
        <v>0</v>
      </c>
      <c r="BJ26" s="8">
        <f t="shared" ref="BJ26:BJ87" si="20">BH26</f>
        <v>0</v>
      </c>
      <c r="BK26" s="7">
        <f t="shared" ref="BK26:BK87" si="21">BI26</f>
        <v>0</v>
      </c>
      <c r="BL26" s="186"/>
      <c r="BN26" s="190"/>
      <c r="BO26" s="190"/>
      <c r="BP26" s="190">
        <f t="shared" si="17"/>
        <v>0</v>
      </c>
      <c r="BQ26" s="190"/>
      <c r="BR26" s="190">
        <f t="shared" si="18"/>
        <v>0</v>
      </c>
      <c r="BS26" s="190"/>
      <c r="BT26" s="190"/>
      <c r="BU26" s="444">
        <f t="shared" si="19"/>
        <v>0</v>
      </c>
      <c r="BV26" s="167">
        <f t="shared" si="0"/>
        <v>0</v>
      </c>
    </row>
    <row r="27" spans="1:74" x14ac:dyDescent="0.25">
      <c r="A27" s="135"/>
      <c r="B27" s="169"/>
      <c r="C27" s="185" t="s">
        <v>106</v>
      </c>
      <c r="D27" s="186"/>
      <c r="E27" s="186"/>
      <c r="F27" s="8"/>
      <c r="G27" s="464"/>
      <c r="H27" s="464"/>
      <c r="I27" s="464"/>
      <c r="J27" s="464"/>
      <c r="K27" s="464"/>
      <c r="L27" s="464"/>
      <c r="M27" s="464"/>
      <c r="N27" s="464"/>
      <c r="O27" s="7"/>
      <c r="P27" s="7"/>
      <c r="Q27" s="7"/>
      <c r="R27" s="8"/>
      <c r="S27" s="8"/>
      <c r="T27" s="8"/>
      <c r="U27" s="8"/>
      <c r="V27" s="167"/>
      <c r="W27" s="167"/>
      <c r="X27" s="167"/>
      <c r="Y27" s="167"/>
      <c r="Z27" s="8"/>
      <c r="AA27" s="167"/>
      <c r="AB27" s="8"/>
      <c r="AC27" s="167"/>
      <c r="AD27" s="8"/>
      <c r="AE27" s="167"/>
      <c r="AF27" s="8"/>
      <c r="AG27" s="167"/>
      <c r="AH27" s="8"/>
      <c r="AI27" s="167"/>
      <c r="AJ27" s="8"/>
      <c r="AK27" s="167"/>
      <c r="AL27" s="8"/>
      <c r="AM27" s="167"/>
      <c r="AN27" s="8"/>
      <c r="AO27" s="167"/>
      <c r="AP27" s="8"/>
      <c r="AQ27" s="167"/>
      <c r="AR27" s="8"/>
      <c r="AS27" s="167"/>
      <c r="AT27" s="8"/>
      <c r="AU27" s="167"/>
      <c r="AV27" s="8"/>
      <c r="AW27" s="167"/>
      <c r="AX27" s="8"/>
      <c r="AY27" s="167"/>
      <c r="AZ27" s="8"/>
      <c r="BA27" s="167"/>
      <c r="BB27" s="8"/>
      <c r="BC27" s="167"/>
      <c r="BD27" s="8"/>
      <c r="BE27" s="167"/>
      <c r="BF27" s="8"/>
      <c r="BG27" s="167"/>
      <c r="BH27" s="8"/>
      <c r="BI27" s="167">
        <f t="shared" si="10"/>
        <v>0</v>
      </c>
      <c r="BJ27" s="8">
        <f t="shared" si="20"/>
        <v>0</v>
      </c>
      <c r="BK27" s="7">
        <f t="shared" si="21"/>
        <v>0</v>
      </c>
      <c r="BL27" s="186"/>
      <c r="BN27" s="190"/>
      <c r="BO27" s="190"/>
      <c r="BP27" s="190">
        <f t="shared" si="17"/>
        <v>0</v>
      </c>
      <c r="BQ27" s="190"/>
      <c r="BR27" s="190">
        <f t="shared" si="18"/>
        <v>0</v>
      </c>
      <c r="BS27" s="190"/>
      <c r="BT27" s="190"/>
      <c r="BU27" s="444">
        <f t="shared" si="19"/>
        <v>0</v>
      </c>
      <c r="BV27" s="167">
        <f t="shared" si="0"/>
        <v>0</v>
      </c>
    </row>
    <row r="28" spans="1:74" x14ac:dyDescent="0.25">
      <c r="A28" s="135"/>
      <c r="B28" s="586" t="s">
        <v>1069</v>
      </c>
      <c r="C28" s="192" t="s">
        <v>374</v>
      </c>
      <c r="D28" s="186" t="s">
        <v>16</v>
      </c>
      <c r="E28" s="193" t="s">
        <v>395</v>
      </c>
      <c r="F28" s="8">
        <f>BJ28</f>
        <v>0</v>
      </c>
      <c r="G28" s="464">
        <f>F28*E28</f>
        <v>0</v>
      </c>
      <c r="H28" s="464">
        <f>G28*0.2</f>
        <v>0</v>
      </c>
      <c r="I28" s="464">
        <f>G28*0.8</f>
        <v>0</v>
      </c>
      <c r="J28" s="464"/>
      <c r="K28" s="464"/>
      <c r="L28" s="464"/>
      <c r="M28" s="464"/>
      <c r="N28" s="464"/>
      <c r="O28" s="7"/>
      <c r="P28" s="7"/>
      <c r="Q28" s="7"/>
      <c r="R28" s="8"/>
      <c r="S28" s="8">
        <f>F28</f>
        <v>0</v>
      </c>
      <c r="T28" s="8"/>
      <c r="U28" s="8"/>
      <c r="V28" s="167"/>
      <c r="W28" s="167">
        <f>S28*E28</f>
        <v>0</v>
      </c>
      <c r="X28" s="167"/>
      <c r="Y28" s="167"/>
      <c r="Z28" s="8"/>
      <c r="AA28" s="167"/>
      <c r="AB28" s="8"/>
      <c r="AC28" s="167"/>
      <c r="AD28" s="8"/>
      <c r="AE28" s="167"/>
      <c r="AF28" s="8"/>
      <c r="AG28" s="167"/>
      <c r="AH28" s="8"/>
      <c r="AI28" s="167"/>
      <c r="AJ28" s="8"/>
      <c r="AK28" s="167"/>
      <c r="AL28" s="8"/>
      <c r="AM28" s="167"/>
      <c r="AN28" s="8"/>
      <c r="AO28" s="167"/>
      <c r="AP28" s="8"/>
      <c r="AQ28" s="167"/>
      <c r="AR28" s="8"/>
      <c r="AS28" s="167"/>
      <c r="AT28" s="8"/>
      <c r="AU28" s="167"/>
      <c r="AV28" s="8"/>
      <c r="AW28" s="167"/>
      <c r="AX28" s="8"/>
      <c r="AY28" s="167"/>
      <c r="AZ28" s="8"/>
      <c r="BA28" s="167"/>
      <c r="BB28" s="8"/>
      <c r="BC28" s="167"/>
      <c r="BD28" s="8"/>
      <c r="BE28" s="167"/>
      <c r="BF28" s="8"/>
      <c r="BG28" s="167"/>
      <c r="BH28" s="8">
        <v>0</v>
      </c>
      <c r="BI28" s="167">
        <f t="shared" si="10"/>
        <v>0</v>
      </c>
      <c r="BJ28" s="8">
        <f t="shared" si="20"/>
        <v>0</v>
      </c>
      <c r="BK28" s="7">
        <f t="shared" si="21"/>
        <v>0</v>
      </c>
      <c r="BL28" s="186" t="s">
        <v>210</v>
      </c>
      <c r="BN28" s="190"/>
      <c r="BO28" s="190"/>
      <c r="BP28" s="190">
        <f t="shared" si="17"/>
        <v>0</v>
      </c>
      <c r="BQ28" s="190"/>
      <c r="BR28" s="190">
        <f t="shared" si="18"/>
        <v>0</v>
      </c>
      <c r="BS28" s="190"/>
      <c r="BT28" s="190"/>
      <c r="BU28" s="444">
        <f t="shared" si="19"/>
        <v>0</v>
      </c>
      <c r="BV28" s="167">
        <f t="shared" si="0"/>
        <v>0</v>
      </c>
    </row>
    <row r="29" spans="1:74" x14ac:dyDescent="0.25">
      <c r="A29" s="135"/>
      <c r="B29" s="586" t="s">
        <v>1070</v>
      </c>
      <c r="C29" s="192" t="s">
        <v>107</v>
      </c>
      <c r="D29" s="186" t="s">
        <v>108</v>
      </c>
      <c r="E29" s="193" t="s">
        <v>395</v>
      </c>
      <c r="F29" s="8">
        <f>BJ29</f>
        <v>0</v>
      </c>
      <c r="G29" s="464">
        <f>F29*E29</f>
        <v>0</v>
      </c>
      <c r="H29" s="464">
        <f>G29*0.2</f>
        <v>0</v>
      </c>
      <c r="I29" s="464">
        <f>G29*0.8</f>
        <v>0</v>
      </c>
      <c r="J29" s="464"/>
      <c r="K29" s="464"/>
      <c r="L29" s="464"/>
      <c r="M29" s="464"/>
      <c r="N29" s="464"/>
      <c r="O29" s="7"/>
      <c r="P29" s="7"/>
      <c r="Q29" s="7"/>
      <c r="R29" s="8"/>
      <c r="S29" s="8">
        <f>F29</f>
        <v>0</v>
      </c>
      <c r="T29" s="8"/>
      <c r="U29" s="8"/>
      <c r="V29" s="167"/>
      <c r="W29" s="167">
        <f>S29*E29</f>
        <v>0</v>
      </c>
      <c r="X29" s="167"/>
      <c r="Y29" s="167"/>
      <c r="Z29" s="8"/>
      <c r="AA29" s="167"/>
      <c r="AB29" s="8"/>
      <c r="AC29" s="167"/>
      <c r="AD29" s="8"/>
      <c r="AE29" s="167"/>
      <c r="AF29" s="8"/>
      <c r="AG29" s="167"/>
      <c r="AH29" s="8"/>
      <c r="AI29" s="167"/>
      <c r="AJ29" s="8"/>
      <c r="AK29" s="167"/>
      <c r="AL29" s="8"/>
      <c r="AM29" s="167"/>
      <c r="AN29" s="8"/>
      <c r="AO29" s="167"/>
      <c r="AP29" s="8"/>
      <c r="AQ29" s="167"/>
      <c r="AR29" s="8"/>
      <c r="AS29" s="167"/>
      <c r="AT29" s="8"/>
      <c r="AU29" s="167"/>
      <c r="AV29" s="8"/>
      <c r="AW29" s="167"/>
      <c r="AX29" s="8"/>
      <c r="AY29" s="167"/>
      <c r="AZ29" s="8"/>
      <c r="BA29" s="167"/>
      <c r="BB29" s="8"/>
      <c r="BC29" s="167"/>
      <c r="BD29" s="8"/>
      <c r="BE29" s="167"/>
      <c r="BF29" s="8"/>
      <c r="BG29" s="167"/>
      <c r="BH29" s="8">
        <v>0</v>
      </c>
      <c r="BI29" s="167">
        <f t="shared" si="10"/>
        <v>0</v>
      </c>
      <c r="BJ29" s="8">
        <f t="shared" si="20"/>
        <v>0</v>
      </c>
      <c r="BK29" s="7">
        <f t="shared" si="21"/>
        <v>0</v>
      </c>
      <c r="BL29" s="186" t="s">
        <v>210</v>
      </c>
      <c r="BN29" s="190"/>
      <c r="BO29" s="190"/>
      <c r="BP29" s="190">
        <f t="shared" si="17"/>
        <v>0</v>
      </c>
      <c r="BQ29" s="190"/>
      <c r="BR29" s="190">
        <f t="shared" si="18"/>
        <v>0</v>
      </c>
      <c r="BS29" s="190"/>
      <c r="BT29" s="190"/>
      <c r="BU29" s="444">
        <f t="shared" si="19"/>
        <v>0</v>
      </c>
      <c r="BV29" s="167">
        <f t="shared" si="0"/>
        <v>0</v>
      </c>
    </row>
    <row r="30" spans="1:74" x14ac:dyDescent="0.25">
      <c r="A30" s="135"/>
      <c r="B30" s="586" t="s">
        <v>1071</v>
      </c>
      <c r="C30" s="192" t="s">
        <v>109</v>
      </c>
      <c r="D30" s="186" t="s">
        <v>108</v>
      </c>
      <c r="E30" s="200">
        <v>1400000</v>
      </c>
      <c r="F30" s="8">
        <f>BJ30</f>
        <v>1</v>
      </c>
      <c r="G30" s="464">
        <f>F30*E30</f>
        <v>1400000</v>
      </c>
      <c r="H30" s="464">
        <f>G30*0.2</f>
        <v>280000</v>
      </c>
      <c r="I30" s="464">
        <f>G30*0.8</f>
        <v>1120000</v>
      </c>
      <c r="J30" s="464"/>
      <c r="K30" s="464"/>
      <c r="L30" s="464"/>
      <c r="M30" s="464"/>
      <c r="N30" s="464"/>
      <c r="O30" s="7"/>
      <c r="P30" s="7"/>
      <c r="Q30" s="7"/>
      <c r="R30" s="8"/>
      <c r="S30" s="8">
        <f>F30</f>
        <v>1</v>
      </c>
      <c r="T30" s="8"/>
      <c r="U30" s="8"/>
      <c r="V30" s="167"/>
      <c r="W30" s="167">
        <f>S30*E30</f>
        <v>1400000</v>
      </c>
      <c r="X30" s="167"/>
      <c r="Y30" s="167"/>
      <c r="Z30" s="8"/>
      <c r="AA30" s="167"/>
      <c r="AB30" s="8"/>
      <c r="AC30" s="167"/>
      <c r="AD30" s="8"/>
      <c r="AE30" s="167"/>
      <c r="AF30" s="8"/>
      <c r="AG30" s="167"/>
      <c r="AH30" s="8"/>
      <c r="AI30" s="167"/>
      <c r="AJ30" s="8"/>
      <c r="AK30" s="167"/>
      <c r="AL30" s="8"/>
      <c r="AM30" s="167"/>
      <c r="AN30" s="8"/>
      <c r="AO30" s="167"/>
      <c r="AP30" s="8"/>
      <c r="AQ30" s="167"/>
      <c r="AR30" s="8"/>
      <c r="AS30" s="167"/>
      <c r="AT30" s="8"/>
      <c r="AU30" s="167"/>
      <c r="AV30" s="8"/>
      <c r="AW30" s="167"/>
      <c r="AX30" s="8"/>
      <c r="AY30" s="167"/>
      <c r="AZ30" s="8"/>
      <c r="BA30" s="167"/>
      <c r="BB30" s="8"/>
      <c r="BC30" s="167"/>
      <c r="BD30" s="8"/>
      <c r="BE30" s="167"/>
      <c r="BF30" s="8"/>
      <c r="BG30" s="167"/>
      <c r="BH30" s="8">
        <v>1</v>
      </c>
      <c r="BI30" s="167">
        <f t="shared" si="10"/>
        <v>1400000</v>
      </c>
      <c r="BJ30" s="8">
        <f t="shared" si="20"/>
        <v>1</v>
      </c>
      <c r="BK30" s="7">
        <f t="shared" si="21"/>
        <v>1400000</v>
      </c>
      <c r="BL30" s="186" t="s">
        <v>210</v>
      </c>
      <c r="BN30" s="190"/>
      <c r="BO30" s="190"/>
      <c r="BP30" s="190">
        <f t="shared" si="17"/>
        <v>1400000</v>
      </c>
      <c r="BQ30" s="190"/>
      <c r="BR30" s="190">
        <f t="shared" si="18"/>
        <v>1400000</v>
      </c>
      <c r="BS30" s="190"/>
      <c r="BT30" s="190"/>
      <c r="BU30" s="444">
        <f t="shared" si="19"/>
        <v>0</v>
      </c>
      <c r="BV30" s="167">
        <f t="shared" si="0"/>
        <v>1400000</v>
      </c>
    </row>
    <row r="31" spans="1:74" ht="31.5" x14ac:dyDescent="0.25">
      <c r="A31" s="135"/>
      <c r="B31" s="586" t="s">
        <v>1072</v>
      </c>
      <c r="C31" s="199" t="s">
        <v>904</v>
      </c>
      <c r="D31" s="186" t="s">
        <v>905</v>
      </c>
      <c r="E31" s="193">
        <v>5000000</v>
      </c>
      <c r="F31" s="8">
        <f>BJ31</f>
        <v>1</v>
      </c>
      <c r="G31" s="464">
        <f>F31*E31</f>
        <v>5000000</v>
      </c>
      <c r="H31" s="464">
        <f>G31*0</f>
        <v>0</v>
      </c>
      <c r="I31" s="464">
        <f>G31*1</f>
        <v>5000000</v>
      </c>
      <c r="J31" s="464"/>
      <c r="K31" s="464"/>
      <c r="L31" s="464"/>
      <c r="M31" s="464"/>
      <c r="N31" s="464"/>
      <c r="O31" s="7"/>
      <c r="P31" s="7"/>
      <c r="Q31" s="7"/>
      <c r="R31" s="8"/>
      <c r="S31" s="8">
        <f>F31</f>
        <v>1</v>
      </c>
      <c r="T31" s="8"/>
      <c r="U31" s="8"/>
      <c r="V31" s="167"/>
      <c r="W31" s="167">
        <f>S31*E31</f>
        <v>5000000</v>
      </c>
      <c r="X31" s="167"/>
      <c r="Y31" s="167"/>
      <c r="Z31" s="8"/>
      <c r="AA31" s="167"/>
      <c r="AB31" s="8"/>
      <c r="AC31" s="167"/>
      <c r="AD31" s="8"/>
      <c r="AE31" s="167"/>
      <c r="AF31" s="8"/>
      <c r="AG31" s="167"/>
      <c r="AH31" s="8"/>
      <c r="AI31" s="167"/>
      <c r="AJ31" s="8"/>
      <c r="AK31" s="167"/>
      <c r="AL31" s="8"/>
      <c r="AM31" s="167"/>
      <c r="AN31" s="8"/>
      <c r="AO31" s="167"/>
      <c r="AP31" s="8"/>
      <c r="AQ31" s="167"/>
      <c r="AR31" s="8"/>
      <c r="AS31" s="167"/>
      <c r="AT31" s="8"/>
      <c r="AU31" s="167"/>
      <c r="AV31" s="8"/>
      <c r="AW31" s="167"/>
      <c r="AX31" s="8"/>
      <c r="AY31" s="167"/>
      <c r="AZ31" s="8"/>
      <c r="BA31" s="167"/>
      <c r="BB31" s="8"/>
      <c r="BC31" s="167"/>
      <c r="BD31" s="8"/>
      <c r="BE31" s="167"/>
      <c r="BF31" s="8"/>
      <c r="BG31" s="167"/>
      <c r="BH31" s="8">
        <v>1</v>
      </c>
      <c r="BI31" s="167">
        <f t="shared" si="10"/>
        <v>5000000</v>
      </c>
      <c r="BJ31" s="8">
        <f t="shared" si="20"/>
        <v>1</v>
      </c>
      <c r="BK31" s="7">
        <f t="shared" si="21"/>
        <v>5000000</v>
      </c>
      <c r="BL31" s="186" t="s">
        <v>211</v>
      </c>
      <c r="BN31" s="190"/>
      <c r="BO31" s="190"/>
      <c r="BP31" s="190">
        <f t="shared" si="17"/>
        <v>5000000</v>
      </c>
      <c r="BQ31" s="190"/>
      <c r="BR31" s="190">
        <f t="shared" si="18"/>
        <v>5000000</v>
      </c>
      <c r="BS31" s="190"/>
      <c r="BT31" s="190"/>
      <c r="BU31" s="444">
        <f t="shared" si="19"/>
        <v>0</v>
      </c>
      <c r="BV31" s="167">
        <f t="shared" si="0"/>
        <v>5000000</v>
      </c>
    </row>
    <row r="32" spans="1:74" x14ac:dyDescent="0.25">
      <c r="A32" s="135"/>
      <c r="B32" s="586" t="s">
        <v>1073</v>
      </c>
      <c r="C32" s="192" t="s">
        <v>375</v>
      </c>
      <c r="D32" s="186" t="s">
        <v>71</v>
      </c>
      <c r="E32" s="200">
        <v>1000000</v>
      </c>
      <c r="F32" s="8">
        <f>BJ32</f>
        <v>1</v>
      </c>
      <c r="G32" s="464">
        <f>F32*E32</f>
        <v>1000000</v>
      </c>
      <c r="H32" s="464">
        <f>G32*0.2</f>
        <v>200000</v>
      </c>
      <c r="I32" s="464">
        <f>G32*0.8</f>
        <v>800000</v>
      </c>
      <c r="J32" s="464"/>
      <c r="K32" s="464"/>
      <c r="L32" s="464"/>
      <c r="M32" s="464"/>
      <c r="N32" s="464"/>
      <c r="O32" s="7"/>
      <c r="P32" s="7"/>
      <c r="Q32" s="7"/>
      <c r="R32" s="8"/>
      <c r="S32" s="8">
        <f>F32</f>
        <v>1</v>
      </c>
      <c r="T32" s="8"/>
      <c r="U32" s="8"/>
      <c r="V32" s="167"/>
      <c r="W32" s="167">
        <f>S32*E32</f>
        <v>1000000</v>
      </c>
      <c r="X32" s="167"/>
      <c r="Y32" s="167"/>
      <c r="Z32" s="8"/>
      <c r="AA32" s="167"/>
      <c r="AB32" s="8"/>
      <c r="AC32" s="167"/>
      <c r="AD32" s="8"/>
      <c r="AE32" s="167"/>
      <c r="AF32" s="8"/>
      <c r="AG32" s="167"/>
      <c r="AH32" s="8"/>
      <c r="AI32" s="167"/>
      <c r="AJ32" s="8"/>
      <c r="AK32" s="167"/>
      <c r="AL32" s="8"/>
      <c r="AM32" s="167"/>
      <c r="AN32" s="8"/>
      <c r="AO32" s="167"/>
      <c r="AP32" s="8"/>
      <c r="AQ32" s="167"/>
      <c r="AR32" s="8"/>
      <c r="AS32" s="167"/>
      <c r="AT32" s="8"/>
      <c r="AU32" s="167"/>
      <c r="AV32" s="8"/>
      <c r="AW32" s="167"/>
      <c r="AX32" s="8"/>
      <c r="AY32" s="167"/>
      <c r="AZ32" s="8"/>
      <c r="BA32" s="167"/>
      <c r="BB32" s="8"/>
      <c r="BC32" s="167"/>
      <c r="BD32" s="8"/>
      <c r="BE32" s="167"/>
      <c r="BF32" s="8"/>
      <c r="BG32" s="167"/>
      <c r="BH32" s="8">
        <v>1</v>
      </c>
      <c r="BI32" s="167">
        <f t="shared" si="10"/>
        <v>1000000</v>
      </c>
      <c r="BJ32" s="8">
        <f t="shared" si="20"/>
        <v>1</v>
      </c>
      <c r="BK32" s="7">
        <f t="shared" si="21"/>
        <v>1000000</v>
      </c>
      <c r="BL32" s="186" t="s">
        <v>210</v>
      </c>
      <c r="BN32" s="190"/>
      <c r="BO32" s="190"/>
      <c r="BP32" s="190">
        <f t="shared" si="17"/>
        <v>1000000</v>
      </c>
      <c r="BQ32" s="190"/>
      <c r="BR32" s="190">
        <f t="shared" si="18"/>
        <v>1000000</v>
      </c>
      <c r="BS32" s="190"/>
      <c r="BT32" s="190"/>
      <c r="BU32" s="444">
        <f t="shared" si="19"/>
        <v>0</v>
      </c>
      <c r="BV32" s="167">
        <f t="shared" si="0"/>
        <v>1000000</v>
      </c>
    </row>
    <row r="33" spans="1:74" s="180" customFormat="1" x14ac:dyDescent="0.25">
      <c r="A33" s="135"/>
      <c r="B33" s="207"/>
      <c r="C33" s="185" t="s">
        <v>110</v>
      </c>
      <c r="D33" s="204" t="s">
        <v>111</v>
      </c>
      <c r="E33" s="205" t="s">
        <v>111</v>
      </c>
      <c r="F33" s="16">
        <f>SUM(F28:F32)</f>
        <v>3</v>
      </c>
      <c r="G33" s="16">
        <f t="shared" ref="G33:BK33" si="22">SUM(G28:G32)</f>
        <v>7400000</v>
      </c>
      <c r="H33" s="16">
        <f t="shared" si="22"/>
        <v>480000</v>
      </c>
      <c r="I33" s="16">
        <f t="shared" si="22"/>
        <v>6920000</v>
      </c>
      <c r="J33" s="16">
        <f t="shared" si="22"/>
        <v>0</v>
      </c>
      <c r="K33" s="16">
        <f t="shared" si="22"/>
        <v>0</v>
      </c>
      <c r="L33" s="16">
        <f t="shared" si="22"/>
        <v>0</v>
      </c>
      <c r="M33" s="16">
        <f t="shared" si="22"/>
        <v>0</v>
      </c>
      <c r="N33" s="16">
        <f t="shared" si="22"/>
        <v>0</v>
      </c>
      <c r="O33" s="16">
        <f t="shared" si="22"/>
        <v>0</v>
      </c>
      <c r="P33" s="16">
        <f t="shared" si="22"/>
        <v>0</v>
      </c>
      <c r="Q33" s="16">
        <f t="shared" si="22"/>
        <v>0</v>
      </c>
      <c r="R33" s="16">
        <f t="shared" si="22"/>
        <v>0</v>
      </c>
      <c r="S33" s="16">
        <f t="shared" si="22"/>
        <v>3</v>
      </c>
      <c r="T33" s="16">
        <f t="shared" si="22"/>
        <v>0</v>
      </c>
      <c r="U33" s="16">
        <f t="shared" si="22"/>
        <v>0</v>
      </c>
      <c r="V33" s="16">
        <f t="shared" si="22"/>
        <v>0</v>
      </c>
      <c r="W33" s="16">
        <f t="shared" si="22"/>
        <v>7400000</v>
      </c>
      <c r="X33" s="16">
        <f t="shared" si="22"/>
        <v>0</v>
      </c>
      <c r="Y33" s="16">
        <f t="shared" si="22"/>
        <v>0</v>
      </c>
      <c r="Z33" s="16">
        <f t="shared" si="22"/>
        <v>0</v>
      </c>
      <c r="AA33" s="16">
        <f t="shared" si="22"/>
        <v>0</v>
      </c>
      <c r="AB33" s="16">
        <f t="shared" si="22"/>
        <v>0</v>
      </c>
      <c r="AC33" s="16">
        <f t="shared" si="22"/>
        <v>0</v>
      </c>
      <c r="AD33" s="16">
        <f t="shared" si="22"/>
        <v>0</v>
      </c>
      <c r="AE33" s="16">
        <f t="shared" si="22"/>
        <v>0</v>
      </c>
      <c r="AF33" s="16">
        <f t="shared" si="22"/>
        <v>0</v>
      </c>
      <c r="AG33" s="16">
        <f t="shared" si="22"/>
        <v>0</v>
      </c>
      <c r="AH33" s="16">
        <f t="shared" si="22"/>
        <v>0</v>
      </c>
      <c r="AI33" s="16">
        <f t="shared" si="22"/>
        <v>0</v>
      </c>
      <c r="AJ33" s="16">
        <f t="shared" si="22"/>
        <v>0</v>
      </c>
      <c r="AK33" s="16">
        <f t="shared" si="22"/>
        <v>0</v>
      </c>
      <c r="AL33" s="16">
        <f t="shared" si="22"/>
        <v>0</v>
      </c>
      <c r="AM33" s="16">
        <f t="shared" si="22"/>
        <v>0</v>
      </c>
      <c r="AN33" s="16">
        <f t="shared" si="22"/>
        <v>0</v>
      </c>
      <c r="AO33" s="16">
        <f t="shared" si="22"/>
        <v>0</v>
      </c>
      <c r="AP33" s="16">
        <f t="shared" si="22"/>
        <v>0</v>
      </c>
      <c r="AQ33" s="16">
        <f t="shared" si="22"/>
        <v>0</v>
      </c>
      <c r="AR33" s="16">
        <f t="shared" si="22"/>
        <v>0</v>
      </c>
      <c r="AS33" s="16">
        <f t="shared" si="22"/>
        <v>0</v>
      </c>
      <c r="AT33" s="16">
        <f t="shared" si="22"/>
        <v>0</v>
      </c>
      <c r="AU33" s="16">
        <f t="shared" si="22"/>
        <v>0</v>
      </c>
      <c r="AV33" s="16">
        <f t="shared" si="22"/>
        <v>0</v>
      </c>
      <c r="AW33" s="16">
        <f t="shared" si="22"/>
        <v>0</v>
      </c>
      <c r="AX33" s="16">
        <f t="shared" si="22"/>
        <v>0</v>
      </c>
      <c r="AY33" s="16">
        <f t="shared" si="22"/>
        <v>0</v>
      </c>
      <c r="AZ33" s="16">
        <f t="shared" si="22"/>
        <v>0</v>
      </c>
      <c r="BA33" s="16">
        <f t="shared" si="22"/>
        <v>0</v>
      </c>
      <c r="BB33" s="16">
        <f t="shared" si="22"/>
        <v>0</v>
      </c>
      <c r="BC33" s="16">
        <f t="shared" si="22"/>
        <v>0</v>
      </c>
      <c r="BD33" s="16">
        <f t="shared" si="22"/>
        <v>0</v>
      </c>
      <c r="BE33" s="16">
        <f t="shared" si="22"/>
        <v>0</v>
      </c>
      <c r="BF33" s="16">
        <f t="shared" si="22"/>
        <v>0</v>
      </c>
      <c r="BG33" s="16">
        <f t="shared" si="22"/>
        <v>0</v>
      </c>
      <c r="BH33" s="16">
        <f t="shared" si="22"/>
        <v>3</v>
      </c>
      <c r="BI33" s="16">
        <f t="shared" si="22"/>
        <v>7400000</v>
      </c>
      <c r="BJ33" s="16">
        <f t="shared" si="22"/>
        <v>3</v>
      </c>
      <c r="BK33" s="16">
        <f t="shared" si="22"/>
        <v>7400000</v>
      </c>
      <c r="BL33" s="204" t="s">
        <v>111</v>
      </c>
      <c r="BN33" s="206"/>
      <c r="BO33" s="206"/>
      <c r="BP33" s="206">
        <f t="shared" si="17"/>
        <v>7400000</v>
      </c>
      <c r="BQ33" s="206"/>
      <c r="BR33" s="206">
        <f t="shared" si="18"/>
        <v>7400000</v>
      </c>
      <c r="BS33" s="206"/>
      <c r="BT33" s="206"/>
      <c r="BU33" s="467">
        <f t="shared" si="19"/>
        <v>0</v>
      </c>
      <c r="BV33" s="468">
        <f t="shared" si="0"/>
        <v>7400000</v>
      </c>
    </row>
    <row r="34" spans="1:74" x14ac:dyDescent="0.25">
      <c r="A34" s="135"/>
      <c r="B34" s="169"/>
      <c r="C34" s="185" t="s">
        <v>376</v>
      </c>
      <c r="D34" s="186"/>
      <c r="E34" s="186"/>
      <c r="F34" s="8"/>
      <c r="G34" s="464"/>
      <c r="H34" s="464"/>
      <c r="I34" s="464"/>
      <c r="J34" s="464"/>
      <c r="K34" s="464"/>
      <c r="L34" s="464"/>
      <c r="M34" s="464"/>
      <c r="N34" s="464"/>
      <c r="O34" s="7"/>
      <c r="P34" s="7"/>
      <c r="Q34" s="7"/>
      <c r="R34" s="8"/>
      <c r="S34" s="8"/>
      <c r="T34" s="8"/>
      <c r="U34" s="8"/>
      <c r="V34" s="167"/>
      <c r="W34" s="167"/>
      <c r="X34" s="167"/>
      <c r="Y34" s="167"/>
      <c r="Z34" s="8"/>
      <c r="AA34" s="167"/>
      <c r="AB34" s="8"/>
      <c r="AC34" s="167"/>
      <c r="AD34" s="8"/>
      <c r="AE34" s="167"/>
      <c r="AF34" s="8"/>
      <c r="AG34" s="167"/>
      <c r="AH34" s="8"/>
      <c r="AI34" s="167"/>
      <c r="AJ34" s="8"/>
      <c r="AK34" s="167"/>
      <c r="AL34" s="8"/>
      <c r="AM34" s="167"/>
      <c r="AN34" s="8"/>
      <c r="AO34" s="167"/>
      <c r="AP34" s="8"/>
      <c r="AQ34" s="167"/>
      <c r="AR34" s="8"/>
      <c r="AS34" s="167"/>
      <c r="AT34" s="8"/>
      <c r="AU34" s="167"/>
      <c r="AV34" s="8"/>
      <c r="AW34" s="167"/>
      <c r="AX34" s="8"/>
      <c r="AY34" s="167"/>
      <c r="AZ34" s="8"/>
      <c r="BA34" s="167"/>
      <c r="BB34" s="8"/>
      <c r="BC34" s="167"/>
      <c r="BD34" s="8"/>
      <c r="BE34" s="167"/>
      <c r="BF34" s="8"/>
      <c r="BG34" s="167"/>
      <c r="BH34" s="8"/>
      <c r="BI34" s="167">
        <f t="shared" si="10"/>
        <v>0</v>
      </c>
      <c r="BJ34" s="8">
        <f t="shared" si="20"/>
        <v>0</v>
      </c>
      <c r="BK34" s="7"/>
      <c r="BL34" s="186"/>
      <c r="BN34" s="190"/>
      <c r="BO34" s="190"/>
      <c r="BP34" s="190"/>
      <c r="BQ34" s="190"/>
      <c r="BR34" s="190"/>
      <c r="BS34" s="190"/>
      <c r="BT34" s="190"/>
      <c r="BU34" s="444"/>
      <c r="BV34" s="167"/>
    </row>
    <row r="35" spans="1:74" x14ac:dyDescent="0.25">
      <c r="A35" s="135"/>
      <c r="B35" s="586" t="s">
        <v>1074</v>
      </c>
      <c r="C35" s="192" t="s">
        <v>34</v>
      </c>
      <c r="D35" s="186" t="s">
        <v>39</v>
      </c>
      <c r="E35" s="193">
        <v>1400000</v>
      </c>
      <c r="F35" s="8">
        <f>BJ35</f>
        <v>1</v>
      </c>
      <c r="G35" s="464">
        <f>F35*E35</f>
        <v>1400000</v>
      </c>
      <c r="H35" s="464">
        <f t="shared" ref="H35:H47" si="23">G35*0.2</f>
        <v>280000</v>
      </c>
      <c r="I35" s="464">
        <f>G35*0.8</f>
        <v>1120000</v>
      </c>
      <c r="J35" s="464"/>
      <c r="K35" s="464"/>
      <c r="L35" s="464"/>
      <c r="M35" s="464"/>
      <c r="N35" s="464"/>
      <c r="O35" s="7"/>
      <c r="P35" s="7"/>
      <c r="Q35" s="7"/>
      <c r="R35" s="8"/>
      <c r="S35" s="8"/>
      <c r="T35" s="8">
        <f>F35</f>
        <v>1</v>
      </c>
      <c r="U35" s="8"/>
      <c r="V35" s="167"/>
      <c r="W35" s="167"/>
      <c r="X35" s="167">
        <f>T35*E35</f>
        <v>1400000</v>
      </c>
      <c r="Y35" s="167"/>
      <c r="Z35" s="8"/>
      <c r="AA35" s="167"/>
      <c r="AB35" s="8"/>
      <c r="AC35" s="167"/>
      <c r="AD35" s="8"/>
      <c r="AE35" s="167"/>
      <c r="AF35" s="8"/>
      <c r="AG35" s="167"/>
      <c r="AH35" s="8"/>
      <c r="AI35" s="167"/>
      <c r="AJ35" s="8"/>
      <c r="AK35" s="167"/>
      <c r="AL35" s="8"/>
      <c r="AM35" s="167"/>
      <c r="AN35" s="8"/>
      <c r="AO35" s="167"/>
      <c r="AP35" s="8"/>
      <c r="AQ35" s="167"/>
      <c r="AR35" s="8"/>
      <c r="AS35" s="167"/>
      <c r="AT35" s="8"/>
      <c r="AU35" s="167"/>
      <c r="AV35" s="8"/>
      <c r="AW35" s="167"/>
      <c r="AX35" s="8"/>
      <c r="AY35" s="167"/>
      <c r="AZ35" s="8"/>
      <c r="BA35" s="167"/>
      <c r="BB35" s="8"/>
      <c r="BC35" s="167"/>
      <c r="BD35" s="8"/>
      <c r="BE35" s="167"/>
      <c r="BF35" s="8"/>
      <c r="BG35" s="167"/>
      <c r="BH35" s="8">
        <v>1</v>
      </c>
      <c r="BI35" s="167">
        <f t="shared" si="10"/>
        <v>1400000</v>
      </c>
      <c r="BJ35" s="8">
        <f t="shared" si="20"/>
        <v>1</v>
      </c>
      <c r="BK35" s="7">
        <f t="shared" si="21"/>
        <v>1400000</v>
      </c>
      <c r="BL35" s="186" t="s">
        <v>210</v>
      </c>
      <c r="BN35" s="190"/>
      <c r="BO35" s="190"/>
      <c r="BP35" s="190">
        <f>BK35</f>
        <v>1400000</v>
      </c>
      <c r="BQ35" s="190"/>
      <c r="BR35" s="190">
        <f t="shared" si="18"/>
        <v>1400000</v>
      </c>
      <c r="BS35" s="190"/>
      <c r="BT35" s="190"/>
      <c r="BU35" s="444">
        <f t="shared" si="19"/>
        <v>0</v>
      </c>
      <c r="BV35" s="167">
        <f t="shared" si="0"/>
        <v>1400000</v>
      </c>
    </row>
    <row r="36" spans="1:74" s="180" customFormat="1" x14ac:dyDescent="0.25">
      <c r="A36" s="135"/>
      <c r="B36" s="586" t="s">
        <v>1075</v>
      </c>
      <c r="C36" s="192" t="s">
        <v>112</v>
      </c>
      <c r="D36" s="186" t="s">
        <v>39</v>
      </c>
      <c r="E36" s="193">
        <v>700000</v>
      </c>
      <c r="F36" s="8">
        <f t="shared" ref="F36:F47" si="24">BJ36</f>
        <v>1</v>
      </c>
      <c r="G36" s="464">
        <f t="shared" ref="G36:G47" si="25">F36*E36</f>
        <v>700000</v>
      </c>
      <c r="H36" s="464">
        <f t="shared" si="23"/>
        <v>140000</v>
      </c>
      <c r="I36" s="464">
        <f t="shared" ref="I36:I47" si="26">G36*0.8</f>
        <v>560000</v>
      </c>
      <c r="J36" s="464"/>
      <c r="K36" s="464"/>
      <c r="L36" s="464"/>
      <c r="M36" s="464"/>
      <c r="N36" s="464"/>
      <c r="O36" s="7"/>
      <c r="P36" s="7"/>
      <c r="Q36" s="7"/>
      <c r="R36" s="8"/>
      <c r="S36" s="8"/>
      <c r="T36" s="8">
        <f t="shared" ref="T36:T47" si="27">F36</f>
        <v>1</v>
      </c>
      <c r="U36" s="8"/>
      <c r="V36" s="167"/>
      <c r="W36" s="167"/>
      <c r="X36" s="167">
        <f t="shared" ref="X36:X41" si="28">T36*E36</f>
        <v>700000</v>
      </c>
      <c r="Y36" s="167"/>
      <c r="Z36" s="8"/>
      <c r="AA36" s="167"/>
      <c r="AB36" s="8"/>
      <c r="AC36" s="167"/>
      <c r="AD36" s="8"/>
      <c r="AE36" s="167"/>
      <c r="AF36" s="8"/>
      <c r="AG36" s="167"/>
      <c r="AH36" s="8"/>
      <c r="AI36" s="167"/>
      <c r="AJ36" s="8"/>
      <c r="AK36" s="167"/>
      <c r="AL36" s="8"/>
      <c r="AM36" s="167"/>
      <c r="AN36" s="8"/>
      <c r="AO36" s="167"/>
      <c r="AP36" s="8"/>
      <c r="AQ36" s="167"/>
      <c r="AR36" s="8"/>
      <c r="AS36" s="167"/>
      <c r="AT36" s="8"/>
      <c r="AU36" s="167"/>
      <c r="AV36" s="8"/>
      <c r="AW36" s="167"/>
      <c r="AX36" s="8"/>
      <c r="AY36" s="167"/>
      <c r="AZ36" s="8"/>
      <c r="BA36" s="167"/>
      <c r="BB36" s="8"/>
      <c r="BC36" s="167"/>
      <c r="BD36" s="8"/>
      <c r="BE36" s="167"/>
      <c r="BF36" s="8"/>
      <c r="BG36" s="167"/>
      <c r="BH36" s="8">
        <v>1</v>
      </c>
      <c r="BI36" s="167">
        <f t="shared" si="10"/>
        <v>700000</v>
      </c>
      <c r="BJ36" s="8">
        <f t="shared" si="20"/>
        <v>1</v>
      </c>
      <c r="BK36" s="7">
        <f t="shared" si="21"/>
        <v>700000</v>
      </c>
      <c r="BL36" s="186" t="s">
        <v>210</v>
      </c>
      <c r="BN36" s="190"/>
      <c r="BO36" s="190"/>
      <c r="BP36" s="190">
        <f>BK36</f>
        <v>700000</v>
      </c>
      <c r="BQ36" s="190"/>
      <c r="BR36" s="190">
        <f t="shared" si="18"/>
        <v>700000</v>
      </c>
      <c r="BS36" s="190"/>
      <c r="BT36" s="190"/>
      <c r="BU36" s="444">
        <f t="shared" si="19"/>
        <v>0</v>
      </c>
      <c r="BV36" s="167">
        <f t="shared" si="0"/>
        <v>700000</v>
      </c>
    </row>
    <row r="37" spans="1:74" x14ac:dyDescent="0.25">
      <c r="A37" s="135"/>
      <c r="B37" s="586" t="s">
        <v>1076</v>
      </c>
      <c r="C37" s="192" t="s">
        <v>377</v>
      </c>
      <c r="D37" s="186" t="s">
        <v>39</v>
      </c>
      <c r="E37" s="193">
        <v>1800</v>
      </c>
      <c r="F37" s="8">
        <f t="shared" si="24"/>
        <v>1009</v>
      </c>
      <c r="G37" s="464">
        <f t="shared" si="25"/>
        <v>1816200</v>
      </c>
      <c r="H37" s="464">
        <f t="shared" si="23"/>
        <v>363240</v>
      </c>
      <c r="I37" s="464">
        <f t="shared" si="26"/>
        <v>1452960</v>
      </c>
      <c r="J37" s="464"/>
      <c r="K37" s="464"/>
      <c r="L37" s="464"/>
      <c r="M37" s="464"/>
      <c r="N37" s="464"/>
      <c r="O37" s="7"/>
      <c r="P37" s="7"/>
      <c r="Q37" s="7"/>
      <c r="R37" s="8"/>
      <c r="S37" s="8"/>
      <c r="T37" s="8">
        <f t="shared" si="27"/>
        <v>1009</v>
      </c>
      <c r="U37" s="8"/>
      <c r="V37" s="167"/>
      <c r="W37" s="167"/>
      <c r="X37" s="167">
        <f t="shared" si="28"/>
        <v>1816200</v>
      </c>
      <c r="Y37" s="167"/>
      <c r="Z37" s="8"/>
      <c r="AA37" s="167"/>
      <c r="AB37" s="8"/>
      <c r="AC37" s="167"/>
      <c r="AD37" s="8"/>
      <c r="AE37" s="167"/>
      <c r="AF37" s="8"/>
      <c r="AG37" s="167"/>
      <c r="AH37" s="8"/>
      <c r="AI37" s="167"/>
      <c r="AJ37" s="8"/>
      <c r="AK37" s="167"/>
      <c r="AL37" s="8"/>
      <c r="AM37" s="167"/>
      <c r="AN37" s="8"/>
      <c r="AO37" s="167"/>
      <c r="AP37" s="8"/>
      <c r="AQ37" s="167"/>
      <c r="AR37" s="8"/>
      <c r="AS37" s="167"/>
      <c r="AT37" s="8"/>
      <c r="AU37" s="167"/>
      <c r="AV37" s="8"/>
      <c r="AW37" s="167"/>
      <c r="AX37" s="8"/>
      <c r="AY37" s="167"/>
      <c r="AZ37" s="8"/>
      <c r="BA37" s="167"/>
      <c r="BB37" s="8"/>
      <c r="BC37" s="167"/>
      <c r="BD37" s="8"/>
      <c r="BE37" s="167"/>
      <c r="BF37" s="8"/>
      <c r="BG37" s="167"/>
      <c r="BH37" s="8">
        <v>1009</v>
      </c>
      <c r="BI37" s="167">
        <f t="shared" si="10"/>
        <v>1816200</v>
      </c>
      <c r="BJ37" s="8">
        <f t="shared" si="20"/>
        <v>1009</v>
      </c>
      <c r="BK37" s="7">
        <f t="shared" si="21"/>
        <v>1816200</v>
      </c>
      <c r="BL37" s="186" t="s">
        <v>210</v>
      </c>
      <c r="BN37" s="190"/>
      <c r="BO37" s="190"/>
      <c r="BP37" s="190">
        <f>BK37</f>
        <v>1816200</v>
      </c>
      <c r="BQ37" s="190"/>
      <c r="BR37" s="190">
        <f t="shared" si="18"/>
        <v>1816200</v>
      </c>
      <c r="BS37" s="190"/>
      <c r="BT37" s="190"/>
      <c r="BU37" s="444">
        <f t="shared" si="19"/>
        <v>0</v>
      </c>
      <c r="BV37" s="167">
        <f t="shared" si="0"/>
        <v>1816200</v>
      </c>
    </row>
    <row r="38" spans="1:74" x14ac:dyDescent="0.25">
      <c r="A38" s="135"/>
      <c r="B38" s="586" t="s">
        <v>1077</v>
      </c>
      <c r="C38" s="192" t="s">
        <v>378</v>
      </c>
      <c r="D38" s="186" t="s">
        <v>73</v>
      </c>
      <c r="E38" s="193" t="s">
        <v>345</v>
      </c>
      <c r="F38" s="8">
        <f t="shared" si="24"/>
        <v>0</v>
      </c>
      <c r="G38" s="464">
        <f t="shared" si="25"/>
        <v>0</v>
      </c>
      <c r="H38" s="464">
        <f t="shared" si="23"/>
        <v>0</v>
      </c>
      <c r="I38" s="464">
        <f t="shared" si="26"/>
        <v>0</v>
      </c>
      <c r="J38" s="464"/>
      <c r="K38" s="464"/>
      <c r="L38" s="464"/>
      <c r="M38" s="464"/>
      <c r="N38" s="464"/>
      <c r="O38" s="7"/>
      <c r="P38" s="7"/>
      <c r="Q38" s="7"/>
      <c r="R38" s="8"/>
      <c r="S38" s="8"/>
      <c r="T38" s="8">
        <f t="shared" si="27"/>
        <v>0</v>
      </c>
      <c r="U38" s="8"/>
      <c r="V38" s="167"/>
      <c r="W38" s="167"/>
      <c r="X38" s="167">
        <f t="shared" si="28"/>
        <v>0</v>
      </c>
      <c r="Y38" s="167"/>
      <c r="Z38" s="8"/>
      <c r="AA38" s="167"/>
      <c r="AB38" s="8"/>
      <c r="AC38" s="167"/>
      <c r="AD38" s="8"/>
      <c r="AE38" s="167"/>
      <c r="AF38" s="8"/>
      <c r="AG38" s="167"/>
      <c r="AH38" s="8"/>
      <c r="AI38" s="167"/>
      <c r="AJ38" s="8"/>
      <c r="AK38" s="167"/>
      <c r="AL38" s="8"/>
      <c r="AM38" s="167"/>
      <c r="AN38" s="8"/>
      <c r="AO38" s="167"/>
      <c r="AP38" s="8"/>
      <c r="AQ38" s="167"/>
      <c r="AR38" s="8"/>
      <c r="AS38" s="167"/>
      <c r="AT38" s="8"/>
      <c r="AU38" s="167"/>
      <c r="AV38" s="8"/>
      <c r="AW38" s="167"/>
      <c r="AX38" s="8"/>
      <c r="AY38" s="167"/>
      <c r="AZ38" s="8"/>
      <c r="BA38" s="167"/>
      <c r="BB38" s="8"/>
      <c r="BC38" s="167"/>
      <c r="BD38" s="8"/>
      <c r="BE38" s="167"/>
      <c r="BF38" s="8"/>
      <c r="BG38" s="167"/>
      <c r="BH38" s="8">
        <v>0</v>
      </c>
      <c r="BI38" s="167">
        <f t="shared" si="10"/>
        <v>0</v>
      </c>
      <c r="BJ38" s="8">
        <f t="shared" si="20"/>
        <v>0</v>
      </c>
      <c r="BK38" s="7">
        <f t="shared" si="21"/>
        <v>0</v>
      </c>
      <c r="BL38" s="186" t="s">
        <v>210</v>
      </c>
      <c r="BN38" s="190"/>
      <c r="BO38" s="190">
        <f>BK38</f>
        <v>0</v>
      </c>
      <c r="BP38" s="190"/>
      <c r="BQ38" s="190"/>
      <c r="BR38" s="190">
        <f t="shared" si="18"/>
        <v>0</v>
      </c>
      <c r="BS38" s="190"/>
      <c r="BT38" s="190"/>
      <c r="BU38" s="444">
        <f t="shared" si="19"/>
        <v>0</v>
      </c>
      <c r="BV38" s="167">
        <f t="shared" si="0"/>
        <v>0</v>
      </c>
    </row>
    <row r="39" spans="1:74" x14ac:dyDescent="0.25">
      <c r="A39" s="135"/>
      <c r="B39" s="586" t="s">
        <v>1078</v>
      </c>
      <c r="C39" s="192" t="s">
        <v>379</v>
      </c>
      <c r="D39" s="186" t="s">
        <v>73</v>
      </c>
      <c r="E39" s="193">
        <v>300000</v>
      </c>
      <c r="F39" s="8">
        <f t="shared" si="24"/>
        <v>1</v>
      </c>
      <c r="G39" s="464">
        <f t="shared" si="25"/>
        <v>300000</v>
      </c>
      <c r="H39" s="464">
        <f t="shared" si="23"/>
        <v>60000</v>
      </c>
      <c r="I39" s="464">
        <f t="shared" si="26"/>
        <v>240000</v>
      </c>
      <c r="J39" s="464"/>
      <c r="K39" s="464"/>
      <c r="L39" s="464"/>
      <c r="M39" s="464"/>
      <c r="N39" s="464"/>
      <c r="O39" s="7"/>
      <c r="P39" s="7"/>
      <c r="Q39" s="7"/>
      <c r="R39" s="8"/>
      <c r="S39" s="8"/>
      <c r="T39" s="8">
        <f t="shared" si="27"/>
        <v>1</v>
      </c>
      <c r="U39" s="8"/>
      <c r="V39" s="167"/>
      <c r="W39" s="167"/>
      <c r="X39" s="167">
        <f t="shared" si="28"/>
        <v>300000</v>
      </c>
      <c r="Y39" s="167"/>
      <c r="Z39" s="8"/>
      <c r="AA39" s="167"/>
      <c r="AB39" s="8"/>
      <c r="AC39" s="167"/>
      <c r="AD39" s="8"/>
      <c r="AE39" s="167"/>
      <c r="AF39" s="8"/>
      <c r="AG39" s="167"/>
      <c r="AH39" s="8"/>
      <c r="AI39" s="167"/>
      <c r="AJ39" s="8"/>
      <c r="AK39" s="167"/>
      <c r="AL39" s="8"/>
      <c r="AM39" s="167"/>
      <c r="AN39" s="8"/>
      <c r="AO39" s="167"/>
      <c r="AP39" s="8"/>
      <c r="AQ39" s="167"/>
      <c r="AR39" s="8"/>
      <c r="AS39" s="167"/>
      <c r="AT39" s="8"/>
      <c r="AU39" s="167"/>
      <c r="AV39" s="8"/>
      <c r="AW39" s="167"/>
      <c r="AX39" s="8"/>
      <c r="AY39" s="167"/>
      <c r="AZ39" s="8"/>
      <c r="BA39" s="167"/>
      <c r="BB39" s="8"/>
      <c r="BC39" s="167"/>
      <c r="BD39" s="8"/>
      <c r="BE39" s="167"/>
      <c r="BF39" s="8"/>
      <c r="BG39" s="167"/>
      <c r="BH39" s="8">
        <v>1</v>
      </c>
      <c r="BI39" s="167">
        <f t="shared" si="10"/>
        <v>300000</v>
      </c>
      <c r="BJ39" s="8">
        <f t="shared" si="20"/>
        <v>1</v>
      </c>
      <c r="BK39" s="7">
        <f t="shared" si="21"/>
        <v>300000</v>
      </c>
      <c r="BL39" s="186" t="s">
        <v>210</v>
      </c>
      <c r="BN39" s="190"/>
      <c r="BO39" s="190"/>
      <c r="BP39" s="190"/>
      <c r="BQ39" s="190"/>
      <c r="BR39" s="190">
        <f t="shared" si="18"/>
        <v>0</v>
      </c>
      <c r="BS39" s="190"/>
      <c r="BT39" s="190">
        <f>BK39</f>
        <v>300000</v>
      </c>
      <c r="BU39" s="444">
        <f t="shared" si="19"/>
        <v>300000</v>
      </c>
      <c r="BV39" s="167">
        <f t="shared" si="0"/>
        <v>300000</v>
      </c>
    </row>
    <row r="40" spans="1:74" x14ac:dyDescent="0.25">
      <c r="A40" s="135"/>
      <c r="B40" s="169"/>
      <c r="C40" s="185" t="s">
        <v>113</v>
      </c>
      <c r="D40" s="186" t="s">
        <v>111</v>
      </c>
      <c r="E40" s="193"/>
      <c r="F40" s="8">
        <f t="shared" si="24"/>
        <v>0</v>
      </c>
      <c r="G40" s="464">
        <f t="shared" si="25"/>
        <v>0</v>
      </c>
      <c r="H40" s="464">
        <f t="shared" si="23"/>
        <v>0</v>
      </c>
      <c r="I40" s="464">
        <f t="shared" si="26"/>
        <v>0</v>
      </c>
      <c r="J40" s="464"/>
      <c r="K40" s="464"/>
      <c r="L40" s="464"/>
      <c r="M40" s="464"/>
      <c r="N40" s="464"/>
      <c r="O40" s="7"/>
      <c r="P40" s="7"/>
      <c r="Q40" s="7"/>
      <c r="R40" s="8"/>
      <c r="S40" s="8"/>
      <c r="T40" s="8">
        <f t="shared" si="27"/>
        <v>0</v>
      </c>
      <c r="U40" s="8"/>
      <c r="V40" s="167"/>
      <c r="W40" s="167"/>
      <c r="X40" s="167">
        <f t="shared" si="28"/>
        <v>0</v>
      </c>
      <c r="Y40" s="167"/>
      <c r="Z40" s="8"/>
      <c r="AA40" s="167"/>
      <c r="AB40" s="8"/>
      <c r="AC40" s="167"/>
      <c r="AD40" s="8"/>
      <c r="AE40" s="167"/>
      <c r="AF40" s="8"/>
      <c r="AG40" s="167"/>
      <c r="AH40" s="8"/>
      <c r="AI40" s="167"/>
      <c r="AJ40" s="8"/>
      <c r="AK40" s="167"/>
      <c r="AL40" s="8"/>
      <c r="AM40" s="167"/>
      <c r="AN40" s="8"/>
      <c r="AO40" s="167"/>
      <c r="AP40" s="8"/>
      <c r="AQ40" s="167"/>
      <c r="AR40" s="8"/>
      <c r="AS40" s="167"/>
      <c r="AT40" s="8"/>
      <c r="AU40" s="167"/>
      <c r="AV40" s="8"/>
      <c r="AW40" s="167"/>
      <c r="AX40" s="8"/>
      <c r="AY40" s="167"/>
      <c r="AZ40" s="8"/>
      <c r="BA40" s="167"/>
      <c r="BB40" s="8"/>
      <c r="BC40" s="167"/>
      <c r="BD40" s="8"/>
      <c r="BE40" s="167"/>
      <c r="BF40" s="8"/>
      <c r="BG40" s="167"/>
      <c r="BH40" s="8"/>
      <c r="BI40" s="167">
        <f t="shared" si="10"/>
        <v>0</v>
      </c>
      <c r="BJ40" s="8">
        <f t="shared" si="20"/>
        <v>0</v>
      </c>
      <c r="BK40" s="7">
        <f t="shared" si="21"/>
        <v>0</v>
      </c>
      <c r="BL40" s="186" t="s">
        <v>111</v>
      </c>
      <c r="BN40" s="190"/>
      <c r="BO40" s="190"/>
      <c r="BP40" s="190"/>
      <c r="BQ40" s="190"/>
      <c r="BR40" s="190"/>
      <c r="BS40" s="190"/>
      <c r="BT40" s="190"/>
      <c r="BU40" s="444">
        <f t="shared" si="19"/>
        <v>0</v>
      </c>
      <c r="BV40" s="167">
        <f t="shared" si="0"/>
        <v>0</v>
      </c>
    </row>
    <row r="41" spans="1:74" x14ac:dyDescent="0.25">
      <c r="A41" s="135"/>
      <c r="B41" s="169"/>
      <c r="C41" s="185" t="s">
        <v>380</v>
      </c>
      <c r="D41" s="186"/>
      <c r="E41" s="186"/>
      <c r="F41" s="8">
        <f t="shared" si="24"/>
        <v>0</v>
      </c>
      <c r="G41" s="464">
        <f t="shared" si="25"/>
        <v>0</v>
      </c>
      <c r="H41" s="464">
        <f t="shared" si="23"/>
        <v>0</v>
      </c>
      <c r="I41" s="464">
        <f t="shared" si="26"/>
        <v>0</v>
      </c>
      <c r="J41" s="464"/>
      <c r="K41" s="464"/>
      <c r="L41" s="464"/>
      <c r="M41" s="464"/>
      <c r="N41" s="464"/>
      <c r="O41" s="7"/>
      <c r="P41" s="7"/>
      <c r="Q41" s="7"/>
      <c r="R41" s="8"/>
      <c r="S41" s="8"/>
      <c r="T41" s="8">
        <f t="shared" si="27"/>
        <v>0</v>
      </c>
      <c r="U41" s="8"/>
      <c r="V41" s="167"/>
      <c r="W41" s="167"/>
      <c r="X41" s="167">
        <f t="shared" si="28"/>
        <v>0</v>
      </c>
      <c r="Y41" s="167"/>
      <c r="Z41" s="8"/>
      <c r="AA41" s="167"/>
      <c r="AB41" s="8"/>
      <c r="AC41" s="167"/>
      <c r="AD41" s="8"/>
      <c r="AE41" s="167"/>
      <c r="AF41" s="8"/>
      <c r="AG41" s="167"/>
      <c r="AH41" s="8"/>
      <c r="AI41" s="167"/>
      <c r="AJ41" s="8"/>
      <c r="AK41" s="167"/>
      <c r="AL41" s="8"/>
      <c r="AM41" s="167"/>
      <c r="AN41" s="8"/>
      <c r="AO41" s="167"/>
      <c r="AP41" s="8"/>
      <c r="AQ41" s="167"/>
      <c r="AR41" s="8"/>
      <c r="AS41" s="167"/>
      <c r="AT41" s="8"/>
      <c r="AU41" s="167"/>
      <c r="AV41" s="8"/>
      <c r="AW41" s="167"/>
      <c r="AX41" s="8"/>
      <c r="AY41" s="167"/>
      <c r="AZ41" s="8"/>
      <c r="BA41" s="167"/>
      <c r="BB41" s="8"/>
      <c r="BC41" s="167"/>
      <c r="BD41" s="8"/>
      <c r="BE41" s="167"/>
      <c r="BF41" s="8"/>
      <c r="BG41" s="167"/>
      <c r="BH41" s="8"/>
      <c r="BI41" s="167">
        <f t="shared" si="10"/>
        <v>0</v>
      </c>
      <c r="BJ41" s="8">
        <f t="shared" si="20"/>
        <v>0</v>
      </c>
      <c r="BK41" s="7">
        <f t="shared" si="21"/>
        <v>0</v>
      </c>
      <c r="BL41" s="186"/>
      <c r="BN41" s="190"/>
      <c r="BO41" s="190"/>
      <c r="BP41" s="190">
        <f>G41</f>
        <v>0</v>
      </c>
      <c r="BQ41" s="190"/>
      <c r="BR41" s="190">
        <f t="shared" si="18"/>
        <v>0</v>
      </c>
      <c r="BS41" s="190"/>
      <c r="BT41" s="190"/>
      <c r="BU41" s="444">
        <f t="shared" si="19"/>
        <v>0</v>
      </c>
      <c r="BV41" s="167">
        <f t="shared" si="0"/>
        <v>0</v>
      </c>
    </row>
    <row r="42" spans="1:74" x14ac:dyDescent="0.25">
      <c r="A42" s="135"/>
      <c r="B42" s="586" t="s">
        <v>1079</v>
      </c>
      <c r="C42" s="192" t="s">
        <v>381</v>
      </c>
      <c r="D42" s="186" t="s">
        <v>65</v>
      </c>
      <c r="E42" s="193" t="s">
        <v>345</v>
      </c>
      <c r="F42" s="8">
        <f t="shared" si="24"/>
        <v>0</v>
      </c>
      <c r="G42" s="464">
        <f t="shared" si="25"/>
        <v>0</v>
      </c>
      <c r="H42" s="464">
        <f>G42*0.2</f>
        <v>0</v>
      </c>
      <c r="I42" s="464">
        <f>G42*0.8</f>
        <v>0</v>
      </c>
      <c r="J42" s="464">
        <f t="shared" ref="J42:BC42" si="29">I42*H42</f>
        <v>0</v>
      </c>
      <c r="K42" s="464">
        <f t="shared" si="29"/>
        <v>0</v>
      </c>
      <c r="L42" s="464">
        <f t="shared" si="29"/>
        <v>0</v>
      </c>
      <c r="M42" s="464">
        <f t="shared" si="29"/>
        <v>0</v>
      </c>
      <c r="N42" s="464">
        <f t="shared" si="29"/>
        <v>0</v>
      </c>
      <c r="O42" s="464">
        <f t="shared" si="29"/>
        <v>0</v>
      </c>
      <c r="P42" s="464">
        <f t="shared" si="29"/>
        <v>0</v>
      </c>
      <c r="Q42" s="464">
        <f t="shared" si="29"/>
        <v>0</v>
      </c>
      <c r="R42" s="464">
        <f t="shared" si="29"/>
        <v>0</v>
      </c>
      <c r="S42" s="464">
        <f t="shared" si="29"/>
        <v>0</v>
      </c>
      <c r="T42" s="464">
        <f t="shared" si="29"/>
        <v>0</v>
      </c>
      <c r="U42" s="464">
        <f t="shared" si="29"/>
        <v>0</v>
      </c>
      <c r="V42" s="464">
        <f t="shared" si="29"/>
        <v>0</v>
      </c>
      <c r="W42" s="464">
        <f t="shared" si="29"/>
        <v>0</v>
      </c>
      <c r="X42" s="464">
        <f t="shared" si="29"/>
        <v>0</v>
      </c>
      <c r="Y42" s="464">
        <f t="shared" si="29"/>
        <v>0</v>
      </c>
      <c r="Z42" s="464">
        <f t="shared" si="29"/>
        <v>0</v>
      </c>
      <c r="AA42" s="464">
        <f t="shared" si="29"/>
        <v>0</v>
      </c>
      <c r="AB42" s="464">
        <f t="shared" si="29"/>
        <v>0</v>
      </c>
      <c r="AC42" s="464">
        <f t="shared" si="29"/>
        <v>0</v>
      </c>
      <c r="AD42" s="464">
        <f t="shared" si="29"/>
        <v>0</v>
      </c>
      <c r="AE42" s="464">
        <f t="shared" si="29"/>
        <v>0</v>
      </c>
      <c r="AF42" s="464">
        <f t="shared" si="29"/>
        <v>0</v>
      </c>
      <c r="AG42" s="464">
        <f t="shared" si="29"/>
        <v>0</v>
      </c>
      <c r="AH42" s="464">
        <f t="shared" si="29"/>
        <v>0</v>
      </c>
      <c r="AI42" s="464">
        <f t="shared" si="29"/>
        <v>0</v>
      </c>
      <c r="AJ42" s="464">
        <f t="shared" si="29"/>
        <v>0</v>
      </c>
      <c r="AK42" s="464">
        <f t="shared" si="29"/>
        <v>0</v>
      </c>
      <c r="AL42" s="464">
        <f t="shared" si="29"/>
        <v>0</v>
      </c>
      <c r="AM42" s="464">
        <f t="shared" si="29"/>
        <v>0</v>
      </c>
      <c r="AN42" s="464">
        <f t="shared" si="29"/>
        <v>0</v>
      </c>
      <c r="AO42" s="464">
        <f t="shared" si="29"/>
        <v>0</v>
      </c>
      <c r="AP42" s="464">
        <f t="shared" si="29"/>
        <v>0</v>
      </c>
      <c r="AQ42" s="464">
        <f t="shared" si="29"/>
        <v>0</v>
      </c>
      <c r="AR42" s="464">
        <f t="shared" si="29"/>
        <v>0</v>
      </c>
      <c r="AS42" s="464">
        <f t="shared" si="29"/>
        <v>0</v>
      </c>
      <c r="AT42" s="464">
        <f t="shared" si="29"/>
        <v>0</v>
      </c>
      <c r="AU42" s="464">
        <f t="shared" si="29"/>
        <v>0</v>
      </c>
      <c r="AV42" s="464">
        <f t="shared" si="29"/>
        <v>0</v>
      </c>
      <c r="AW42" s="464">
        <f t="shared" si="29"/>
        <v>0</v>
      </c>
      <c r="AX42" s="464">
        <f t="shared" si="29"/>
        <v>0</v>
      </c>
      <c r="AY42" s="464">
        <f t="shared" si="29"/>
        <v>0</v>
      </c>
      <c r="AZ42" s="464">
        <f t="shared" si="29"/>
        <v>0</v>
      </c>
      <c r="BA42" s="464">
        <f t="shared" si="29"/>
        <v>0</v>
      </c>
      <c r="BB42" s="464">
        <f t="shared" si="29"/>
        <v>0</v>
      </c>
      <c r="BC42" s="464">
        <f t="shared" si="29"/>
        <v>0</v>
      </c>
      <c r="BD42" s="8"/>
      <c r="BE42" s="167"/>
      <c r="BF42" s="8"/>
      <c r="BG42" s="167"/>
      <c r="BH42" s="8">
        <v>0</v>
      </c>
      <c r="BI42" s="167">
        <f t="shared" si="10"/>
        <v>0</v>
      </c>
      <c r="BJ42" s="8">
        <f t="shared" si="20"/>
        <v>0</v>
      </c>
      <c r="BK42" s="7">
        <f t="shared" si="21"/>
        <v>0</v>
      </c>
      <c r="BL42" s="186" t="s">
        <v>210</v>
      </c>
      <c r="BN42" s="190"/>
      <c r="BO42" s="190"/>
      <c r="BP42" s="190">
        <f>G42</f>
        <v>0</v>
      </c>
      <c r="BQ42" s="190"/>
      <c r="BR42" s="190">
        <f t="shared" si="18"/>
        <v>0</v>
      </c>
      <c r="BS42" s="190"/>
      <c r="BT42" s="190"/>
      <c r="BU42" s="444">
        <f t="shared" si="19"/>
        <v>0</v>
      </c>
      <c r="BV42" s="167">
        <f t="shared" si="0"/>
        <v>0</v>
      </c>
    </row>
    <row r="43" spans="1:74" ht="31.5" x14ac:dyDescent="0.25">
      <c r="A43" s="135"/>
      <c r="B43" s="586" t="s">
        <v>1080</v>
      </c>
      <c r="C43" s="199" t="s">
        <v>517</v>
      </c>
      <c r="D43" s="186" t="s">
        <v>16</v>
      </c>
      <c r="E43" s="193">
        <v>15000000</v>
      </c>
      <c r="F43" s="8">
        <f t="shared" si="24"/>
        <v>1</v>
      </c>
      <c r="G43" s="464">
        <f t="shared" si="25"/>
        <v>15000000</v>
      </c>
      <c r="H43" s="464">
        <f>G43*0.5</f>
        <v>7500000</v>
      </c>
      <c r="I43" s="464">
        <f>G43*0.5</f>
        <v>7500000</v>
      </c>
      <c r="J43" s="464"/>
      <c r="K43" s="464"/>
      <c r="L43" s="464"/>
      <c r="M43" s="464"/>
      <c r="N43" s="464"/>
      <c r="O43" s="7"/>
      <c r="P43" s="7"/>
      <c r="Q43" s="7"/>
      <c r="R43" s="8">
        <v>0.25</v>
      </c>
      <c r="S43" s="8">
        <v>0.25</v>
      </c>
      <c r="T43" s="8">
        <f>F43*0.25</f>
        <v>0.25</v>
      </c>
      <c r="U43" s="8">
        <v>0.25</v>
      </c>
      <c r="V43" s="464">
        <f>G43*R43</f>
        <v>3750000</v>
      </c>
      <c r="W43" s="464">
        <f>G43*S43</f>
        <v>3750000</v>
      </c>
      <c r="X43" s="464">
        <f>G43*T43</f>
        <v>3750000</v>
      </c>
      <c r="Y43" s="464">
        <f>G43*U43</f>
        <v>3750000</v>
      </c>
      <c r="Z43" s="8"/>
      <c r="AA43" s="167"/>
      <c r="AB43" s="8"/>
      <c r="AC43" s="167"/>
      <c r="AD43" s="8"/>
      <c r="AE43" s="167"/>
      <c r="AF43" s="8"/>
      <c r="AG43" s="167"/>
      <c r="AH43" s="8"/>
      <c r="AI43" s="167"/>
      <c r="AJ43" s="8"/>
      <c r="AK43" s="167"/>
      <c r="AL43" s="8"/>
      <c r="AM43" s="167"/>
      <c r="AN43" s="8"/>
      <c r="AO43" s="167"/>
      <c r="AP43" s="8"/>
      <c r="AQ43" s="167"/>
      <c r="AR43" s="8"/>
      <c r="AS43" s="167"/>
      <c r="AT43" s="8"/>
      <c r="AU43" s="167"/>
      <c r="AV43" s="8"/>
      <c r="AW43" s="167"/>
      <c r="AX43" s="8"/>
      <c r="AY43" s="167"/>
      <c r="AZ43" s="8"/>
      <c r="BA43" s="167"/>
      <c r="BB43" s="8"/>
      <c r="BC43" s="167"/>
      <c r="BD43" s="8"/>
      <c r="BE43" s="167"/>
      <c r="BF43" s="8"/>
      <c r="BG43" s="167"/>
      <c r="BH43" s="8">
        <v>1</v>
      </c>
      <c r="BI43" s="167">
        <f t="shared" si="10"/>
        <v>15000000</v>
      </c>
      <c r="BJ43" s="8">
        <f t="shared" si="20"/>
        <v>1</v>
      </c>
      <c r="BK43" s="7">
        <f t="shared" si="21"/>
        <v>15000000</v>
      </c>
      <c r="BL43" s="186"/>
      <c r="BN43" s="190"/>
      <c r="BO43" s="190"/>
      <c r="BP43" s="190">
        <f>BK43</f>
        <v>15000000</v>
      </c>
      <c r="BQ43" s="190"/>
      <c r="BR43" s="190">
        <f t="shared" si="18"/>
        <v>15000000</v>
      </c>
      <c r="BS43" s="190"/>
      <c r="BT43" s="190"/>
      <c r="BU43" s="444">
        <f t="shared" si="19"/>
        <v>0</v>
      </c>
      <c r="BV43" s="167">
        <f t="shared" si="0"/>
        <v>15000000</v>
      </c>
    </row>
    <row r="44" spans="1:74" x14ac:dyDescent="0.25">
      <c r="A44" s="135"/>
      <c r="B44" s="586" t="s">
        <v>1081</v>
      </c>
      <c r="C44" s="192" t="s">
        <v>114</v>
      </c>
      <c r="D44" s="186" t="s">
        <v>16</v>
      </c>
      <c r="E44" s="200">
        <v>50000</v>
      </c>
      <c r="F44" s="8">
        <f t="shared" si="24"/>
        <v>1</v>
      </c>
      <c r="G44" s="464">
        <f t="shared" si="25"/>
        <v>50000</v>
      </c>
      <c r="H44" s="464">
        <f t="shared" si="23"/>
        <v>10000</v>
      </c>
      <c r="I44" s="464">
        <f t="shared" si="26"/>
        <v>40000</v>
      </c>
      <c r="J44" s="464"/>
      <c r="K44" s="464"/>
      <c r="L44" s="464"/>
      <c r="M44" s="464"/>
      <c r="N44" s="464"/>
      <c r="O44" s="7"/>
      <c r="P44" s="7"/>
      <c r="Q44" s="7"/>
      <c r="R44" s="8"/>
      <c r="S44" s="8"/>
      <c r="T44" s="8">
        <f t="shared" si="27"/>
        <v>1</v>
      </c>
      <c r="U44" s="8"/>
      <c r="V44" s="167"/>
      <c r="W44" s="167"/>
      <c r="X44" s="167">
        <f>T44*E44</f>
        <v>50000</v>
      </c>
      <c r="Y44" s="167"/>
      <c r="Z44" s="8"/>
      <c r="AA44" s="167"/>
      <c r="AB44" s="8"/>
      <c r="AC44" s="167"/>
      <c r="AD44" s="8"/>
      <c r="AE44" s="167"/>
      <c r="AF44" s="8"/>
      <c r="AG44" s="167"/>
      <c r="AH44" s="8"/>
      <c r="AI44" s="167"/>
      <c r="AJ44" s="8"/>
      <c r="AK44" s="167"/>
      <c r="AL44" s="8"/>
      <c r="AM44" s="167"/>
      <c r="AN44" s="8"/>
      <c r="AO44" s="167"/>
      <c r="AP44" s="8"/>
      <c r="AQ44" s="167"/>
      <c r="AR44" s="8"/>
      <c r="AS44" s="167"/>
      <c r="AT44" s="8"/>
      <c r="AU44" s="167"/>
      <c r="AV44" s="8"/>
      <c r="AW44" s="167"/>
      <c r="AX44" s="8"/>
      <c r="AY44" s="167"/>
      <c r="AZ44" s="8"/>
      <c r="BA44" s="167"/>
      <c r="BB44" s="8"/>
      <c r="BC44" s="167"/>
      <c r="BD44" s="8"/>
      <c r="BE44" s="167"/>
      <c r="BF44" s="8"/>
      <c r="BG44" s="167"/>
      <c r="BH44" s="8">
        <v>1</v>
      </c>
      <c r="BI44" s="167">
        <f t="shared" si="10"/>
        <v>50000</v>
      </c>
      <c r="BJ44" s="8">
        <f t="shared" si="20"/>
        <v>1</v>
      </c>
      <c r="BK44" s="7">
        <f t="shared" si="21"/>
        <v>50000</v>
      </c>
      <c r="BL44" s="186" t="s">
        <v>210</v>
      </c>
      <c r="BN44" s="190"/>
      <c r="BO44" s="190"/>
      <c r="BP44" s="190"/>
      <c r="BQ44" s="190"/>
      <c r="BR44" s="190">
        <f t="shared" si="18"/>
        <v>0</v>
      </c>
      <c r="BS44" s="190"/>
      <c r="BT44" s="190">
        <f>BK44</f>
        <v>50000</v>
      </c>
      <c r="BU44" s="444">
        <f t="shared" si="19"/>
        <v>50000</v>
      </c>
      <c r="BV44" s="167">
        <f t="shared" si="0"/>
        <v>50000</v>
      </c>
    </row>
    <row r="45" spans="1:74" x14ac:dyDescent="0.25">
      <c r="A45" s="135"/>
      <c r="B45" s="586" t="s">
        <v>1082</v>
      </c>
      <c r="C45" s="192" t="s">
        <v>382</v>
      </c>
      <c r="D45" s="186" t="s">
        <v>16</v>
      </c>
      <c r="E45" s="193">
        <v>200000</v>
      </c>
      <c r="F45" s="8">
        <f t="shared" si="24"/>
        <v>1</v>
      </c>
      <c r="G45" s="464">
        <f t="shared" si="25"/>
        <v>200000</v>
      </c>
      <c r="H45" s="464">
        <f t="shared" si="23"/>
        <v>40000</v>
      </c>
      <c r="I45" s="464">
        <f t="shared" si="26"/>
        <v>160000</v>
      </c>
      <c r="J45" s="464"/>
      <c r="K45" s="464"/>
      <c r="L45" s="464"/>
      <c r="M45" s="464"/>
      <c r="N45" s="464"/>
      <c r="O45" s="7"/>
      <c r="P45" s="7"/>
      <c r="Q45" s="7"/>
      <c r="R45" s="8"/>
      <c r="S45" s="8"/>
      <c r="T45" s="8">
        <f t="shared" si="27"/>
        <v>1</v>
      </c>
      <c r="U45" s="8"/>
      <c r="V45" s="167"/>
      <c r="W45" s="167"/>
      <c r="X45" s="167">
        <f>T45*E45</f>
        <v>200000</v>
      </c>
      <c r="Y45" s="167"/>
      <c r="Z45" s="8"/>
      <c r="AA45" s="167"/>
      <c r="AB45" s="8"/>
      <c r="AC45" s="167"/>
      <c r="AD45" s="8"/>
      <c r="AE45" s="167"/>
      <c r="AF45" s="8"/>
      <c r="AG45" s="167"/>
      <c r="AH45" s="8"/>
      <c r="AI45" s="167"/>
      <c r="AJ45" s="8"/>
      <c r="AK45" s="167"/>
      <c r="AL45" s="8"/>
      <c r="AM45" s="167"/>
      <c r="AN45" s="8"/>
      <c r="AO45" s="167"/>
      <c r="AP45" s="8"/>
      <c r="AQ45" s="167"/>
      <c r="AR45" s="8"/>
      <c r="AS45" s="167"/>
      <c r="AT45" s="8"/>
      <c r="AU45" s="167"/>
      <c r="AV45" s="8"/>
      <c r="AW45" s="167"/>
      <c r="AX45" s="8"/>
      <c r="AY45" s="167"/>
      <c r="AZ45" s="8"/>
      <c r="BA45" s="167"/>
      <c r="BB45" s="8"/>
      <c r="BC45" s="167"/>
      <c r="BD45" s="8"/>
      <c r="BE45" s="167"/>
      <c r="BF45" s="8"/>
      <c r="BG45" s="167"/>
      <c r="BH45" s="8">
        <v>1</v>
      </c>
      <c r="BI45" s="167">
        <f t="shared" si="10"/>
        <v>200000</v>
      </c>
      <c r="BJ45" s="8">
        <f t="shared" si="20"/>
        <v>1</v>
      </c>
      <c r="BK45" s="7">
        <f t="shared" si="21"/>
        <v>200000</v>
      </c>
      <c r="BL45" s="186" t="s">
        <v>210</v>
      </c>
      <c r="BN45" s="190"/>
      <c r="BO45" s="190"/>
      <c r="BP45" s="190"/>
      <c r="BQ45" s="190"/>
      <c r="BR45" s="190">
        <f t="shared" si="18"/>
        <v>0</v>
      </c>
      <c r="BS45" s="190"/>
      <c r="BT45" s="190">
        <f>BK45</f>
        <v>200000</v>
      </c>
      <c r="BU45" s="444">
        <f t="shared" si="19"/>
        <v>200000</v>
      </c>
      <c r="BV45" s="167">
        <f t="shared" si="0"/>
        <v>200000</v>
      </c>
    </row>
    <row r="46" spans="1:74" x14ac:dyDescent="0.25">
      <c r="A46" s="135"/>
      <c r="B46" s="586" t="s">
        <v>1083</v>
      </c>
      <c r="C46" s="192" t="s">
        <v>383</v>
      </c>
      <c r="D46" s="186" t="s">
        <v>16</v>
      </c>
      <c r="E46" s="193">
        <v>500000</v>
      </c>
      <c r="F46" s="8">
        <f t="shared" si="24"/>
        <v>1</v>
      </c>
      <c r="G46" s="464">
        <f t="shared" si="25"/>
        <v>500000</v>
      </c>
      <c r="H46" s="464">
        <f t="shared" si="23"/>
        <v>100000</v>
      </c>
      <c r="I46" s="464">
        <f t="shared" si="26"/>
        <v>400000</v>
      </c>
      <c r="J46" s="465"/>
      <c r="K46" s="465"/>
      <c r="L46" s="465"/>
      <c r="M46" s="465"/>
      <c r="N46" s="465"/>
      <c r="O46" s="465"/>
      <c r="P46" s="465"/>
      <c r="Q46" s="465"/>
      <c r="R46" s="169"/>
      <c r="S46" s="169"/>
      <c r="T46" s="8">
        <f t="shared" si="27"/>
        <v>1</v>
      </c>
      <c r="U46" s="169"/>
      <c r="V46" s="465"/>
      <c r="W46" s="465"/>
      <c r="X46" s="167">
        <f>T46*E46</f>
        <v>500000</v>
      </c>
      <c r="Y46" s="465"/>
      <c r="Z46" s="169"/>
      <c r="AA46" s="465"/>
      <c r="AB46" s="169"/>
      <c r="AC46" s="465"/>
      <c r="AD46" s="169"/>
      <c r="AE46" s="465"/>
      <c r="AF46" s="169"/>
      <c r="AG46" s="465"/>
      <c r="AH46" s="169"/>
      <c r="AI46" s="465"/>
      <c r="AJ46" s="169"/>
      <c r="AK46" s="465"/>
      <c r="AL46" s="169"/>
      <c r="AM46" s="465"/>
      <c r="AN46" s="169"/>
      <c r="AO46" s="465"/>
      <c r="AP46" s="169"/>
      <c r="AQ46" s="465"/>
      <c r="AR46" s="169"/>
      <c r="AS46" s="465"/>
      <c r="AT46" s="169"/>
      <c r="AU46" s="465"/>
      <c r="AV46" s="169"/>
      <c r="AW46" s="465"/>
      <c r="AX46" s="169"/>
      <c r="AY46" s="465"/>
      <c r="AZ46" s="169"/>
      <c r="BA46" s="465"/>
      <c r="BB46" s="169"/>
      <c r="BC46" s="465"/>
      <c r="BD46" s="169"/>
      <c r="BE46" s="465"/>
      <c r="BF46" s="169"/>
      <c r="BG46" s="465"/>
      <c r="BH46" s="169">
        <v>1</v>
      </c>
      <c r="BI46" s="167">
        <f t="shared" si="10"/>
        <v>500000</v>
      </c>
      <c r="BJ46" s="169">
        <f t="shared" si="20"/>
        <v>1</v>
      </c>
      <c r="BK46" s="465">
        <f t="shared" si="21"/>
        <v>500000</v>
      </c>
      <c r="BL46" s="186"/>
      <c r="BN46" s="469"/>
      <c r="BO46" s="469">
        <f>G46</f>
        <v>500000</v>
      </c>
      <c r="BP46" s="469"/>
      <c r="BQ46" s="469"/>
      <c r="BR46" s="190">
        <f t="shared" si="18"/>
        <v>500000</v>
      </c>
      <c r="BS46" s="469">
        <f t="shared" ref="BS46" si="30">SUM(BS20:BS45)</f>
        <v>0</v>
      </c>
      <c r="BT46" s="469"/>
      <c r="BU46" s="444">
        <f t="shared" si="19"/>
        <v>0</v>
      </c>
      <c r="BV46" s="167">
        <f t="shared" si="0"/>
        <v>500000</v>
      </c>
    </row>
    <row r="47" spans="1:74" x14ac:dyDescent="0.25">
      <c r="A47" s="135"/>
      <c r="B47" s="586" t="s">
        <v>1084</v>
      </c>
      <c r="C47" s="192" t="s">
        <v>519</v>
      </c>
      <c r="D47" s="186" t="s">
        <v>16</v>
      </c>
      <c r="E47" s="193">
        <v>500000</v>
      </c>
      <c r="F47" s="8">
        <f t="shared" si="24"/>
        <v>1</v>
      </c>
      <c r="G47" s="464">
        <f t="shared" si="25"/>
        <v>500000</v>
      </c>
      <c r="H47" s="464">
        <f t="shared" si="23"/>
        <v>100000</v>
      </c>
      <c r="I47" s="464">
        <f t="shared" si="26"/>
        <v>400000</v>
      </c>
      <c r="J47" s="8"/>
      <c r="K47" s="8"/>
      <c r="L47" s="8"/>
      <c r="M47" s="8"/>
      <c r="N47" s="8"/>
      <c r="O47" s="8"/>
      <c r="P47" s="8"/>
      <c r="Q47" s="8"/>
      <c r="R47" s="8"/>
      <c r="S47" s="8"/>
      <c r="T47" s="8">
        <f t="shared" si="27"/>
        <v>1</v>
      </c>
      <c r="U47" s="8"/>
      <c r="V47" s="8"/>
      <c r="W47" s="8"/>
      <c r="X47" s="167">
        <f>T47*E47</f>
        <v>500000</v>
      </c>
      <c r="Y47" s="8"/>
      <c r="Z47" s="8"/>
      <c r="AA47" s="8"/>
      <c r="AB47" s="8"/>
      <c r="AC47" s="167"/>
      <c r="AD47" s="8"/>
      <c r="AE47" s="167"/>
      <c r="AF47" s="8"/>
      <c r="AG47" s="167"/>
      <c r="AH47" s="8"/>
      <c r="AI47" s="167"/>
      <c r="AJ47" s="8"/>
      <c r="AK47" s="167"/>
      <c r="AL47" s="8"/>
      <c r="AM47" s="167"/>
      <c r="AN47" s="8"/>
      <c r="AO47" s="167"/>
      <c r="AP47" s="8"/>
      <c r="AQ47" s="167"/>
      <c r="AR47" s="8"/>
      <c r="AS47" s="167"/>
      <c r="AT47" s="8"/>
      <c r="AU47" s="167"/>
      <c r="AV47" s="8"/>
      <c r="AW47" s="167"/>
      <c r="AX47" s="8"/>
      <c r="AY47" s="167"/>
      <c r="AZ47" s="8"/>
      <c r="BA47" s="167"/>
      <c r="BB47" s="8"/>
      <c r="BC47" s="167"/>
      <c r="BD47" s="8"/>
      <c r="BE47" s="167"/>
      <c r="BF47" s="8"/>
      <c r="BG47" s="167"/>
      <c r="BH47" s="8">
        <v>1</v>
      </c>
      <c r="BI47" s="167">
        <f t="shared" si="10"/>
        <v>500000</v>
      </c>
      <c r="BJ47" s="8">
        <f t="shared" si="20"/>
        <v>1</v>
      </c>
      <c r="BK47" s="8">
        <f t="shared" si="21"/>
        <v>500000</v>
      </c>
      <c r="BL47" s="186" t="s">
        <v>210</v>
      </c>
      <c r="BN47" s="190"/>
      <c r="BO47" s="190">
        <f>BK47</f>
        <v>500000</v>
      </c>
      <c r="BP47" s="190"/>
      <c r="BQ47" s="190"/>
      <c r="BR47" s="190">
        <f t="shared" si="18"/>
        <v>500000</v>
      </c>
      <c r="BS47" s="190"/>
      <c r="BT47" s="190"/>
      <c r="BU47" s="444">
        <f t="shared" si="19"/>
        <v>0</v>
      </c>
      <c r="BV47" s="167">
        <f t="shared" si="0"/>
        <v>500000</v>
      </c>
    </row>
    <row r="48" spans="1:74" s="180" customFormat="1" x14ac:dyDescent="0.25">
      <c r="A48" s="135"/>
      <c r="B48" s="207"/>
      <c r="C48" s="185" t="s">
        <v>115</v>
      </c>
      <c r="D48" s="204" t="s">
        <v>111</v>
      </c>
      <c r="E48" s="205" t="s">
        <v>111</v>
      </c>
      <c r="F48" s="16">
        <f>SUM(F35:F47)</f>
        <v>1017</v>
      </c>
      <c r="G48" s="16">
        <f t="shared" ref="G48:BR48" si="31">SUM(G35:G47)</f>
        <v>20466200</v>
      </c>
      <c r="H48" s="16">
        <f t="shared" si="31"/>
        <v>8593240</v>
      </c>
      <c r="I48" s="16">
        <f t="shared" si="31"/>
        <v>11872960</v>
      </c>
      <c r="J48" s="16">
        <f t="shared" si="31"/>
        <v>0</v>
      </c>
      <c r="K48" s="16">
        <f t="shared" si="31"/>
        <v>0</v>
      </c>
      <c r="L48" s="16">
        <f t="shared" si="31"/>
        <v>0</v>
      </c>
      <c r="M48" s="16">
        <f t="shared" si="31"/>
        <v>0</v>
      </c>
      <c r="N48" s="16">
        <f t="shared" si="31"/>
        <v>0</v>
      </c>
      <c r="O48" s="16">
        <f t="shared" si="31"/>
        <v>0</v>
      </c>
      <c r="P48" s="16">
        <f t="shared" si="31"/>
        <v>0</v>
      </c>
      <c r="Q48" s="16">
        <f t="shared" si="31"/>
        <v>0</v>
      </c>
      <c r="R48" s="16">
        <f t="shared" si="31"/>
        <v>0.25</v>
      </c>
      <c r="S48" s="16">
        <f t="shared" si="31"/>
        <v>0.25</v>
      </c>
      <c r="T48" s="16">
        <f t="shared" si="31"/>
        <v>1016.25</v>
      </c>
      <c r="U48" s="16">
        <f t="shared" si="31"/>
        <v>0.25</v>
      </c>
      <c r="V48" s="16">
        <f t="shared" si="31"/>
        <v>3750000</v>
      </c>
      <c r="W48" s="16">
        <f t="shared" si="31"/>
        <v>3750000</v>
      </c>
      <c r="X48" s="16">
        <f t="shared" si="31"/>
        <v>9216200</v>
      </c>
      <c r="Y48" s="16">
        <f t="shared" si="31"/>
        <v>3750000</v>
      </c>
      <c r="Z48" s="16">
        <f t="shared" si="31"/>
        <v>0</v>
      </c>
      <c r="AA48" s="16">
        <f t="shared" si="31"/>
        <v>0</v>
      </c>
      <c r="AB48" s="16">
        <f t="shared" si="31"/>
        <v>0</v>
      </c>
      <c r="AC48" s="16">
        <f t="shared" si="31"/>
        <v>0</v>
      </c>
      <c r="AD48" s="16">
        <f t="shared" si="31"/>
        <v>0</v>
      </c>
      <c r="AE48" s="16">
        <f t="shared" si="31"/>
        <v>0</v>
      </c>
      <c r="AF48" s="16">
        <f t="shared" si="31"/>
        <v>0</v>
      </c>
      <c r="AG48" s="16">
        <f t="shared" si="31"/>
        <v>0</v>
      </c>
      <c r="AH48" s="16">
        <f t="shared" si="31"/>
        <v>0</v>
      </c>
      <c r="AI48" s="16">
        <f t="shared" si="31"/>
        <v>0</v>
      </c>
      <c r="AJ48" s="16">
        <f t="shared" si="31"/>
        <v>0</v>
      </c>
      <c r="AK48" s="16">
        <f t="shared" si="31"/>
        <v>0</v>
      </c>
      <c r="AL48" s="16">
        <f t="shared" si="31"/>
        <v>0</v>
      </c>
      <c r="AM48" s="16">
        <f t="shared" si="31"/>
        <v>0</v>
      </c>
      <c r="AN48" s="16">
        <f t="shared" si="31"/>
        <v>0</v>
      </c>
      <c r="AO48" s="16">
        <f t="shared" si="31"/>
        <v>0</v>
      </c>
      <c r="AP48" s="16">
        <f t="shared" si="31"/>
        <v>0</v>
      </c>
      <c r="AQ48" s="16">
        <f t="shared" si="31"/>
        <v>0</v>
      </c>
      <c r="AR48" s="16">
        <f t="shared" si="31"/>
        <v>0</v>
      </c>
      <c r="AS48" s="16">
        <f t="shared" si="31"/>
        <v>0</v>
      </c>
      <c r="AT48" s="16">
        <f t="shared" si="31"/>
        <v>0</v>
      </c>
      <c r="AU48" s="16">
        <f t="shared" si="31"/>
        <v>0</v>
      </c>
      <c r="AV48" s="16">
        <f t="shared" si="31"/>
        <v>0</v>
      </c>
      <c r="AW48" s="16">
        <f t="shared" si="31"/>
        <v>0</v>
      </c>
      <c r="AX48" s="16">
        <f t="shared" si="31"/>
        <v>0</v>
      </c>
      <c r="AY48" s="16">
        <f t="shared" si="31"/>
        <v>0</v>
      </c>
      <c r="AZ48" s="16">
        <f t="shared" si="31"/>
        <v>0</v>
      </c>
      <c r="BA48" s="16">
        <f t="shared" si="31"/>
        <v>0</v>
      </c>
      <c r="BB48" s="16">
        <f t="shared" si="31"/>
        <v>0</v>
      </c>
      <c r="BC48" s="16">
        <f t="shared" si="31"/>
        <v>0</v>
      </c>
      <c r="BD48" s="16">
        <f t="shared" si="31"/>
        <v>0</v>
      </c>
      <c r="BE48" s="16">
        <f t="shared" si="31"/>
        <v>0</v>
      </c>
      <c r="BF48" s="16">
        <f t="shared" si="31"/>
        <v>0</v>
      </c>
      <c r="BG48" s="16">
        <f t="shared" si="31"/>
        <v>0</v>
      </c>
      <c r="BH48" s="16">
        <f t="shared" si="31"/>
        <v>1017</v>
      </c>
      <c r="BI48" s="16">
        <f t="shared" si="31"/>
        <v>20466200</v>
      </c>
      <c r="BJ48" s="16">
        <f t="shared" si="31"/>
        <v>1017</v>
      </c>
      <c r="BK48" s="16">
        <f t="shared" si="31"/>
        <v>20466200</v>
      </c>
      <c r="BL48" s="16">
        <f t="shared" si="31"/>
        <v>0</v>
      </c>
      <c r="BM48" s="16">
        <f t="shared" si="31"/>
        <v>0</v>
      </c>
      <c r="BN48" s="16">
        <f t="shared" si="31"/>
        <v>0</v>
      </c>
      <c r="BO48" s="16">
        <f t="shared" si="31"/>
        <v>1000000</v>
      </c>
      <c r="BP48" s="16">
        <f t="shared" si="31"/>
        <v>18916200</v>
      </c>
      <c r="BQ48" s="16">
        <f t="shared" si="31"/>
        <v>0</v>
      </c>
      <c r="BR48" s="16">
        <f t="shared" si="31"/>
        <v>19916200</v>
      </c>
      <c r="BS48" s="16">
        <f>SUM(BS35:BS47)</f>
        <v>0</v>
      </c>
      <c r="BT48" s="16">
        <f>SUM(BT35:BT47)</f>
        <v>550000</v>
      </c>
      <c r="BU48" s="16">
        <f>SUM(BU35:BU47)</f>
        <v>550000</v>
      </c>
      <c r="BV48" s="16">
        <f>SUM(BV35:BV47)</f>
        <v>20466200</v>
      </c>
    </row>
    <row r="49" spans="1:74" x14ac:dyDescent="0.25">
      <c r="A49" s="135"/>
      <c r="B49" s="169"/>
      <c r="C49" s="185" t="s">
        <v>384</v>
      </c>
      <c r="D49" s="186" t="s">
        <v>111</v>
      </c>
      <c r="E49" s="193"/>
      <c r="F49" s="8"/>
      <c r="G49" s="464"/>
      <c r="H49" s="464"/>
      <c r="I49" s="464"/>
      <c r="J49" s="464"/>
      <c r="K49" s="464"/>
      <c r="L49" s="464"/>
      <c r="M49" s="464"/>
      <c r="N49" s="464"/>
      <c r="O49" s="7"/>
      <c r="P49" s="7"/>
      <c r="Q49" s="7"/>
      <c r="R49" s="8"/>
      <c r="S49" s="8"/>
      <c r="T49" s="8"/>
      <c r="U49" s="8"/>
      <c r="V49" s="167"/>
      <c r="W49" s="167"/>
      <c r="X49" s="167"/>
      <c r="Y49" s="167"/>
      <c r="Z49" s="8"/>
      <c r="AA49" s="167"/>
      <c r="AB49" s="8"/>
      <c r="AC49" s="167"/>
      <c r="AD49" s="8"/>
      <c r="AE49" s="167"/>
      <c r="AF49" s="8"/>
      <c r="AG49" s="167"/>
      <c r="AH49" s="8"/>
      <c r="AI49" s="167"/>
      <c r="AJ49" s="8"/>
      <c r="AK49" s="167"/>
      <c r="AL49" s="8"/>
      <c r="AM49" s="167"/>
      <c r="AN49" s="8"/>
      <c r="AO49" s="167"/>
      <c r="AP49" s="8"/>
      <c r="AQ49" s="167"/>
      <c r="AR49" s="8"/>
      <c r="AS49" s="167"/>
      <c r="AT49" s="8"/>
      <c r="AU49" s="167"/>
      <c r="AV49" s="8"/>
      <c r="AW49" s="167"/>
      <c r="AX49" s="8"/>
      <c r="AY49" s="167"/>
      <c r="AZ49" s="8"/>
      <c r="BA49" s="167"/>
      <c r="BB49" s="8"/>
      <c r="BC49" s="167"/>
      <c r="BD49" s="8"/>
      <c r="BE49" s="167"/>
      <c r="BF49" s="8"/>
      <c r="BG49" s="167"/>
      <c r="BH49" s="8"/>
      <c r="BI49" s="167">
        <f t="shared" si="10"/>
        <v>0</v>
      </c>
      <c r="BJ49" s="8">
        <f t="shared" si="20"/>
        <v>0</v>
      </c>
      <c r="BK49" s="7">
        <f t="shared" si="21"/>
        <v>0</v>
      </c>
      <c r="BL49" s="186" t="s">
        <v>111</v>
      </c>
      <c r="BN49" s="190"/>
      <c r="BO49" s="190"/>
      <c r="BP49" s="190">
        <f>G49</f>
        <v>0</v>
      </c>
      <c r="BQ49" s="190"/>
      <c r="BR49" s="190">
        <f>BN49+BO49+BP49+BQ49</f>
        <v>0</v>
      </c>
      <c r="BS49" s="190"/>
      <c r="BT49" s="190"/>
      <c r="BU49" s="444">
        <f t="shared" ref="BU49:BU55" si="32">BS49+BT49</f>
        <v>0</v>
      </c>
      <c r="BV49" s="167">
        <f t="shared" si="0"/>
        <v>0</v>
      </c>
    </row>
    <row r="50" spans="1:74" x14ac:dyDescent="0.25">
      <c r="A50" s="135"/>
      <c r="B50" s="169"/>
      <c r="C50" s="185" t="s">
        <v>319</v>
      </c>
      <c r="D50" s="186" t="s">
        <v>111</v>
      </c>
      <c r="E50" s="193"/>
      <c r="F50" s="8"/>
      <c r="G50" s="464"/>
      <c r="H50" s="464"/>
      <c r="I50" s="464"/>
      <c r="J50" s="464"/>
      <c r="K50" s="464"/>
      <c r="L50" s="464"/>
      <c r="M50" s="464"/>
      <c r="N50" s="464"/>
      <c r="O50" s="7"/>
      <c r="P50" s="7"/>
      <c r="Q50" s="7"/>
      <c r="R50" s="8"/>
      <c r="S50" s="8"/>
      <c r="T50" s="8"/>
      <c r="U50" s="8"/>
      <c r="V50" s="167"/>
      <c r="W50" s="167"/>
      <c r="X50" s="167"/>
      <c r="Y50" s="167"/>
      <c r="Z50" s="8"/>
      <c r="AA50" s="167"/>
      <c r="AB50" s="8"/>
      <c r="AC50" s="167"/>
      <c r="AD50" s="8"/>
      <c r="AE50" s="167"/>
      <c r="AF50" s="8"/>
      <c r="AG50" s="167"/>
      <c r="AH50" s="8"/>
      <c r="AI50" s="167"/>
      <c r="AJ50" s="8"/>
      <c r="AK50" s="167"/>
      <c r="AL50" s="8"/>
      <c r="AM50" s="167"/>
      <c r="AN50" s="8"/>
      <c r="AO50" s="167"/>
      <c r="AP50" s="8"/>
      <c r="AQ50" s="167"/>
      <c r="AR50" s="8"/>
      <c r="AS50" s="167"/>
      <c r="AT50" s="8"/>
      <c r="AU50" s="167"/>
      <c r="AV50" s="8"/>
      <c r="AW50" s="167"/>
      <c r="AX50" s="8"/>
      <c r="AY50" s="167"/>
      <c r="AZ50" s="8"/>
      <c r="BA50" s="167"/>
      <c r="BB50" s="8"/>
      <c r="BC50" s="167"/>
      <c r="BD50" s="8"/>
      <c r="BE50" s="167"/>
      <c r="BF50" s="8"/>
      <c r="BG50" s="167"/>
      <c r="BH50" s="8"/>
      <c r="BI50" s="167">
        <f t="shared" si="10"/>
        <v>0</v>
      </c>
      <c r="BJ50" s="8">
        <f t="shared" si="20"/>
        <v>0</v>
      </c>
      <c r="BK50" s="7">
        <f t="shared" si="21"/>
        <v>0</v>
      </c>
      <c r="BL50" s="186" t="s">
        <v>111</v>
      </c>
      <c r="BN50" s="190"/>
      <c r="BO50" s="190"/>
      <c r="BP50" s="190">
        <f>G50</f>
        <v>0</v>
      </c>
      <c r="BQ50" s="190"/>
      <c r="BR50" s="190">
        <f>BN50+BO50+BP50+BQ50</f>
        <v>0</v>
      </c>
      <c r="BS50" s="190"/>
      <c r="BT50" s="190"/>
      <c r="BU50" s="444">
        <f t="shared" si="32"/>
        <v>0</v>
      </c>
      <c r="BV50" s="167">
        <f t="shared" si="0"/>
        <v>0</v>
      </c>
    </row>
    <row r="51" spans="1:74" x14ac:dyDescent="0.25">
      <c r="A51" s="135"/>
      <c r="B51" s="169"/>
      <c r="C51" s="185" t="s">
        <v>320</v>
      </c>
      <c r="D51" s="186"/>
      <c r="E51" s="186"/>
      <c r="F51" s="8"/>
      <c r="G51" s="464"/>
      <c r="H51" s="464"/>
      <c r="I51" s="464"/>
      <c r="J51" s="464"/>
      <c r="K51" s="464"/>
      <c r="L51" s="464"/>
      <c r="M51" s="464"/>
      <c r="N51" s="464"/>
      <c r="O51" s="7"/>
      <c r="P51" s="7"/>
      <c r="Q51" s="7"/>
      <c r="R51" s="8"/>
      <c r="S51" s="8"/>
      <c r="T51" s="8"/>
      <c r="U51" s="8"/>
      <c r="V51" s="167"/>
      <c r="W51" s="167"/>
      <c r="X51" s="167"/>
      <c r="Y51" s="167"/>
      <c r="Z51" s="8"/>
      <c r="AA51" s="167"/>
      <c r="AB51" s="8"/>
      <c r="AC51" s="167"/>
      <c r="AD51" s="8"/>
      <c r="AE51" s="167"/>
      <c r="AF51" s="8"/>
      <c r="AG51" s="167"/>
      <c r="AH51" s="8"/>
      <c r="AI51" s="167"/>
      <c r="AJ51" s="8"/>
      <c r="AK51" s="167"/>
      <c r="AL51" s="8"/>
      <c r="AM51" s="167"/>
      <c r="AN51" s="8"/>
      <c r="AO51" s="167"/>
      <c r="AP51" s="8"/>
      <c r="AQ51" s="167"/>
      <c r="AR51" s="8"/>
      <c r="AS51" s="167"/>
      <c r="AT51" s="8"/>
      <c r="AU51" s="167"/>
      <c r="AV51" s="8"/>
      <c r="AW51" s="167"/>
      <c r="AX51" s="8"/>
      <c r="AY51" s="167"/>
      <c r="AZ51" s="8"/>
      <c r="BA51" s="167"/>
      <c r="BB51" s="8"/>
      <c r="BC51" s="167"/>
      <c r="BD51" s="8"/>
      <c r="BE51" s="167"/>
      <c r="BF51" s="8"/>
      <c r="BG51" s="167"/>
      <c r="BH51" s="8"/>
      <c r="BI51" s="167">
        <f t="shared" si="10"/>
        <v>0</v>
      </c>
      <c r="BJ51" s="8">
        <f t="shared" si="20"/>
        <v>0</v>
      </c>
      <c r="BK51" s="7">
        <f t="shared" si="21"/>
        <v>0</v>
      </c>
      <c r="BL51" s="186"/>
      <c r="BN51" s="190"/>
      <c r="BO51" s="190"/>
      <c r="BP51" s="190"/>
      <c r="BQ51" s="190"/>
      <c r="BR51" s="190">
        <f>BN51+BO51+BP51+BQ51</f>
        <v>0</v>
      </c>
      <c r="BS51" s="190"/>
      <c r="BT51" s="190"/>
      <c r="BU51" s="444">
        <f t="shared" si="32"/>
        <v>0</v>
      </c>
      <c r="BV51" s="167">
        <f t="shared" si="0"/>
        <v>0</v>
      </c>
    </row>
    <row r="52" spans="1:74" x14ac:dyDescent="0.25">
      <c r="A52" s="135"/>
      <c r="B52" s="169"/>
      <c r="C52" s="185" t="s">
        <v>321</v>
      </c>
      <c r="D52" s="186"/>
      <c r="E52" s="186"/>
      <c r="F52" s="8"/>
      <c r="G52" s="464"/>
      <c r="H52" s="464"/>
      <c r="I52" s="464"/>
      <c r="J52" s="464"/>
      <c r="K52" s="464"/>
      <c r="L52" s="464"/>
      <c r="M52" s="464"/>
      <c r="N52" s="464"/>
      <c r="O52" s="7"/>
      <c r="P52" s="7"/>
      <c r="Q52" s="7"/>
      <c r="R52" s="8"/>
      <c r="S52" s="8"/>
      <c r="T52" s="8"/>
      <c r="U52" s="8"/>
      <c r="V52" s="167"/>
      <c r="W52" s="167"/>
      <c r="X52" s="167"/>
      <c r="Y52" s="167"/>
      <c r="Z52" s="8"/>
      <c r="AA52" s="167"/>
      <c r="AB52" s="8"/>
      <c r="AC52" s="167"/>
      <c r="AD52" s="8"/>
      <c r="AE52" s="167"/>
      <c r="AF52" s="8"/>
      <c r="AG52" s="167"/>
      <c r="AH52" s="8"/>
      <c r="AI52" s="167"/>
      <c r="AJ52" s="8"/>
      <c r="AK52" s="167"/>
      <c r="AL52" s="8"/>
      <c r="AM52" s="167"/>
      <c r="AN52" s="8"/>
      <c r="AO52" s="167"/>
      <c r="AP52" s="8"/>
      <c r="AQ52" s="167"/>
      <c r="AR52" s="8"/>
      <c r="AS52" s="167"/>
      <c r="AT52" s="8"/>
      <c r="AU52" s="167"/>
      <c r="AV52" s="8"/>
      <c r="AW52" s="167"/>
      <c r="AX52" s="8"/>
      <c r="AY52" s="167"/>
      <c r="AZ52" s="8"/>
      <c r="BA52" s="167"/>
      <c r="BB52" s="8"/>
      <c r="BC52" s="167"/>
      <c r="BD52" s="8"/>
      <c r="BE52" s="167"/>
      <c r="BF52" s="8"/>
      <c r="BG52" s="167"/>
      <c r="BH52" s="8"/>
      <c r="BI52" s="167">
        <f t="shared" si="10"/>
        <v>0</v>
      </c>
      <c r="BJ52" s="8">
        <f t="shared" si="20"/>
        <v>0</v>
      </c>
      <c r="BK52" s="7">
        <f t="shared" si="21"/>
        <v>0</v>
      </c>
      <c r="BL52" s="186"/>
      <c r="BN52" s="190"/>
      <c r="BO52" s="190"/>
      <c r="BP52" s="190"/>
      <c r="BQ52" s="190"/>
      <c r="BR52" s="190">
        <f>BN52+BO52+BP52+BQ52</f>
        <v>0</v>
      </c>
      <c r="BS52" s="190"/>
      <c r="BT52" s="190"/>
      <c r="BU52" s="444">
        <f t="shared" si="32"/>
        <v>0</v>
      </c>
      <c r="BV52" s="167">
        <f t="shared" si="0"/>
        <v>0</v>
      </c>
    </row>
    <row r="53" spans="1:74" x14ac:dyDescent="0.25">
      <c r="A53" s="135"/>
      <c r="B53" s="586" t="s">
        <v>1085</v>
      </c>
      <c r="C53" s="192" t="s">
        <v>116</v>
      </c>
      <c r="D53" s="186" t="s">
        <v>65</v>
      </c>
      <c r="E53" s="193" t="s">
        <v>397</v>
      </c>
      <c r="F53" s="8">
        <f>BJ53</f>
        <v>0</v>
      </c>
      <c r="G53" s="464">
        <f>F53*E53</f>
        <v>0</v>
      </c>
      <c r="H53" s="464">
        <f>G53*0.5</f>
        <v>0</v>
      </c>
      <c r="I53" s="464">
        <f>G53*0.5</f>
        <v>0</v>
      </c>
      <c r="J53" s="464"/>
      <c r="K53" s="464"/>
      <c r="L53" s="464"/>
      <c r="M53" s="464"/>
      <c r="N53" s="464"/>
      <c r="O53" s="7"/>
      <c r="P53" s="7"/>
      <c r="Q53" s="7"/>
      <c r="R53" s="8">
        <f>F53*0.25</f>
        <v>0</v>
      </c>
      <c r="S53" s="8">
        <f>F53*0.25</f>
        <v>0</v>
      </c>
      <c r="T53" s="8">
        <f>F53*0.25</f>
        <v>0</v>
      </c>
      <c r="U53" s="8">
        <f>F53*0.25</f>
        <v>0</v>
      </c>
      <c r="V53" s="167">
        <f>R53*E53</f>
        <v>0</v>
      </c>
      <c r="W53" s="167">
        <f>S53*E53</f>
        <v>0</v>
      </c>
      <c r="X53" s="167">
        <f>T53*E53</f>
        <v>0</v>
      </c>
      <c r="Y53" s="167">
        <f>U53*E53</f>
        <v>0</v>
      </c>
      <c r="Z53" s="8"/>
      <c r="AA53" s="167"/>
      <c r="AB53" s="8"/>
      <c r="AC53" s="167"/>
      <c r="AD53" s="8"/>
      <c r="AE53" s="167"/>
      <c r="AF53" s="8"/>
      <c r="AG53" s="167"/>
      <c r="AH53" s="8"/>
      <c r="AI53" s="167"/>
      <c r="AJ53" s="8"/>
      <c r="AK53" s="167"/>
      <c r="AL53" s="8"/>
      <c r="AM53" s="167"/>
      <c r="AN53" s="8"/>
      <c r="AO53" s="167"/>
      <c r="AP53" s="8"/>
      <c r="AQ53" s="167"/>
      <c r="AR53" s="8"/>
      <c r="AS53" s="167"/>
      <c r="AT53" s="8"/>
      <c r="AU53" s="167"/>
      <c r="AV53" s="8"/>
      <c r="AW53" s="167"/>
      <c r="AX53" s="8"/>
      <c r="AY53" s="167"/>
      <c r="AZ53" s="8"/>
      <c r="BA53" s="167"/>
      <c r="BB53" s="8"/>
      <c r="BC53" s="167"/>
      <c r="BD53" s="8"/>
      <c r="BE53" s="167"/>
      <c r="BF53" s="8"/>
      <c r="BG53" s="167"/>
      <c r="BH53" s="8">
        <v>0</v>
      </c>
      <c r="BI53" s="167">
        <f t="shared" si="10"/>
        <v>0</v>
      </c>
      <c r="BJ53" s="8">
        <f t="shared" si="20"/>
        <v>0</v>
      </c>
      <c r="BK53" s="7">
        <f t="shared" si="21"/>
        <v>0</v>
      </c>
      <c r="BL53" s="186" t="s">
        <v>212</v>
      </c>
      <c r="BN53" s="190"/>
      <c r="BO53" s="190"/>
      <c r="BP53" s="190"/>
      <c r="BQ53" s="190"/>
      <c r="BR53" s="190">
        <f>BN53+BO53+BP53+BQ53</f>
        <v>0</v>
      </c>
      <c r="BS53" s="190">
        <f>BK53</f>
        <v>0</v>
      </c>
      <c r="BT53" s="190">
        <f>BK53</f>
        <v>0</v>
      </c>
      <c r="BU53" s="444">
        <f t="shared" si="32"/>
        <v>0</v>
      </c>
      <c r="BV53" s="167">
        <f t="shared" si="0"/>
        <v>0</v>
      </c>
    </row>
    <row r="54" spans="1:74" x14ac:dyDescent="0.25">
      <c r="A54" s="135"/>
      <c r="B54" s="586" t="s">
        <v>1086</v>
      </c>
      <c r="C54" s="192" t="s">
        <v>117</v>
      </c>
      <c r="D54" s="186" t="s">
        <v>65</v>
      </c>
      <c r="E54" s="200">
        <v>130000</v>
      </c>
      <c r="F54" s="8">
        <f t="shared" ref="F54:F78" si="33">BJ54</f>
        <v>12</v>
      </c>
      <c r="G54" s="464">
        <f t="shared" ref="G54:G78" si="34">F54*E54</f>
        <v>1560000</v>
      </c>
      <c r="H54" s="464">
        <f t="shared" ref="H54:H78" si="35">G54*0.5</f>
        <v>780000</v>
      </c>
      <c r="I54" s="464">
        <f t="shared" ref="I54:I63" si="36">G54*0.5</f>
        <v>780000</v>
      </c>
      <c r="J54" s="465"/>
      <c r="K54" s="465"/>
      <c r="L54" s="465"/>
      <c r="M54" s="465"/>
      <c r="N54" s="465"/>
      <c r="O54" s="465"/>
      <c r="P54" s="465"/>
      <c r="Q54" s="465"/>
      <c r="R54" s="8">
        <f t="shared" ref="R54:R63" si="37">F54*0.25</f>
        <v>3</v>
      </c>
      <c r="S54" s="8">
        <f t="shared" ref="S54:S63" si="38">F54*0.25</f>
        <v>3</v>
      </c>
      <c r="T54" s="8">
        <f t="shared" ref="T54:T63" si="39">F54*0.25</f>
        <v>3</v>
      </c>
      <c r="U54" s="8">
        <f t="shared" ref="U54:U63" si="40">F54*0.25</f>
        <v>3</v>
      </c>
      <c r="V54" s="167">
        <f t="shared" ref="V54:V63" si="41">R54*E54</f>
        <v>390000</v>
      </c>
      <c r="W54" s="167">
        <f t="shared" ref="W54:W63" si="42">S54*E54</f>
        <v>390000</v>
      </c>
      <c r="X54" s="167">
        <f t="shared" ref="X54:X63" si="43">T54*E54</f>
        <v>390000</v>
      </c>
      <c r="Y54" s="167">
        <f t="shared" ref="Y54:Y63" si="44">U54*E54</f>
        <v>390000</v>
      </c>
      <c r="Z54" s="169"/>
      <c r="AA54" s="465"/>
      <c r="AB54" s="169"/>
      <c r="AC54" s="465"/>
      <c r="AD54" s="169"/>
      <c r="AE54" s="465"/>
      <c r="AF54" s="169"/>
      <c r="AG54" s="465"/>
      <c r="AH54" s="169"/>
      <c r="AI54" s="465"/>
      <c r="AJ54" s="169"/>
      <c r="AK54" s="465"/>
      <c r="AL54" s="169"/>
      <c r="AM54" s="465"/>
      <c r="AN54" s="169"/>
      <c r="AO54" s="465"/>
      <c r="AP54" s="169"/>
      <c r="AQ54" s="465"/>
      <c r="AR54" s="169"/>
      <c r="AS54" s="465"/>
      <c r="AT54" s="169"/>
      <c r="AU54" s="465"/>
      <c r="AV54" s="169"/>
      <c r="AW54" s="465"/>
      <c r="AX54" s="169"/>
      <c r="AY54" s="465"/>
      <c r="AZ54" s="169"/>
      <c r="BA54" s="465"/>
      <c r="BB54" s="169"/>
      <c r="BC54" s="465"/>
      <c r="BD54" s="169"/>
      <c r="BE54" s="465"/>
      <c r="BF54" s="169"/>
      <c r="BG54" s="465"/>
      <c r="BH54" s="8">
        <v>12</v>
      </c>
      <c r="BI54" s="167">
        <f t="shared" si="10"/>
        <v>1560000</v>
      </c>
      <c r="BJ54" s="169">
        <f t="shared" si="20"/>
        <v>12</v>
      </c>
      <c r="BK54" s="470">
        <f t="shared" si="21"/>
        <v>1560000</v>
      </c>
      <c r="BL54" s="186" t="s">
        <v>212</v>
      </c>
      <c r="BN54" s="469"/>
      <c r="BO54" s="469"/>
      <c r="BP54" s="469"/>
      <c r="BQ54" s="469"/>
      <c r="BR54" s="469">
        <f>SUM(BR49:BR53)</f>
        <v>0</v>
      </c>
      <c r="BS54" s="190">
        <f t="shared" ref="BS54:BS78" si="45">BK54</f>
        <v>1560000</v>
      </c>
      <c r="BT54" s="469"/>
      <c r="BU54" s="444">
        <f t="shared" si="32"/>
        <v>1560000</v>
      </c>
      <c r="BV54" s="167">
        <f t="shared" si="0"/>
        <v>1560000</v>
      </c>
    </row>
    <row r="55" spans="1:74" x14ac:dyDescent="0.25">
      <c r="A55" s="135"/>
      <c r="B55" s="586" t="s">
        <v>1087</v>
      </c>
      <c r="C55" s="192" t="s">
        <v>118</v>
      </c>
      <c r="D55" s="186" t="s">
        <v>65</v>
      </c>
      <c r="E55" s="193">
        <v>70000</v>
      </c>
      <c r="F55" s="8">
        <f t="shared" si="33"/>
        <v>12</v>
      </c>
      <c r="G55" s="464">
        <f t="shared" si="34"/>
        <v>840000</v>
      </c>
      <c r="H55" s="464">
        <f t="shared" si="35"/>
        <v>420000</v>
      </c>
      <c r="I55" s="464">
        <f t="shared" si="36"/>
        <v>420000</v>
      </c>
      <c r="J55" s="8"/>
      <c r="K55" s="8"/>
      <c r="L55" s="8"/>
      <c r="M55" s="8"/>
      <c r="N55" s="8"/>
      <c r="O55" s="8"/>
      <c r="P55" s="8"/>
      <c r="Q55" s="8"/>
      <c r="R55" s="8">
        <f t="shared" si="37"/>
        <v>3</v>
      </c>
      <c r="S55" s="8">
        <f t="shared" si="38"/>
        <v>3</v>
      </c>
      <c r="T55" s="8">
        <f t="shared" si="39"/>
        <v>3</v>
      </c>
      <c r="U55" s="8">
        <f t="shared" si="40"/>
        <v>3</v>
      </c>
      <c r="V55" s="167">
        <f t="shared" si="41"/>
        <v>210000</v>
      </c>
      <c r="W55" s="167">
        <f t="shared" si="42"/>
        <v>210000</v>
      </c>
      <c r="X55" s="167">
        <f t="shared" si="43"/>
        <v>210000</v>
      </c>
      <c r="Y55" s="167">
        <f t="shared" si="44"/>
        <v>210000</v>
      </c>
      <c r="Z55" s="8"/>
      <c r="AA55" s="8"/>
      <c r="AB55" s="8"/>
      <c r="AC55" s="167"/>
      <c r="AD55" s="8"/>
      <c r="AE55" s="167"/>
      <c r="AF55" s="8"/>
      <c r="AG55" s="167"/>
      <c r="AH55" s="8"/>
      <c r="AI55" s="167"/>
      <c r="AJ55" s="8"/>
      <c r="AK55" s="167"/>
      <c r="AL55" s="8"/>
      <c r="AM55" s="167"/>
      <c r="AN55" s="8"/>
      <c r="AO55" s="167"/>
      <c r="AP55" s="8"/>
      <c r="AQ55" s="167"/>
      <c r="AR55" s="8"/>
      <c r="AS55" s="167"/>
      <c r="AT55" s="8"/>
      <c r="AU55" s="167"/>
      <c r="AV55" s="8"/>
      <c r="AW55" s="167"/>
      <c r="AX55" s="8"/>
      <c r="AY55" s="167"/>
      <c r="AZ55" s="8"/>
      <c r="BA55" s="167"/>
      <c r="BB55" s="8"/>
      <c r="BC55" s="167"/>
      <c r="BD55" s="8"/>
      <c r="BE55" s="167"/>
      <c r="BF55" s="8"/>
      <c r="BG55" s="167"/>
      <c r="BH55" s="8">
        <v>12</v>
      </c>
      <c r="BI55" s="167">
        <f t="shared" si="10"/>
        <v>840000</v>
      </c>
      <c r="BJ55" s="8">
        <f t="shared" si="20"/>
        <v>12</v>
      </c>
      <c r="BK55" s="8">
        <f t="shared" si="21"/>
        <v>840000</v>
      </c>
      <c r="BL55" s="186" t="s">
        <v>212</v>
      </c>
      <c r="BN55" s="190"/>
      <c r="BO55" s="190"/>
      <c r="BP55" s="190"/>
      <c r="BQ55" s="190"/>
      <c r="BR55" s="190"/>
      <c r="BS55" s="190">
        <f t="shared" si="45"/>
        <v>840000</v>
      </c>
      <c r="BT55" s="190"/>
      <c r="BU55" s="444">
        <f t="shared" si="32"/>
        <v>840000</v>
      </c>
      <c r="BV55" s="167">
        <f t="shared" si="0"/>
        <v>840000</v>
      </c>
    </row>
    <row r="56" spans="1:74" x14ac:dyDescent="0.25">
      <c r="A56" s="135"/>
      <c r="B56" s="586" t="s">
        <v>1088</v>
      </c>
      <c r="C56" s="192" t="s">
        <v>119</v>
      </c>
      <c r="D56" s="186" t="s">
        <v>65</v>
      </c>
      <c r="E56" s="193">
        <v>70000</v>
      </c>
      <c r="F56" s="8">
        <f t="shared" si="33"/>
        <v>12</v>
      </c>
      <c r="G56" s="464">
        <f t="shared" si="34"/>
        <v>840000</v>
      </c>
      <c r="H56" s="464">
        <f t="shared" si="35"/>
        <v>420000</v>
      </c>
      <c r="I56" s="464">
        <f t="shared" si="36"/>
        <v>420000</v>
      </c>
      <c r="J56" s="464"/>
      <c r="K56" s="464"/>
      <c r="L56" s="464"/>
      <c r="M56" s="464"/>
      <c r="N56" s="464"/>
      <c r="O56" s="7"/>
      <c r="P56" s="7"/>
      <c r="Q56" s="7"/>
      <c r="R56" s="8">
        <f t="shared" si="37"/>
        <v>3</v>
      </c>
      <c r="S56" s="8">
        <f t="shared" si="38"/>
        <v>3</v>
      </c>
      <c r="T56" s="8">
        <f t="shared" si="39"/>
        <v>3</v>
      </c>
      <c r="U56" s="8">
        <f t="shared" si="40"/>
        <v>3</v>
      </c>
      <c r="V56" s="167">
        <f t="shared" si="41"/>
        <v>210000</v>
      </c>
      <c r="W56" s="167">
        <f t="shared" si="42"/>
        <v>210000</v>
      </c>
      <c r="X56" s="167">
        <f t="shared" si="43"/>
        <v>210000</v>
      </c>
      <c r="Y56" s="167">
        <f t="shared" si="44"/>
        <v>210000</v>
      </c>
      <c r="Z56" s="8"/>
      <c r="AA56" s="167"/>
      <c r="AB56" s="8"/>
      <c r="AC56" s="167"/>
      <c r="AD56" s="8"/>
      <c r="AE56" s="167"/>
      <c r="AF56" s="8"/>
      <c r="AG56" s="167"/>
      <c r="AH56" s="8"/>
      <c r="AI56" s="167"/>
      <c r="AJ56" s="8"/>
      <c r="AK56" s="167"/>
      <c r="AL56" s="8"/>
      <c r="AM56" s="167"/>
      <c r="AN56" s="8"/>
      <c r="AO56" s="167"/>
      <c r="AP56" s="8"/>
      <c r="AQ56" s="167"/>
      <c r="AR56" s="8"/>
      <c r="AS56" s="167"/>
      <c r="AT56" s="8"/>
      <c r="AU56" s="167"/>
      <c r="AV56" s="8"/>
      <c r="AW56" s="167"/>
      <c r="AX56" s="8"/>
      <c r="AY56" s="167"/>
      <c r="AZ56" s="8"/>
      <c r="BA56" s="167"/>
      <c r="BB56" s="8"/>
      <c r="BC56" s="167"/>
      <c r="BD56" s="8"/>
      <c r="BE56" s="167"/>
      <c r="BF56" s="8"/>
      <c r="BG56" s="167"/>
      <c r="BH56" s="8">
        <v>12</v>
      </c>
      <c r="BI56" s="167">
        <f t="shared" si="10"/>
        <v>840000</v>
      </c>
      <c r="BJ56" s="8">
        <f t="shared" si="20"/>
        <v>12</v>
      </c>
      <c r="BK56" s="7">
        <f t="shared" si="21"/>
        <v>840000</v>
      </c>
      <c r="BL56" s="186" t="s">
        <v>212</v>
      </c>
      <c r="BN56" s="190"/>
      <c r="BO56" s="190"/>
      <c r="BP56" s="190"/>
      <c r="BQ56" s="190"/>
      <c r="BR56" s="190">
        <f>BN56+BO56+BP56+BQ56</f>
        <v>0</v>
      </c>
      <c r="BS56" s="190">
        <f t="shared" si="45"/>
        <v>840000</v>
      </c>
      <c r="BT56" s="190"/>
      <c r="BU56" s="444">
        <f>BS56+BT56</f>
        <v>840000</v>
      </c>
      <c r="BV56" s="167">
        <f t="shared" si="0"/>
        <v>840000</v>
      </c>
    </row>
    <row r="57" spans="1:74" x14ac:dyDescent="0.25">
      <c r="A57" s="135"/>
      <c r="B57" s="586" t="s">
        <v>1089</v>
      </c>
      <c r="C57" s="192" t="s">
        <v>385</v>
      </c>
      <c r="D57" s="186" t="s">
        <v>65</v>
      </c>
      <c r="E57" s="193">
        <v>70000</v>
      </c>
      <c r="F57" s="8">
        <f t="shared" si="33"/>
        <v>12</v>
      </c>
      <c r="G57" s="464">
        <f t="shared" si="34"/>
        <v>840000</v>
      </c>
      <c r="H57" s="464">
        <f t="shared" si="35"/>
        <v>420000</v>
      </c>
      <c r="I57" s="464">
        <f t="shared" si="36"/>
        <v>420000</v>
      </c>
      <c r="J57" s="464"/>
      <c r="K57" s="464"/>
      <c r="L57" s="464"/>
      <c r="M57" s="464"/>
      <c r="N57" s="464"/>
      <c r="O57" s="7"/>
      <c r="P57" s="7"/>
      <c r="Q57" s="7"/>
      <c r="R57" s="8">
        <f t="shared" si="37"/>
        <v>3</v>
      </c>
      <c r="S57" s="8">
        <f t="shared" si="38"/>
        <v>3</v>
      </c>
      <c r="T57" s="8">
        <f t="shared" si="39"/>
        <v>3</v>
      </c>
      <c r="U57" s="8">
        <f t="shared" si="40"/>
        <v>3</v>
      </c>
      <c r="V57" s="167">
        <f t="shared" si="41"/>
        <v>210000</v>
      </c>
      <c r="W57" s="167">
        <f t="shared" si="42"/>
        <v>210000</v>
      </c>
      <c r="X57" s="167">
        <f t="shared" si="43"/>
        <v>210000</v>
      </c>
      <c r="Y57" s="167">
        <f t="shared" si="44"/>
        <v>210000</v>
      </c>
      <c r="Z57" s="8"/>
      <c r="AA57" s="167"/>
      <c r="AB57" s="8"/>
      <c r="AC57" s="167"/>
      <c r="AD57" s="8"/>
      <c r="AE57" s="167"/>
      <c r="AF57" s="8"/>
      <c r="AG57" s="167"/>
      <c r="AH57" s="8"/>
      <c r="AI57" s="167"/>
      <c r="AJ57" s="8"/>
      <c r="AK57" s="167"/>
      <c r="AL57" s="8"/>
      <c r="AM57" s="167"/>
      <c r="AN57" s="8"/>
      <c r="AO57" s="167"/>
      <c r="AP57" s="8"/>
      <c r="AQ57" s="167"/>
      <c r="AR57" s="8"/>
      <c r="AS57" s="167"/>
      <c r="AT57" s="8"/>
      <c r="AU57" s="167"/>
      <c r="AV57" s="8"/>
      <c r="AW57" s="167"/>
      <c r="AX57" s="8"/>
      <c r="AY57" s="167"/>
      <c r="AZ57" s="8"/>
      <c r="BA57" s="167"/>
      <c r="BB57" s="8"/>
      <c r="BC57" s="167"/>
      <c r="BD57" s="8"/>
      <c r="BE57" s="167"/>
      <c r="BF57" s="8"/>
      <c r="BG57" s="167"/>
      <c r="BH57" s="8">
        <v>12</v>
      </c>
      <c r="BI57" s="167">
        <f t="shared" si="10"/>
        <v>840000</v>
      </c>
      <c r="BJ57" s="8">
        <f t="shared" si="20"/>
        <v>12</v>
      </c>
      <c r="BK57" s="7">
        <f t="shared" si="21"/>
        <v>840000</v>
      </c>
      <c r="BL57" s="186" t="s">
        <v>212</v>
      </c>
      <c r="BN57" s="190"/>
      <c r="BO57" s="190"/>
      <c r="BP57" s="190"/>
      <c r="BQ57" s="190"/>
      <c r="BR57" s="190">
        <f>BN57+BO57+BP57+BQ57</f>
        <v>0</v>
      </c>
      <c r="BS57" s="190">
        <f t="shared" si="45"/>
        <v>840000</v>
      </c>
      <c r="BT57" s="190"/>
      <c r="BU57" s="444">
        <f t="shared" ref="BU57:BU78" si="46">BS57+BT57</f>
        <v>840000</v>
      </c>
      <c r="BV57" s="167">
        <f t="shared" si="0"/>
        <v>840000</v>
      </c>
    </row>
    <row r="58" spans="1:74" x14ac:dyDescent="0.25">
      <c r="A58" s="135"/>
      <c r="B58" s="586" t="s">
        <v>1090</v>
      </c>
      <c r="C58" s="192" t="s">
        <v>910</v>
      </c>
      <c r="D58" s="186" t="s">
        <v>65</v>
      </c>
      <c r="E58" s="193">
        <v>50000</v>
      </c>
      <c r="F58" s="8">
        <f t="shared" si="33"/>
        <v>12</v>
      </c>
      <c r="G58" s="464">
        <f t="shared" si="34"/>
        <v>600000</v>
      </c>
      <c r="H58" s="464">
        <f t="shared" si="35"/>
        <v>300000</v>
      </c>
      <c r="I58" s="464">
        <f t="shared" si="36"/>
        <v>300000</v>
      </c>
      <c r="J58" s="464"/>
      <c r="K58" s="464"/>
      <c r="L58" s="464"/>
      <c r="M58" s="464"/>
      <c r="N58" s="464"/>
      <c r="O58" s="7"/>
      <c r="P58" s="7"/>
      <c r="Q58" s="7"/>
      <c r="R58" s="8">
        <f t="shared" si="37"/>
        <v>3</v>
      </c>
      <c r="S58" s="8">
        <f t="shared" si="38"/>
        <v>3</v>
      </c>
      <c r="T58" s="8">
        <f t="shared" si="39"/>
        <v>3</v>
      </c>
      <c r="U58" s="8">
        <f t="shared" si="40"/>
        <v>3</v>
      </c>
      <c r="V58" s="167">
        <f t="shared" si="41"/>
        <v>150000</v>
      </c>
      <c r="W58" s="167">
        <f t="shared" si="42"/>
        <v>150000</v>
      </c>
      <c r="X58" s="167">
        <f t="shared" si="43"/>
        <v>150000</v>
      </c>
      <c r="Y58" s="167">
        <f t="shared" si="44"/>
        <v>150000</v>
      </c>
      <c r="Z58" s="8"/>
      <c r="AA58" s="167"/>
      <c r="AB58" s="8"/>
      <c r="AC58" s="167"/>
      <c r="AD58" s="8"/>
      <c r="AE58" s="167"/>
      <c r="AF58" s="8"/>
      <c r="AG58" s="167"/>
      <c r="AH58" s="8"/>
      <c r="AI58" s="167"/>
      <c r="AJ58" s="8"/>
      <c r="AK58" s="167"/>
      <c r="AL58" s="8"/>
      <c r="AM58" s="167"/>
      <c r="AN58" s="8"/>
      <c r="AO58" s="167"/>
      <c r="AP58" s="8"/>
      <c r="AQ58" s="167"/>
      <c r="AR58" s="8"/>
      <c r="AS58" s="167"/>
      <c r="AT58" s="8"/>
      <c r="AU58" s="167"/>
      <c r="AV58" s="8"/>
      <c r="AW58" s="167"/>
      <c r="AX58" s="8"/>
      <c r="AY58" s="167"/>
      <c r="AZ58" s="8"/>
      <c r="BA58" s="167"/>
      <c r="BB58" s="8"/>
      <c r="BC58" s="167"/>
      <c r="BD58" s="8"/>
      <c r="BE58" s="167"/>
      <c r="BF58" s="8"/>
      <c r="BG58" s="167"/>
      <c r="BH58" s="8">
        <v>12</v>
      </c>
      <c r="BI58" s="167">
        <f t="shared" si="10"/>
        <v>600000</v>
      </c>
      <c r="BJ58" s="8">
        <f t="shared" si="20"/>
        <v>12</v>
      </c>
      <c r="BK58" s="7">
        <f t="shared" si="21"/>
        <v>600000</v>
      </c>
      <c r="BL58" s="186" t="s">
        <v>212</v>
      </c>
      <c r="BN58" s="190"/>
      <c r="BO58" s="190"/>
      <c r="BP58" s="190"/>
      <c r="BQ58" s="190"/>
      <c r="BR58" s="190">
        <f>BN58+BO58+BP58+BQ58</f>
        <v>0</v>
      </c>
      <c r="BS58" s="190">
        <f t="shared" si="45"/>
        <v>600000</v>
      </c>
      <c r="BT58" s="190"/>
      <c r="BU58" s="444">
        <f t="shared" si="46"/>
        <v>600000</v>
      </c>
      <c r="BV58" s="167">
        <f t="shared" si="0"/>
        <v>600000</v>
      </c>
    </row>
    <row r="59" spans="1:74" x14ac:dyDescent="0.25">
      <c r="A59" s="135"/>
      <c r="B59" s="586" t="s">
        <v>1091</v>
      </c>
      <c r="C59" s="192" t="s">
        <v>513</v>
      </c>
      <c r="D59" s="186" t="s">
        <v>65</v>
      </c>
      <c r="E59" s="193">
        <v>70000</v>
      </c>
      <c r="F59" s="8">
        <f t="shared" si="33"/>
        <v>12</v>
      </c>
      <c r="G59" s="464">
        <f t="shared" si="34"/>
        <v>840000</v>
      </c>
      <c r="H59" s="464">
        <f t="shared" si="35"/>
        <v>420000</v>
      </c>
      <c r="I59" s="464">
        <f t="shared" si="36"/>
        <v>420000</v>
      </c>
      <c r="J59" s="464"/>
      <c r="K59" s="464"/>
      <c r="L59" s="464"/>
      <c r="M59" s="464"/>
      <c r="N59" s="464"/>
      <c r="O59" s="7"/>
      <c r="P59" s="7"/>
      <c r="Q59" s="7"/>
      <c r="R59" s="8">
        <f t="shared" si="37"/>
        <v>3</v>
      </c>
      <c r="S59" s="8">
        <f t="shared" si="38"/>
        <v>3</v>
      </c>
      <c r="T59" s="8">
        <f t="shared" si="39"/>
        <v>3</v>
      </c>
      <c r="U59" s="8">
        <f t="shared" si="40"/>
        <v>3</v>
      </c>
      <c r="V59" s="167">
        <f t="shared" si="41"/>
        <v>210000</v>
      </c>
      <c r="W59" s="167">
        <f t="shared" si="42"/>
        <v>210000</v>
      </c>
      <c r="X59" s="167">
        <f t="shared" si="43"/>
        <v>210000</v>
      </c>
      <c r="Y59" s="167">
        <f t="shared" si="44"/>
        <v>210000</v>
      </c>
      <c r="Z59" s="8"/>
      <c r="AA59" s="167"/>
      <c r="AB59" s="8"/>
      <c r="AC59" s="167"/>
      <c r="AD59" s="8"/>
      <c r="AE59" s="167"/>
      <c r="AF59" s="8"/>
      <c r="AG59" s="167"/>
      <c r="AH59" s="8"/>
      <c r="AI59" s="167"/>
      <c r="AJ59" s="8"/>
      <c r="AK59" s="167"/>
      <c r="AL59" s="8"/>
      <c r="AM59" s="167"/>
      <c r="AN59" s="8"/>
      <c r="AO59" s="167"/>
      <c r="AP59" s="8"/>
      <c r="AQ59" s="167"/>
      <c r="AR59" s="8"/>
      <c r="AS59" s="167"/>
      <c r="AT59" s="8"/>
      <c r="AU59" s="167"/>
      <c r="AV59" s="8"/>
      <c r="AW59" s="167"/>
      <c r="AX59" s="8"/>
      <c r="AY59" s="167"/>
      <c r="AZ59" s="8"/>
      <c r="BA59" s="167"/>
      <c r="BB59" s="8"/>
      <c r="BC59" s="167"/>
      <c r="BD59" s="8"/>
      <c r="BE59" s="167"/>
      <c r="BF59" s="8"/>
      <c r="BG59" s="167"/>
      <c r="BH59" s="8">
        <v>12</v>
      </c>
      <c r="BI59" s="167">
        <f t="shared" si="10"/>
        <v>840000</v>
      </c>
      <c r="BJ59" s="8">
        <f t="shared" si="20"/>
        <v>12</v>
      </c>
      <c r="BK59" s="7">
        <f t="shared" si="21"/>
        <v>840000</v>
      </c>
      <c r="BL59" s="186" t="s">
        <v>212</v>
      </c>
      <c r="BN59" s="190"/>
      <c r="BO59" s="190"/>
      <c r="BP59" s="190"/>
      <c r="BQ59" s="190"/>
      <c r="BR59" s="190">
        <f>BN59+BO59+BP59+BQ59</f>
        <v>0</v>
      </c>
      <c r="BS59" s="190">
        <f t="shared" si="45"/>
        <v>840000</v>
      </c>
      <c r="BT59" s="190"/>
      <c r="BU59" s="444">
        <f t="shared" si="46"/>
        <v>840000</v>
      </c>
      <c r="BV59" s="167">
        <f t="shared" si="0"/>
        <v>840000</v>
      </c>
    </row>
    <row r="60" spans="1:74" x14ac:dyDescent="0.25">
      <c r="A60" s="135"/>
      <c r="B60" s="586" t="s">
        <v>1092</v>
      </c>
      <c r="C60" s="192" t="s">
        <v>386</v>
      </c>
      <c r="D60" s="186" t="s">
        <v>65</v>
      </c>
      <c r="E60" s="193">
        <v>70000</v>
      </c>
      <c r="F60" s="8">
        <f t="shared" si="33"/>
        <v>12</v>
      </c>
      <c r="G60" s="464">
        <f t="shared" si="34"/>
        <v>840000</v>
      </c>
      <c r="H60" s="464">
        <f t="shared" si="35"/>
        <v>420000</v>
      </c>
      <c r="I60" s="464">
        <f t="shared" si="36"/>
        <v>420000</v>
      </c>
      <c r="J60" s="464"/>
      <c r="K60" s="464"/>
      <c r="L60" s="464"/>
      <c r="M60" s="464"/>
      <c r="N60" s="464"/>
      <c r="O60" s="7"/>
      <c r="P60" s="7"/>
      <c r="Q60" s="7"/>
      <c r="R60" s="8">
        <f t="shared" si="37"/>
        <v>3</v>
      </c>
      <c r="S60" s="8">
        <f t="shared" si="38"/>
        <v>3</v>
      </c>
      <c r="T60" s="8">
        <f t="shared" si="39"/>
        <v>3</v>
      </c>
      <c r="U60" s="8">
        <f t="shared" si="40"/>
        <v>3</v>
      </c>
      <c r="V60" s="167">
        <f t="shared" si="41"/>
        <v>210000</v>
      </c>
      <c r="W60" s="167">
        <f t="shared" si="42"/>
        <v>210000</v>
      </c>
      <c r="X60" s="167">
        <f t="shared" si="43"/>
        <v>210000</v>
      </c>
      <c r="Y60" s="167">
        <f t="shared" si="44"/>
        <v>210000</v>
      </c>
      <c r="Z60" s="8"/>
      <c r="AA60" s="167"/>
      <c r="AB60" s="8"/>
      <c r="AC60" s="167"/>
      <c r="AD60" s="8"/>
      <c r="AE60" s="167"/>
      <c r="AF60" s="8"/>
      <c r="AG60" s="167"/>
      <c r="AH60" s="8"/>
      <c r="AI60" s="167"/>
      <c r="AJ60" s="8"/>
      <c r="AK60" s="167"/>
      <c r="AL60" s="8"/>
      <c r="AM60" s="167"/>
      <c r="AN60" s="8"/>
      <c r="AO60" s="167"/>
      <c r="AP60" s="8"/>
      <c r="AQ60" s="167"/>
      <c r="AR60" s="8"/>
      <c r="AS60" s="167"/>
      <c r="AT60" s="8"/>
      <c r="AU60" s="167"/>
      <c r="AV60" s="8"/>
      <c r="AW60" s="167"/>
      <c r="AX60" s="8"/>
      <c r="AY60" s="167"/>
      <c r="AZ60" s="8"/>
      <c r="BA60" s="167"/>
      <c r="BB60" s="8"/>
      <c r="BC60" s="167"/>
      <c r="BD60" s="8"/>
      <c r="BE60" s="167"/>
      <c r="BF60" s="8"/>
      <c r="BG60" s="167"/>
      <c r="BH60" s="8">
        <v>12</v>
      </c>
      <c r="BI60" s="167">
        <f t="shared" si="10"/>
        <v>840000</v>
      </c>
      <c r="BJ60" s="8">
        <f t="shared" si="20"/>
        <v>12</v>
      </c>
      <c r="BK60" s="7">
        <f t="shared" si="21"/>
        <v>840000</v>
      </c>
      <c r="BL60" s="186" t="s">
        <v>212</v>
      </c>
      <c r="BN60" s="190"/>
      <c r="BO60" s="190"/>
      <c r="BP60" s="190"/>
      <c r="BQ60" s="190"/>
      <c r="BR60" s="190">
        <f>BN60+BO60+BP60+BQ60</f>
        <v>0</v>
      </c>
      <c r="BS60" s="190">
        <f t="shared" si="45"/>
        <v>840000</v>
      </c>
      <c r="BT60" s="190"/>
      <c r="BU60" s="444">
        <f t="shared" si="46"/>
        <v>840000</v>
      </c>
      <c r="BV60" s="167">
        <f t="shared" si="0"/>
        <v>840000</v>
      </c>
    </row>
    <row r="61" spans="1:74" x14ac:dyDescent="0.25">
      <c r="A61" s="135"/>
      <c r="B61" s="586" t="s">
        <v>1093</v>
      </c>
      <c r="C61" s="192" t="s">
        <v>387</v>
      </c>
      <c r="D61" s="186" t="s">
        <v>65</v>
      </c>
      <c r="E61" s="193">
        <v>50000</v>
      </c>
      <c r="F61" s="8">
        <f t="shared" si="33"/>
        <v>12</v>
      </c>
      <c r="G61" s="464">
        <f t="shared" si="34"/>
        <v>600000</v>
      </c>
      <c r="H61" s="464">
        <f t="shared" si="35"/>
        <v>300000</v>
      </c>
      <c r="I61" s="464">
        <f t="shared" si="36"/>
        <v>300000</v>
      </c>
      <c r="J61" s="465"/>
      <c r="K61" s="465"/>
      <c r="L61" s="465"/>
      <c r="M61" s="465"/>
      <c r="N61" s="465"/>
      <c r="O61" s="465"/>
      <c r="P61" s="465"/>
      <c r="Q61" s="465"/>
      <c r="R61" s="8">
        <f t="shared" si="37"/>
        <v>3</v>
      </c>
      <c r="S61" s="8">
        <f t="shared" si="38"/>
        <v>3</v>
      </c>
      <c r="T61" s="8">
        <f t="shared" si="39"/>
        <v>3</v>
      </c>
      <c r="U61" s="8">
        <f t="shared" si="40"/>
        <v>3</v>
      </c>
      <c r="V61" s="167">
        <f t="shared" si="41"/>
        <v>150000</v>
      </c>
      <c r="W61" s="167">
        <f t="shared" si="42"/>
        <v>150000</v>
      </c>
      <c r="X61" s="167">
        <f t="shared" si="43"/>
        <v>150000</v>
      </c>
      <c r="Y61" s="167">
        <f t="shared" si="44"/>
        <v>150000</v>
      </c>
      <c r="Z61" s="169"/>
      <c r="AA61" s="465"/>
      <c r="AB61" s="169"/>
      <c r="AC61" s="465"/>
      <c r="AD61" s="169"/>
      <c r="AE61" s="465"/>
      <c r="AF61" s="169"/>
      <c r="AG61" s="465"/>
      <c r="AH61" s="169"/>
      <c r="AI61" s="465"/>
      <c r="AJ61" s="169"/>
      <c r="AK61" s="465"/>
      <c r="AL61" s="169"/>
      <c r="AM61" s="465"/>
      <c r="AN61" s="169"/>
      <c r="AO61" s="465"/>
      <c r="AP61" s="169"/>
      <c r="AQ61" s="465"/>
      <c r="AR61" s="169"/>
      <c r="AS61" s="465"/>
      <c r="AT61" s="169"/>
      <c r="AU61" s="465"/>
      <c r="AV61" s="169"/>
      <c r="AW61" s="465"/>
      <c r="AX61" s="169"/>
      <c r="AY61" s="465"/>
      <c r="AZ61" s="169"/>
      <c r="BA61" s="465"/>
      <c r="BB61" s="169"/>
      <c r="BC61" s="465"/>
      <c r="BD61" s="169"/>
      <c r="BE61" s="465"/>
      <c r="BF61" s="169"/>
      <c r="BG61" s="465"/>
      <c r="BH61" s="8">
        <v>12</v>
      </c>
      <c r="BI61" s="167">
        <f t="shared" si="10"/>
        <v>600000</v>
      </c>
      <c r="BJ61" s="169">
        <f t="shared" si="20"/>
        <v>12</v>
      </c>
      <c r="BK61" s="470">
        <f t="shared" si="21"/>
        <v>600000</v>
      </c>
      <c r="BL61" s="186" t="s">
        <v>212</v>
      </c>
      <c r="BN61" s="469"/>
      <c r="BO61" s="469"/>
      <c r="BP61" s="469"/>
      <c r="BQ61" s="469"/>
      <c r="BR61" s="469">
        <f>SUM(BR56:BR60)</f>
        <v>0</v>
      </c>
      <c r="BS61" s="190">
        <f t="shared" si="45"/>
        <v>600000</v>
      </c>
      <c r="BT61" s="469">
        <f>SUM(BT56:BT60)</f>
        <v>0</v>
      </c>
      <c r="BU61" s="444">
        <f t="shared" si="46"/>
        <v>600000</v>
      </c>
      <c r="BV61" s="167">
        <f t="shared" si="0"/>
        <v>600000</v>
      </c>
    </row>
    <row r="62" spans="1:74" x14ac:dyDescent="0.25">
      <c r="A62" s="135"/>
      <c r="B62" s="586" t="s">
        <v>1094</v>
      </c>
      <c r="C62" s="192" t="s">
        <v>909</v>
      </c>
      <c r="D62" s="186" t="s">
        <v>65</v>
      </c>
      <c r="E62" s="193">
        <v>50000</v>
      </c>
      <c r="F62" s="8">
        <v>12</v>
      </c>
      <c r="G62" s="464">
        <f>F62*E62</f>
        <v>600000</v>
      </c>
      <c r="H62" s="464">
        <f>G62*0.5</f>
        <v>300000</v>
      </c>
      <c r="I62" s="464">
        <f>G62*0.5</f>
        <v>300000</v>
      </c>
      <c r="J62" s="465"/>
      <c r="K62" s="465"/>
      <c r="L62" s="465"/>
      <c r="M62" s="465"/>
      <c r="N62" s="465"/>
      <c r="O62" s="465"/>
      <c r="P62" s="465"/>
      <c r="Q62" s="465"/>
      <c r="R62" s="8"/>
      <c r="S62" s="8"/>
      <c r="T62" s="8"/>
      <c r="U62" s="8"/>
      <c r="V62" s="167"/>
      <c r="W62" s="167"/>
      <c r="X62" s="167"/>
      <c r="Y62" s="167"/>
      <c r="Z62" s="169"/>
      <c r="AA62" s="465"/>
      <c r="AB62" s="169"/>
      <c r="AC62" s="465"/>
      <c r="AD62" s="169"/>
      <c r="AE62" s="465"/>
      <c r="AF62" s="169"/>
      <c r="AG62" s="465"/>
      <c r="AH62" s="169"/>
      <c r="AI62" s="465"/>
      <c r="AJ62" s="169"/>
      <c r="AK62" s="465"/>
      <c r="AL62" s="169"/>
      <c r="AM62" s="465"/>
      <c r="AN62" s="169"/>
      <c r="AO62" s="465"/>
      <c r="AP62" s="169"/>
      <c r="AQ62" s="465"/>
      <c r="AR62" s="169"/>
      <c r="AS62" s="465"/>
      <c r="AT62" s="169"/>
      <c r="AU62" s="465"/>
      <c r="AV62" s="169"/>
      <c r="AW62" s="465"/>
      <c r="AX62" s="169"/>
      <c r="AY62" s="465"/>
      <c r="AZ62" s="169"/>
      <c r="BA62" s="465"/>
      <c r="BB62" s="169"/>
      <c r="BC62" s="465"/>
      <c r="BD62" s="169"/>
      <c r="BE62" s="465"/>
      <c r="BF62" s="169"/>
      <c r="BG62" s="465"/>
      <c r="BH62" s="8">
        <v>12</v>
      </c>
      <c r="BI62" s="167">
        <f t="shared" si="10"/>
        <v>600000</v>
      </c>
      <c r="BJ62" s="169">
        <f t="shared" si="20"/>
        <v>12</v>
      </c>
      <c r="BK62" s="470">
        <f t="shared" si="21"/>
        <v>600000</v>
      </c>
      <c r="BL62" s="186"/>
      <c r="BN62" s="469"/>
      <c r="BO62" s="469"/>
      <c r="BP62" s="469"/>
      <c r="BQ62" s="469"/>
      <c r="BR62" s="469"/>
      <c r="BS62" s="190">
        <f t="shared" si="45"/>
        <v>600000</v>
      </c>
      <c r="BT62" s="469"/>
      <c r="BU62" s="444"/>
      <c r="BV62" s="167"/>
    </row>
    <row r="63" spans="1:74" x14ac:dyDescent="0.25">
      <c r="A63" s="135"/>
      <c r="B63" s="586" t="s">
        <v>1095</v>
      </c>
      <c r="C63" s="192" t="s">
        <v>908</v>
      </c>
      <c r="D63" s="186" t="s">
        <v>65</v>
      </c>
      <c r="E63" s="193">
        <v>50000</v>
      </c>
      <c r="F63" s="8">
        <f t="shared" si="33"/>
        <v>12</v>
      </c>
      <c r="G63" s="464">
        <f t="shared" si="34"/>
        <v>600000</v>
      </c>
      <c r="H63" s="464">
        <f t="shared" si="35"/>
        <v>300000</v>
      </c>
      <c r="I63" s="464">
        <f t="shared" si="36"/>
        <v>300000</v>
      </c>
      <c r="J63" s="8"/>
      <c r="K63" s="8"/>
      <c r="L63" s="8"/>
      <c r="M63" s="8"/>
      <c r="N63" s="8"/>
      <c r="O63" s="8"/>
      <c r="P63" s="8"/>
      <c r="Q63" s="8"/>
      <c r="R63" s="8">
        <f t="shared" si="37"/>
        <v>3</v>
      </c>
      <c r="S63" s="8">
        <f t="shared" si="38"/>
        <v>3</v>
      </c>
      <c r="T63" s="8">
        <f t="shared" si="39"/>
        <v>3</v>
      </c>
      <c r="U63" s="8">
        <f t="shared" si="40"/>
        <v>3</v>
      </c>
      <c r="V63" s="167">
        <f t="shared" si="41"/>
        <v>150000</v>
      </c>
      <c r="W63" s="167">
        <f t="shared" si="42"/>
        <v>150000</v>
      </c>
      <c r="X63" s="167">
        <f t="shared" si="43"/>
        <v>150000</v>
      </c>
      <c r="Y63" s="167">
        <f t="shared" si="44"/>
        <v>150000</v>
      </c>
      <c r="Z63" s="8"/>
      <c r="AA63" s="8"/>
      <c r="AB63" s="8"/>
      <c r="AC63" s="167"/>
      <c r="AD63" s="8"/>
      <c r="AE63" s="167"/>
      <c r="AF63" s="8"/>
      <c r="AG63" s="167"/>
      <c r="AH63" s="8"/>
      <c r="AI63" s="167"/>
      <c r="AJ63" s="8"/>
      <c r="AK63" s="167"/>
      <c r="AL63" s="8"/>
      <c r="AM63" s="167"/>
      <c r="AN63" s="8"/>
      <c r="AO63" s="167"/>
      <c r="AP63" s="8"/>
      <c r="AQ63" s="167"/>
      <c r="AR63" s="8"/>
      <c r="AS63" s="167"/>
      <c r="AT63" s="8"/>
      <c r="AU63" s="167"/>
      <c r="AV63" s="8"/>
      <c r="AW63" s="167"/>
      <c r="AX63" s="8"/>
      <c r="AY63" s="167"/>
      <c r="AZ63" s="8"/>
      <c r="BA63" s="167"/>
      <c r="BB63" s="8"/>
      <c r="BC63" s="167"/>
      <c r="BD63" s="8"/>
      <c r="BE63" s="167"/>
      <c r="BF63" s="8"/>
      <c r="BG63" s="167"/>
      <c r="BH63" s="8">
        <v>12</v>
      </c>
      <c r="BI63" s="167">
        <f t="shared" si="10"/>
        <v>600000</v>
      </c>
      <c r="BJ63" s="8">
        <f t="shared" si="20"/>
        <v>12</v>
      </c>
      <c r="BK63" s="8">
        <f t="shared" si="21"/>
        <v>600000</v>
      </c>
      <c r="BL63" s="186" t="s">
        <v>212</v>
      </c>
      <c r="BN63" s="190"/>
      <c r="BO63" s="190"/>
      <c r="BP63" s="190"/>
      <c r="BQ63" s="190"/>
      <c r="BR63" s="190"/>
      <c r="BS63" s="190">
        <f t="shared" si="45"/>
        <v>600000</v>
      </c>
      <c r="BT63" s="190"/>
      <c r="BU63" s="444">
        <f t="shared" si="46"/>
        <v>600000</v>
      </c>
      <c r="BV63" s="167">
        <f t="shared" si="0"/>
        <v>600000</v>
      </c>
    </row>
    <row r="64" spans="1:74" x14ac:dyDescent="0.25">
      <c r="A64" s="135"/>
      <c r="B64" s="586" t="s">
        <v>1096</v>
      </c>
      <c r="C64" s="192" t="s">
        <v>388</v>
      </c>
      <c r="D64" s="186" t="s">
        <v>65</v>
      </c>
      <c r="E64" s="193">
        <v>70000</v>
      </c>
      <c r="F64" s="8">
        <f t="shared" si="33"/>
        <v>12</v>
      </c>
      <c r="G64" s="464">
        <f t="shared" si="34"/>
        <v>840000</v>
      </c>
      <c r="H64" s="464">
        <f t="shared" si="35"/>
        <v>420000</v>
      </c>
      <c r="I64" s="464">
        <f t="shared" ref="I64:I78" si="47">G64*0.5</f>
        <v>420000</v>
      </c>
      <c r="J64" s="464"/>
      <c r="K64" s="464"/>
      <c r="L64" s="464"/>
      <c r="M64" s="464"/>
      <c r="N64" s="464"/>
      <c r="O64" s="7"/>
      <c r="P64" s="7"/>
      <c r="Q64" s="7"/>
      <c r="R64" s="8">
        <f t="shared" ref="R64:R78" si="48">F64*0.25</f>
        <v>3</v>
      </c>
      <c r="S64" s="8">
        <f t="shared" ref="S64:S78" si="49">F64*0.25</f>
        <v>3</v>
      </c>
      <c r="T64" s="8">
        <f t="shared" ref="T64:T78" si="50">F64*0.25</f>
        <v>3</v>
      </c>
      <c r="U64" s="8">
        <f t="shared" ref="U64:U78" si="51">F64*0.25</f>
        <v>3</v>
      </c>
      <c r="V64" s="167">
        <f t="shared" ref="V64:V78" si="52">R64*E64</f>
        <v>210000</v>
      </c>
      <c r="W64" s="167">
        <f t="shared" ref="W64:W78" si="53">S64*E64</f>
        <v>210000</v>
      </c>
      <c r="X64" s="167">
        <f t="shared" ref="X64:X78" si="54">T64*E64</f>
        <v>210000</v>
      </c>
      <c r="Y64" s="167">
        <f t="shared" ref="Y64:Y78" si="55">U64*E64</f>
        <v>210000</v>
      </c>
      <c r="Z64" s="8"/>
      <c r="AA64" s="167"/>
      <c r="AB64" s="8"/>
      <c r="AC64" s="167"/>
      <c r="AD64" s="8"/>
      <c r="AE64" s="167"/>
      <c r="AF64" s="8"/>
      <c r="AG64" s="167"/>
      <c r="AH64" s="8"/>
      <c r="AI64" s="167"/>
      <c r="AJ64" s="8"/>
      <c r="AK64" s="167"/>
      <c r="AL64" s="8"/>
      <c r="AM64" s="167"/>
      <c r="AN64" s="8"/>
      <c r="AO64" s="167"/>
      <c r="AP64" s="8"/>
      <c r="AQ64" s="167"/>
      <c r="AR64" s="8"/>
      <c r="AS64" s="167"/>
      <c r="AT64" s="8"/>
      <c r="AU64" s="167"/>
      <c r="AV64" s="8"/>
      <c r="AW64" s="167"/>
      <c r="AX64" s="8"/>
      <c r="AY64" s="167"/>
      <c r="AZ64" s="8"/>
      <c r="BA64" s="167"/>
      <c r="BB64" s="8"/>
      <c r="BC64" s="167"/>
      <c r="BD64" s="8"/>
      <c r="BE64" s="167"/>
      <c r="BF64" s="8"/>
      <c r="BG64" s="167"/>
      <c r="BH64" s="8">
        <v>12</v>
      </c>
      <c r="BI64" s="167">
        <f t="shared" si="10"/>
        <v>840000</v>
      </c>
      <c r="BJ64" s="8">
        <f t="shared" si="20"/>
        <v>12</v>
      </c>
      <c r="BK64" s="7">
        <f t="shared" si="21"/>
        <v>840000</v>
      </c>
      <c r="BL64" s="186" t="s">
        <v>212</v>
      </c>
      <c r="BN64" s="190"/>
      <c r="BO64" s="190"/>
      <c r="BP64" s="190"/>
      <c r="BQ64" s="190"/>
      <c r="BR64" s="190">
        <f>BN64+BO64+BP64+BQ64</f>
        <v>0</v>
      </c>
      <c r="BS64" s="190">
        <f t="shared" si="45"/>
        <v>840000</v>
      </c>
      <c r="BT64" s="190"/>
      <c r="BU64" s="444">
        <f t="shared" si="46"/>
        <v>840000</v>
      </c>
      <c r="BV64" s="167">
        <f t="shared" si="0"/>
        <v>840000</v>
      </c>
    </row>
    <row r="65" spans="1:74" x14ac:dyDescent="0.25">
      <c r="A65" s="135"/>
      <c r="B65" s="586" t="s">
        <v>1097</v>
      </c>
      <c r="C65" s="192" t="s">
        <v>389</v>
      </c>
      <c r="D65" s="186" t="s">
        <v>65</v>
      </c>
      <c r="E65" s="193">
        <v>70000</v>
      </c>
      <c r="F65" s="8">
        <f t="shared" si="33"/>
        <v>12</v>
      </c>
      <c r="G65" s="464">
        <f t="shared" si="34"/>
        <v>840000</v>
      </c>
      <c r="H65" s="464">
        <f t="shared" si="35"/>
        <v>420000</v>
      </c>
      <c r="I65" s="464">
        <f t="shared" si="47"/>
        <v>420000</v>
      </c>
      <c r="J65" s="464"/>
      <c r="K65" s="464"/>
      <c r="L65" s="464"/>
      <c r="M65" s="464"/>
      <c r="N65" s="464"/>
      <c r="O65" s="7"/>
      <c r="P65" s="7"/>
      <c r="Q65" s="7"/>
      <c r="R65" s="8">
        <f t="shared" si="48"/>
        <v>3</v>
      </c>
      <c r="S65" s="8">
        <f t="shared" si="49"/>
        <v>3</v>
      </c>
      <c r="T65" s="8">
        <f t="shared" si="50"/>
        <v>3</v>
      </c>
      <c r="U65" s="8">
        <f t="shared" si="51"/>
        <v>3</v>
      </c>
      <c r="V65" s="167">
        <f t="shared" si="52"/>
        <v>210000</v>
      </c>
      <c r="W65" s="167">
        <f t="shared" si="53"/>
        <v>210000</v>
      </c>
      <c r="X65" s="167">
        <f t="shared" si="54"/>
        <v>210000</v>
      </c>
      <c r="Y65" s="167">
        <f t="shared" si="55"/>
        <v>210000</v>
      </c>
      <c r="Z65" s="8"/>
      <c r="AA65" s="167"/>
      <c r="AB65" s="8"/>
      <c r="AC65" s="167"/>
      <c r="AD65" s="8"/>
      <c r="AE65" s="167"/>
      <c r="AF65" s="8"/>
      <c r="AG65" s="167"/>
      <c r="AH65" s="8"/>
      <c r="AI65" s="167"/>
      <c r="AJ65" s="8"/>
      <c r="AK65" s="167"/>
      <c r="AL65" s="8"/>
      <c r="AM65" s="167"/>
      <c r="AN65" s="8"/>
      <c r="AO65" s="167"/>
      <c r="AP65" s="8"/>
      <c r="AQ65" s="167"/>
      <c r="AR65" s="8"/>
      <c r="AS65" s="167"/>
      <c r="AT65" s="8"/>
      <c r="AU65" s="167"/>
      <c r="AV65" s="8"/>
      <c r="AW65" s="167"/>
      <c r="AX65" s="8"/>
      <c r="AY65" s="167"/>
      <c r="AZ65" s="8"/>
      <c r="BA65" s="167"/>
      <c r="BB65" s="8"/>
      <c r="BC65" s="167"/>
      <c r="BD65" s="8"/>
      <c r="BE65" s="167"/>
      <c r="BF65" s="8"/>
      <c r="BG65" s="167"/>
      <c r="BH65" s="8">
        <v>12</v>
      </c>
      <c r="BI65" s="167">
        <f t="shared" si="10"/>
        <v>840000</v>
      </c>
      <c r="BJ65" s="8">
        <f t="shared" si="20"/>
        <v>12</v>
      </c>
      <c r="BK65" s="7">
        <f t="shared" si="21"/>
        <v>840000</v>
      </c>
      <c r="BL65" s="186" t="s">
        <v>212</v>
      </c>
      <c r="BN65" s="190"/>
      <c r="BO65" s="190"/>
      <c r="BP65" s="190"/>
      <c r="BQ65" s="190"/>
      <c r="BR65" s="190">
        <f>BN65+BO65+BP65+BQ65</f>
        <v>0</v>
      </c>
      <c r="BS65" s="190">
        <f t="shared" si="45"/>
        <v>840000</v>
      </c>
      <c r="BT65" s="190"/>
      <c r="BU65" s="444">
        <f t="shared" si="46"/>
        <v>840000</v>
      </c>
      <c r="BV65" s="167">
        <f t="shared" si="0"/>
        <v>840000</v>
      </c>
    </row>
    <row r="66" spans="1:74" x14ac:dyDescent="0.25">
      <c r="A66" s="135"/>
      <c r="B66" s="586" t="s">
        <v>1098</v>
      </c>
      <c r="C66" s="192" t="s">
        <v>514</v>
      </c>
      <c r="D66" s="186" t="s">
        <v>65</v>
      </c>
      <c r="E66" s="193">
        <v>45000</v>
      </c>
      <c r="F66" s="8">
        <f t="shared" si="33"/>
        <v>12</v>
      </c>
      <c r="G66" s="464">
        <f t="shared" si="34"/>
        <v>540000</v>
      </c>
      <c r="H66" s="464">
        <f t="shared" si="35"/>
        <v>270000</v>
      </c>
      <c r="I66" s="464">
        <f t="shared" si="47"/>
        <v>270000</v>
      </c>
      <c r="J66" s="464"/>
      <c r="K66" s="464"/>
      <c r="L66" s="464"/>
      <c r="M66" s="464"/>
      <c r="N66" s="464"/>
      <c r="O66" s="7"/>
      <c r="P66" s="7"/>
      <c r="Q66" s="7"/>
      <c r="R66" s="8">
        <f t="shared" si="48"/>
        <v>3</v>
      </c>
      <c r="S66" s="8">
        <f t="shared" si="49"/>
        <v>3</v>
      </c>
      <c r="T66" s="8">
        <f t="shared" si="50"/>
        <v>3</v>
      </c>
      <c r="U66" s="8">
        <f t="shared" si="51"/>
        <v>3</v>
      </c>
      <c r="V66" s="167">
        <f t="shared" si="52"/>
        <v>135000</v>
      </c>
      <c r="W66" s="167">
        <f t="shared" si="53"/>
        <v>135000</v>
      </c>
      <c r="X66" s="167">
        <f t="shared" si="54"/>
        <v>135000</v>
      </c>
      <c r="Y66" s="167">
        <f t="shared" si="55"/>
        <v>135000</v>
      </c>
      <c r="Z66" s="8"/>
      <c r="AA66" s="167"/>
      <c r="AB66" s="8"/>
      <c r="AC66" s="167"/>
      <c r="AD66" s="8"/>
      <c r="AE66" s="167"/>
      <c r="AF66" s="8"/>
      <c r="AG66" s="167"/>
      <c r="AH66" s="8"/>
      <c r="AI66" s="167"/>
      <c r="AJ66" s="8"/>
      <c r="AK66" s="167"/>
      <c r="AL66" s="8"/>
      <c r="AM66" s="167"/>
      <c r="AN66" s="8"/>
      <c r="AO66" s="167"/>
      <c r="AP66" s="8"/>
      <c r="AQ66" s="167"/>
      <c r="AR66" s="8"/>
      <c r="AS66" s="167"/>
      <c r="AT66" s="8"/>
      <c r="AU66" s="167"/>
      <c r="AV66" s="8"/>
      <c r="AW66" s="167"/>
      <c r="AX66" s="8"/>
      <c r="AY66" s="167"/>
      <c r="AZ66" s="8"/>
      <c r="BA66" s="167"/>
      <c r="BB66" s="8"/>
      <c r="BC66" s="167"/>
      <c r="BD66" s="8"/>
      <c r="BE66" s="167"/>
      <c r="BF66" s="8"/>
      <c r="BG66" s="167"/>
      <c r="BH66" s="8">
        <v>12</v>
      </c>
      <c r="BI66" s="167">
        <f t="shared" si="10"/>
        <v>540000</v>
      </c>
      <c r="BJ66" s="8">
        <f t="shared" si="20"/>
        <v>12</v>
      </c>
      <c r="BK66" s="7">
        <f t="shared" si="21"/>
        <v>540000</v>
      </c>
      <c r="BL66" s="186" t="s">
        <v>212</v>
      </c>
      <c r="BN66" s="190"/>
      <c r="BO66" s="190"/>
      <c r="BP66" s="190"/>
      <c r="BQ66" s="190"/>
      <c r="BR66" s="190">
        <f>BN66+BO66+BP66+BQ66</f>
        <v>0</v>
      </c>
      <c r="BS66" s="190">
        <f t="shared" si="45"/>
        <v>540000</v>
      </c>
      <c r="BT66" s="190"/>
      <c r="BU66" s="444">
        <f t="shared" si="46"/>
        <v>540000</v>
      </c>
      <c r="BV66" s="167">
        <f t="shared" si="0"/>
        <v>540000</v>
      </c>
    </row>
    <row r="67" spans="1:74" x14ac:dyDescent="0.25">
      <c r="A67" s="135"/>
      <c r="B67" s="586" t="s">
        <v>1099</v>
      </c>
      <c r="C67" s="192" t="s">
        <v>390</v>
      </c>
      <c r="D67" s="186" t="s">
        <v>65</v>
      </c>
      <c r="E67" s="193">
        <v>35000</v>
      </c>
      <c r="F67" s="8">
        <f t="shared" si="33"/>
        <v>24</v>
      </c>
      <c r="G67" s="464">
        <f t="shared" si="34"/>
        <v>840000</v>
      </c>
      <c r="H67" s="464">
        <f t="shared" si="35"/>
        <v>420000</v>
      </c>
      <c r="I67" s="464">
        <f t="shared" si="47"/>
        <v>420000</v>
      </c>
      <c r="J67" s="465"/>
      <c r="K67" s="465"/>
      <c r="L67" s="465"/>
      <c r="M67" s="465"/>
      <c r="N67" s="465"/>
      <c r="O67" s="465"/>
      <c r="P67" s="465"/>
      <c r="Q67" s="470"/>
      <c r="R67" s="8">
        <f t="shared" si="48"/>
        <v>6</v>
      </c>
      <c r="S67" s="8">
        <f t="shared" si="49"/>
        <v>6</v>
      </c>
      <c r="T67" s="8">
        <f t="shared" si="50"/>
        <v>6</v>
      </c>
      <c r="U67" s="8">
        <f t="shared" si="51"/>
        <v>6</v>
      </c>
      <c r="V67" s="167">
        <f t="shared" si="52"/>
        <v>210000</v>
      </c>
      <c r="W67" s="167">
        <f t="shared" si="53"/>
        <v>210000</v>
      </c>
      <c r="X67" s="167">
        <f t="shared" si="54"/>
        <v>210000</v>
      </c>
      <c r="Y67" s="167">
        <f t="shared" si="55"/>
        <v>210000</v>
      </c>
      <c r="Z67" s="169"/>
      <c r="AA67" s="470"/>
      <c r="AB67" s="169"/>
      <c r="AC67" s="470"/>
      <c r="AD67" s="169"/>
      <c r="AE67" s="470"/>
      <c r="AF67" s="169"/>
      <c r="AG67" s="470"/>
      <c r="AH67" s="169"/>
      <c r="AI67" s="470"/>
      <c r="AJ67" s="169"/>
      <c r="AK67" s="470"/>
      <c r="AL67" s="169"/>
      <c r="AM67" s="470"/>
      <c r="AN67" s="169"/>
      <c r="AO67" s="470"/>
      <c r="AP67" s="169"/>
      <c r="AQ67" s="470"/>
      <c r="AR67" s="169"/>
      <c r="AS67" s="470"/>
      <c r="AT67" s="169"/>
      <c r="AU67" s="470"/>
      <c r="AV67" s="169"/>
      <c r="AW67" s="470"/>
      <c r="AX67" s="169"/>
      <c r="AY67" s="470"/>
      <c r="AZ67" s="169"/>
      <c r="BA67" s="470"/>
      <c r="BB67" s="169"/>
      <c r="BC67" s="470"/>
      <c r="BD67" s="169"/>
      <c r="BE67" s="470"/>
      <c r="BF67" s="169"/>
      <c r="BG67" s="470"/>
      <c r="BH67" s="8">
        <v>24</v>
      </c>
      <c r="BI67" s="167">
        <f t="shared" si="10"/>
        <v>840000</v>
      </c>
      <c r="BJ67" s="169">
        <f t="shared" si="20"/>
        <v>24</v>
      </c>
      <c r="BK67" s="470">
        <f t="shared" si="21"/>
        <v>840000</v>
      </c>
      <c r="BL67" s="186" t="s">
        <v>212</v>
      </c>
      <c r="BN67" s="469"/>
      <c r="BO67" s="469"/>
      <c r="BP67" s="469"/>
      <c r="BQ67" s="469"/>
      <c r="BR67" s="469">
        <f>SUM(BR64:BR66)</f>
        <v>0</v>
      </c>
      <c r="BS67" s="190">
        <f t="shared" si="45"/>
        <v>840000</v>
      </c>
      <c r="BT67" s="469">
        <f>SUM(BT64:BT66)</f>
        <v>0</v>
      </c>
      <c r="BU67" s="444">
        <f t="shared" si="46"/>
        <v>840000</v>
      </c>
      <c r="BV67" s="167">
        <f t="shared" si="0"/>
        <v>840000</v>
      </c>
    </row>
    <row r="68" spans="1:74" x14ac:dyDescent="0.25">
      <c r="A68" s="135"/>
      <c r="B68" s="586" t="s">
        <v>1100</v>
      </c>
      <c r="C68" s="192" t="s">
        <v>120</v>
      </c>
      <c r="D68" s="186" t="s">
        <v>65</v>
      </c>
      <c r="E68" s="193">
        <v>25000</v>
      </c>
      <c r="F68" s="8">
        <f t="shared" si="33"/>
        <v>12</v>
      </c>
      <c r="G68" s="464">
        <f t="shared" si="34"/>
        <v>300000</v>
      </c>
      <c r="H68" s="464">
        <f t="shared" si="35"/>
        <v>150000</v>
      </c>
      <c r="I68" s="464">
        <f t="shared" si="47"/>
        <v>150000</v>
      </c>
      <c r="J68" s="561"/>
      <c r="K68" s="561"/>
      <c r="L68" s="561"/>
      <c r="M68" s="561"/>
      <c r="N68" s="561"/>
      <c r="O68" s="561"/>
      <c r="P68" s="561"/>
      <c r="Q68" s="231"/>
      <c r="R68" s="8">
        <f t="shared" si="48"/>
        <v>3</v>
      </c>
      <c r="S68" s="8">
        <f t="shared" si="49"/>
        <v>3</v>
      </c>
      <c r="T68" s="8">
        <f t="shared" si="50"/>
        <v>3</v>
      </c>
      <c r="U68" s="8">
        <f t="shared" si="51"/>
        <v>3</v>
      </c>
      <c r="V68" s="167">
        <f t="shared" si="52"/>
        <v>75000</v>
      </c>
      <c r="W68" s="167">
        <f t="shared" si="53"/>
        <v>75000</v>
      </c>
      <c r="X68" s="167">
        <f t="shared" si="54"/>
        <v>75000</v>
      </c>
      <c r="Y68" s="167">
        <f t="shared" si="55"/>
        <v>75000</v>
      </c>
      <c r="Z68" s="230"/>
      <c r="AA68" s="231"/>
      <c r="AB68" s="230"/>
      <c r="AC68" s="231"/>
      <c r="AD68" s="230"/>
      <c r="AE68" s="231"/>
      <c r="AF68" s="230"/>
      <c r="AG68" s="231"/>
      <c r="AH68" s="230"/>
      <c r="AI68" s="231"/>
      <c r="AJ68" s="230"/>
      <c r="AK68" s="231"/>
      <c r="AL68" s="230"/>
      <c r="AM68" s="231"/>
      <c r="AN68" s="230"/>
      <c r="AO68" s="231"/>
      <c r="AP68" s="230"/>
      <c r="AQ68" s="231"/>
      <c r="AR68" s="230"/>
      <c r="AS68" s="231"/>
      <c r="AT68" s="230"/>
      <c r="AU68" s="231"/>
      <c r="AV68" s="230"/>
      <c r="AW68" s="231"/>
      <c r="AX68" s="230"/>
      <c r="AY68" s="231"/>
      <c r="AZ68" s="230"/>
      <c r="BA68" s="231"/>
      <c r="BB68" s="230"/>
      <c r="BC68" s="231"/>
      <c r="BD68" s="230"/>
      <c r="BE68" s="231"/>
      <c r="BF68" s="230"/>
      <c r="BG68" s="231"/>
      <c r="BH68" s="8">
        <v>12</v>
      </c>
      <c r="BI68" s="167">
        <f t="shared" si="10"/>
        <v>300000</v>
      </c>
      <c r="BJ68" s="230">
        <f t="shared" si="20"/>
        <v>12</v>
      </c>
      <c r="BK68" s="231">
        <f t="shared" si="21"/>
        <v>300000</v>
      </c>
      <c r="BL68" s="186" t="s">
        <v>212</v>
      </c>
      <c r="BN68" s="471"/>
      <c r="BO68" s="471"/>
      <c r="BP68" s="471"/>
      <c r="BQ68" s="471"/>
      <c r="BR68" s="471">
        <f>BR67+BR61+BR54</f>
        <v>0</v>
      </c>
      <c r="BS68" s="190">
        <f t="shared" si="45"/>
        <v>300000</v>
      </c>
      <c r="BT68" s="471">
        <f>BT67+BT61+BT54</f>
        <v>0</v>
      </c>
      <c r="BU68" s="444">
        <f t="shared" si="46"/>
        <v>300000</v>
      </c>
      <c r="BV68" s="167">
        <f t="shared" si="0"/>
        <v>300000</v>
      </c>
    </row>
    <row r="69" spans="1:74" x14ac:dyDescent="0.25">
      <c r="A69" s="135"/>
      <c r="B69" s="586" t="s">
        <v>1101</v>
      </c>
      <c r="C69" s="192" t="s">
        <v>121</v>
      </c>
      <c r="D69" s="186" t="s">
        <v>65</v>
      </c>
      <c r="E69" s="193">
        <v>30000</v>
      </c>
      <c r="F69" s="8">
        <f t="shared" si="33"/>
        <v>24</v>
      </c>
      <c r="G69" s="464">
        <f t="shared" si="34"/>
        <v>720000</v>
      </c>
      <c r="H69" s="464">
        <f t="shared" si="35"/>
        <v>360000</v>
      </c>
      <c r="I69" s="464">
        <f t="shared" si="47"/>
        <v>360000</v>
      </c>
      <c r="J69" s="8"/>
      <c r="K69" s="8"/>
      <c r="L69" s="8"/>
      <c r="M69" s="8"/>
      <c r="N69" s="8"/>
      <c r="O69" s="8"/>
      <c r="P69" s="8"/>
      <c r="Q69" s="8"/>
      <c r="R69" s="8">
        <f t="shared" si="48"/>
        <v>6</v>
      </c>
      <c r="S69" s="8">
        <f t="shared" si="49"/>
        <v>6</v>
      </c>
      <c r="T69" s="8">
        <f t="shared" si="50"/>
        <v>6</v>
      </c>
      <c r="U69" s="8">
        <f t="shared" si="51"/>
        <v>6</v>
      </c>
      <c r="V69" s="167">
        <f t="shared" si="52"/>
        <v>180000</v>
      </c>
      <c r="W69" s="167">
        <f t="shared" si="53"/>
        <v>180000</v>
      </c>
      <c r="X69" s="167">
        <f t="shared" si="54"/>
        <v>180000</v>
      </c>
      <c r="Y69" s="167">
        <f t="shared" si="55"/>
        <v>180000</v>
      </c>
      <c r="Z69" s="8"/>
      <c r="AA69" s="8"/>
      <c r="AB69" s="8"/>
      <c r="AC69" s="167"/>
      <c r="AD69" s="8"/>
      <c r="AE69" s="167"/>
      <c r="AF69" s="8"/>
      <c r="AG69" s="167"/>
      <c r="AH69" s="8"/>
      <c r="AI69" s="167"/>
      <c r="AJ69" s="8"/>
      <c r="AK69" s="167"/>
      <c r="AL69" s="8"/>
      <c r="AM69" s="167"/>
      <c r="AN69" s="8"/>
      <c r="AO69" s="167"/>
      <c r="AP69" s="8"/>
      <c r="AQ69" s="167"/>
      <c r="AR69" s="8"/>
      <c r="AS69" s="167"/>
      <c r="AT69" s="8"/>
      <c r="AU69" s="167"/>
      <c r="AV69" s="8"/>
      <c r="AW69" s="167"/>
      <c r="AX69" s="8"/>
      <c r="AY69" s="167"/>
      <c r="AZ69" s="8"/>
      <c r="BA69" s="167"/>
      <c r="BB69" s="8"/>
      <c r="BC69" s="167"/>
      <c r="BD69" s="8"/>
      <c r="BE69" s="167"/>
      <c r="BF69" s="8"/>
      <c r="BG69" s="167"/>
      <c r="BH69" s="8">
        <v>24</v>
      </c>
      <c r="BI69" s="167">
        <f t="shared" si="10"/>
        <v>720000</v>
      </c>
      <c r="BJ69" s="8">
        <f t="shared" si="20"/>
        <v>24</v>
      </c>
      <c r="BK69" s="8">
        <f t="shared" si="21"/>
        <v>720000</v>
      </c>
      <c r="BL69" s="186" t="s">
        <v>212</v>
      </c>
      <c r="BN69" s="190"/>
      <c r="BO69" s="190"/>
      <c r="BP69" s="190"/>
      <c r="BQ69" s="190"/>
      <c r="BR69" s="190"/>
      <c r="BS69" s="190">
        <f t="shared" si="45"/>
        <v>720000</v>
      </c>
      <c r="BT69" s="190"/>
      <c r="BU69" s="444">
        <f t="shared" si="46"/>
        <v>720000</v>
      </c>
      <c r="BV69" s="167">
        <f t="shared" si="0"/>
        <v>720000</v>
      </c>
    </row>
    <row r="70" spans="1:74" x14ac:dyDescent="0.25">
      <c r="A70" s="135"/>
      <c r="B70" s="586" t="s">
        <v>1102</v>
      </c>
      <c r="C70" s="192" t="s">
        <v>391</v>
      </c>
      <c r="D70" s="186" t="s">
        <v>65</v>
      </c>
      <c r="E70" s="193" t="s">
        <v>347</v>
      </c>
      <c r="F70" s="8">
        <f t="shared" si="33"/>
        <v>0</v>
      </c>
      <c r="G70" s="464">
        <f t="shared" si="34"/>
        <v>0</v>
      </c>
      <c r="H70" s="464">
        <f t="shared" si="35"/>
        <v>0</v>
      </c>
      <c r="I70" s="464">
        <f t="shared" si="47"/>
        <v>0</v>
      </c>
      <c r="J70" s="8"/>
      <c r="K70" s="8"/>
      <c r="L70" s="8"/>
      <c r="M70" s="8"/>
      <c r="N70" s="8"/>
      <c r="O70" s="8"/>
      <c r="P70" s="8"/>
      <c r="Q70" s="8"/>
      <c r="R70" s="8">
        <f t="shared" si="48"/>
        <v>0</v>
      </c>
      <c r="S70" s="8">
        <f t="shared" si="49"/>
        <v>0</v>
      </c>
      <c r="T70" s="8">
        <f t="shared" si="50"/>
        <v>0</v>
      </c>
      <c r="U70" s="8">
        <f t="shared" si="51"/>
        <v>0</v>
      </c>
      <c r="V70" s="167">
        <f t="shared" si="52"/>
        <v>0</v>
      </c>
      <c r="W70" s="167">
        <f t="shared" si="53"/>
        <v>0</v>
      </c>
      <c r="X70" s="167">
        <f t="shared" si="54"/>
        <v>0</v>
      </c>
      <c r="Y70" s="167">
        <f t="shared" si="55"/>
        <v>0</v>
      </c>
      <c r="Z70" s="8"/>
      <c r="AA70" s="8"/>
      <c r="AB70" s="8"/>
      <c r="AC70" s="167"/>
      <c r="AD70" s="8"/>
      <c r="AE70" s="167"/>
      <c r="AF70" s="8"/>
      <c r="AG70" s="167"/>
      <c r="AH70" s="8"/>
      <c r="AI70" s="167"/>
      <c r="AJ70" s="8"/>
      <c r="AK70" s="167"/>
      <c r="AL70" s="8"/>
      <c r="AM70" s="167"/>
      <c r="AN70" s="8"/>
      <c r="AO70" s="167"/>
      <c r="AP70" s="8"/>
      <c r="AQ70" s="167"/>
      <c r="AR70" s="8"/>
      <c r="AS70" s="167"/>
      <c r="AT70" s="8"/>
      <c r="AU70" s="167"/>
      <c r="AV70" s="8"/>
      <c r="AW70" s="167"/>
      <c r="AX70" s="8"/>
      <c r="AY70" s="167"/>
      <c r="AZ70" s="8"/>
      <c r="BA70" s="167"/>
      <c r="BB70" s="8"/>
      <c r="BC70" s="167"/>
      <c r="BD70" s="8"/>
      <c r="BE70" s="167"/>
      <c r="BF70" s="8"/>
      <c r="BG70" s="167"/>
      <c r="BH70" s="8">
        <v>0</v>
      </c>
      <c r="BI70" s="167">
        <f t="shared" si="10"/>
        <v>0</v>
      </c>
      <c r="BJ70" s="8">
        <f t="shared" si="20"/>
        <v>0</v>
      </c>
      <c r="BK70" s="8">
        <f t="shared" si="21"/>
        <v>0</v>
      </c>
      <c r="BL70" s="186" t="s">
        <v>212</v>
      </c>
      <c r="BN70" s="190"/>
      <c r="BO70" s="190"/>
      <c r="BP70" s="190"/>
      <c r="BQ70" s="190"/>
      <c r="BR70" s="190"/>
      <c r="BS70" s="190">
        <f t="shared" si="45"/>
        <v>0</v>
      </c>
      <c r="BT70" s="190"/>
      <c r="BU70" s="444">
        <f t="shared" si="46"/>
        <v>0</v>
      </c>
      <c r="BV70" s="167">
        <f t="shared" si="0"/>
        <v>0</v>
      </c>
    </row>
    <row r="71" spans="1:74" x14ac:dyDescent="0.25">
      <c r="A71" s="135"/>
      <c r="B71" s="586" t="s">
        <v>1103</v>
      </c>
      <c r="C71" s="192" t="s">
        <v>392</v>
      </c>
      <c r="D71" s="186" t="s">
        <v>65</v>
      </c>
      <c r="E71" s="193" t="s">
        <v>398</v>
      </c>
      <c r="F71" s="8">
        <f t="shared" si="33"/>
        <v>0</v>
      </c>
      <c r="G71" s="464">
        <f t="shared" si="34"/>
        <v>0</v>
      </c>
      <c r="H71" s="464">
        <f t="shared" si="35"/>
        <v>0</v>
      </c>
      <c r="I71" s="464">
        <f t="shared" si="47"/>
        <v>0</v>
      </c>
      <c r="J71" s="464"/>
      <c r="K71" s="464"/>
      <c r="L71" s="464"/>
      <c r="M71" s="464"/>
      <c r="N71" s="464"/>
      <c r="O71" s="7"/>
      <c r="P71" s="7"/>
      <c r="Q71" s="7"/>
      <c r="R71" s="8">
        <f t="shared" si="48"/>
        <v>0</v>
      </c>
      <c r="S71" s="8">
        <f t="shared" si="49"/>
        <v>0</v>
      </c>
      <c r="T71" s="8">
        <f t="shared" si="50"/>
        <v>0</v>
      </c>
      <c r="U71" s="8">
        <f t="shared" si="51"/>
        <v>0</v>
      </c>
      <c r="V71" s="167">
        <f t="shared" si="52"/>
        <v>0</v>
      </c>
      <c r="W71" s="167">
        <f t="shared" si="53"/>
        <v>0</v>
      </c>
      <c r="X71" s="167">
        <f t="shared" si="54"/>
        <v>0</v>
      </c>
      <c r="Y71" s="167">
        <f t="shared" si="55"/>
        <v>0</v>
      </c>
      <c r="Z71" s="8"/>
      <c r="AA71" s="167"/>
      <c r="AB71" s="8"/>
      <c r="AC71" s="167"/>
      <c r="AD71" s="8"/>
      <c r="AE71" s="167"/>
      <c r="AF71" s="8"/>
      <c r="AG71" s="167"/>
      <c r="AH71" s="8"/>
      <c r="AI71" s="167"/>
      <c r="AJ71" s="8"/>
      <c r="AK71" s="167"/>
      <c r="AL71" s="8"/>
      <c r="AM71" s="167"/>
      <c r="AN71" s="8"/>
      <c r="AO71" s="167"/>
      <c r="AP71" s="8"/>
      <c r="AQ71" s="167"/>
      <c r="AR71" s="8"/>
      <c r="AS71" s="167"/>
      <c r="AT71" s="8"/>
      <c r="AU71" s="167"/>
      <c r="AV71" s="8"/>
      <c r="AW71" s="167"/>
      <c r="AX71" s="8"/>
      <c r="AY71" s="167"/>
      <c r="AZ71" s="8"/>
      <c r="BA71" s="167"/>
      <c r="BB71" s="8"/>
      <c r="BC71" s="167"/>
      <c r="BD71" s="8"/>
      <c r="BE71" s="167"/>
      <c r="BF71" s="8"/>
      <c r="BG71" s="167"/>
      <c r="BH71" s="8">
        <v>0</v>
      </c>
      <c r="BI71" s="167">
        <f t="shared" si="10"/>
        <v>0</v>
      </c>
      <c r="BJ71" s="8">
        <f t="shared" si="20"/>
        <v>0</v>
      </c>
      <c r="BK71" s="7">
        <f t="shared" si="21"/>
        <v>0</v>
      </c>
      <c r="BL71" s="186" t="s">
        <v>212</v>
      </c>
      <c r="BN71" s="190"/>
      <c r="BO71" s="190"/>
      <c r="BP71" s="190"/>
      <c r="BQ71" s="190"/>
      <c r="BR71" s="190">
        <f>BN71+BO71+BP71+BQ71</f>
        <v>0</v>
      </c>
      <c r="BS71" s="190">
        <f t="shared" si="45"/>
        <v>0</v>
      </c>
      <c r="BT71" s="190"/>
      <c r="BU71" s="444">
        <f t="shared" si="46"/>
        <v>0</v>
      </c>
      <c r="BV71" s="167">
        <f t="shared" si="0"/>
        <v>0</v>
      </c>
    </row>
    <row r="72" spans="1:74" x14ac:dyDescent="0.25">
      <c r="A72" s="135"/>
      <c r="B72" s="586" t="s">
        <v>1104</v>
      </c>
      <c r="C72" s="192" t="s">
        <v>122</v>
      </c>
      <c r="D72" s="186" t="s">
        <v>65</v>
      </c>
      <c r="E72" s="193" t="s">
        <v>363</v>
      </c>
      <c r="F72" s="8">
        <f t="shared" si="33"/>
        <v>0</v>
      </c>
      <c r="G72" s="464">
        <f t="shared" si="34"/>
        <v>0</v>
      </c>
      <c r="H72" s="464">
        <f t="shared" si="35"/>
        <v>0</v>
      </c>
      <c r="I72" s="464">
        <f t="shared" si="47"/>
        <v>0</v>
      </c>
      <c r="J72" s="464"/>
      <c r="K72" s="464"/>
      <c r="L72" s="464"/>
      <c r="M72" s="464"/>
      <c r="N72" s="464"/>
      <c r="O72" s="7"/>
      <c r="P72" s="7"/>
      <c r="Q72" s="7"/>
      <c r="R72" s="8">
        <f t="shared" si="48"/>
        <v>0</v>
      </c>
      <c r="S72" s="8">
        <f t="shared" si="49"/>
        <v>0</v>
      </c>
      <c r="T72" s="8">
        <f t="shared" si="50"/>
        <v>0</v>
      </c>
      <c r="U72" s="8">
        <f t="shared" si="51"/>
        <v>0</v>
      </c>
      <c r="V72" s="167">
        <f t="shared" si="52"/>
        <v>0</v>
      </c>
      <c r="W72" s="167">
        <f t="shared" si="53"/>
        <v>0</v>
      </c>
      <c r="X72" s="167">
        <f t="shared" si="54"/>
        <v>0</v>
      </c>
      <c r="Y72" s="167">
        <f t="shared" si="55"/>
        <v>0</v>
      </c>
      <c r="Z72" s="8"/>
      <c r="AA72" s="167"/>
      <c r="AB72" s="8"/>
      <c r="AC72" s="167"/>
      <c r="AD72" s="8"/>
      <c r="AE72" s="167"/>
      <c r="AF72" s="8"/>
      <c r="AG72" s="167"/>
      <c r="AH72" s="8"/>
      <c r="AI72" s="167"/>
      <c r="AJ72" s="8"/>
      <c r="AK72" s="167"/>
      <c r="AL72" s="8"/>
      <c r="AM72" s="167"/>
      <c r="AN72" s="8"/>
      <c r="AO72" s="167"/>
      <c r="AP72" s="8"/>
      <c r="AQ72" s="167"/>
      <c r="AR72" s="8"/>
      <c r="AS72" s="167"/>
      <c r="AT72" s="8"/>
      <c r="AU72" s="167"/>
      <c r="AV72" s="8"/>
      <c r="AW72" s="167"/>
      <c r="AX72" s="8"/>
      <c r="AY72" s="167"/>
      <c r="AZ72" s="8"/>
      <c r="BA72" s="167"/>
      <c r="BB72" s="8"/>
      <c r="BC72" s="167"/>
      <c r="BD72" s="8"/>
      <c r="BE72" s="167"/>
      <c r="BF72" s="8"/>
      <c r="BG72" s="167"/>
      <c r="BH72" s="8">
        <v>0</v>
      </c>
      <c r="BI72" s="167">
        <f t="shared" si="10"/>
        <v>0</v>
      </c>
      <c r="BJ72" s="8">
        <f t="shared" si="20"/>
        <v>0</v>
      </c>
      <c r="BK72" s="7">
        <f t="shared" si="21"/>
        <v>0</v>
      </c>
      <c r="BL72" s="186" t="s">
        <v>212</v>
      </c>
      <c r="BN72" s="190"/>
      <c r="BO72" s="190"/>
      <c r="BP72" s="190"/>
      <c r="BQ72" s="190"/>
      <c r="BR72" s="190">
        <f t="shared" ref="BR72:BR87" si="56">BN72+BO72+BP72+BQ72</f>
        <v>0</v>
      </c>
      <c r="BS72" s="190">
        <f t="shared" si="45"/>
        <v>0</v>
      </c>
      <c r="BT72" s="190"/>
      <c r="BU72" s="444">
        <f t="shared" si="46"/>
        <v>0</v>
      </c>
      <c r="BV72" s="167">
        <f t="shared" si="0"/>
        <v>0</v>
      </c>
    </row>
    <row r="73" spans="1:74" ht="31.5" x14ac:dyDescent="0.25">
      <c r="A73" s="135"/>
      <c r="B73" s="586" t="s">
        <v>1105</v>
      </c>
      <c r="C73" s="199" t="s">
        <v>518</v>
      </c>
      <c r="D73" s="186" t="s">
        <v>16</v>
      </c>
      <c r="E73" s="193">
        <v>350000</v>
      </c>
      <c r="F73" s="8">
        <f t="shared" si="33"/>
        <v>1</v>
      </c>
      <c r="G73" s="464">
        <f t="shared" si="34"/>
        <v>350000</v>
      </c>
      <c r="H73" s="464">
        <f t="shared" si="35"/>
        <v>175000</v>
      </c>
      <c r="I73" s="464">
        <f t="shared" si="47"/>
        <v>175000</v>
      </c>
      <c r="J73" s="464"/>
      <c r="K73" s="464"/>
      <c r="L73" s="464"/>
      <c r="M73" s="464"/>
      <c r="N73" s="464"/>
      <c r="O73" s="7"/>
      <c r="P73" s="7"/>
      <c r="Q73" s="7"/>
      <c r="R73" s="8">
        <f t="shared" si="48"/>
        <v>0.25</v>
      </c>
      <c r="S73" s="8">
        <f t="shared" si="49"/>
        <v>0.25</v>
      </c>
      <c r="T73" s="8">
        <f t="shared" si="50"/>
        <v>0.25</v>
      </c>
      <c r="U73" s="8">
        <f t="shared" si="51"/>
        <v>0.25</v>
      </c>
      <c r="V73" s="167">
        <f t="shared" si="52"/>
        <v>87500</v>
      </c>
      <c r="W73" s="167">
        <f t="shared" si="53"/>
        <v>87500</v>
      </c>
      <c r="X73" s="167">
        <f t="shared" si="54"/>
        <v>87500</v>
      </c>
      <c r="Y73" s="167">
        <f t="shared" si="55"/>
        <v>87500</v>
      </c>
      <c r="Z73" s="8"/>
      <c r="AA73" s="167"/>
      <c r="AB73" s="8"/>
      <c r="AC73" s="167"/>
      <c r="AD73" s="8"/>
      <c r="AE73" s="167"/>
      <c r="AF73" s="8"/>
      <c r="AG73" s="167"/>
      <c r="AH73" s="8"/>
      <c r="AI73" s="167"/>
      <c r="AJ73" s="8"/>
      <c r="AK73" s="167"/>
      <c r="AL73" s="8"/>
      <c r="AM73" s="167"/>
      <c r="AN73" s="8"/>
      <c r="AO73" s="167"/>
      <c r="AP73" s="8"/>
      <c r="AQ73" s="167"/>
      <c r="AR73" s="8"/>
      <c r="AS73" s="167"/>
      <c r="AT73" s="8"/>
      <c r="AU73" s="167"/>
      <c r="AV73" s="8"/>
      <c r="AW73" s="167"/>
      <c r="AX73" s="8"/>
      <c r="AY73" s="167"/>
      <c r="AZ73" s="8"/>
      <c r="BA73" s="167"/>
      <c r="BB73" s="8"/>
      <c r="BC73" s="167"/>
      <c r="BD73" s="8"/>
      <c r="BE73" s="167"/>
      <c r="BF73" s="8"/>
      <c r="BG73" s="167"/>
      <c r="BH73" s="8">
        <v>1</v>
      </c>
      <c r="BI73" s="167">
        <f t="shared" si="10"/>
        <v>350000</v>
      </c>
      <c r="BJ73" s="8">
        <f t="shared" si="20"/>
        <v>1</v>
      </c>
      <c r="BK73" s="7">
        <f t="shared" si="21"/>
        <v>350000</v>
      </c>
      <c r="BL73" s="186" t="s">
        <v>212</v>
      </c>
      <c r="BN73" s="190"/>
      <c r="BO73" s="190"/>
      <c r="BP73" s="190"/>
      <c r="BQ73" s="190"/>
      <c r="BR73" s="190">
        <f t="shared" si="56"/>
        <v>0</v>
      </c>
      <c r="BS73" s="190">
        <f t="shared" si="45"/>
        <v>350000</v>
      </c>
      <c r="BT73" s="190"/>
      <c r="BU73" s="444">
        <f t="shared" si="46"/>
        <v>350000</v>
      </c>
      <c r="BV73" s="167">
        <f t="shared" si="0"/>
        <v>350000</v>
      </c>
    </row>
    <row r="74" spans="1:74" ht="31.5" x14ac:dyDescent="0.25">
      <c r="A74" s="135"/>
      <c r="B74" s="586" t="s">
        <v>1106</v>
      </c>
      <c r="C74" s="199" t="s">
        <v>550</v>
      </c>
      <c r="D74" s="186" t="s">
        <v>65</v>
      </c>
      <c r="E74" s="200">
        <v>1000000</v>
      </c>
      <c r="F74" s="8">
        <f t="shared" si="33"/>
        <v>12</v>
      </c>
      <c r="G74" s="464">
        <f t="shared" si="34"/>
        <v>12000000</v>
      </c>
      <c r="H74" s="464">
        <f t="shared" si="35"/>
        <v>6000000</v>
      </c>
      <c r="I74" s="464">
        <f t="shared" si="47"/>
        <v>6000000</v>
      </c>
      <c r="J74" s="464"/>
      <c r="K74" s="464"/>
      <c r="L74" s="464"/>
      <c r="M74" s="464"/>
      <c r="N74" s="464"/>
      <c r="O74" s="7"/>
      <c r="P74" s="7"/>
      <c r="Q74" s="7"/>
      <c r="R74" s="8">
        <f t="shared" si="48"/>
        <v>3</v>
      </c>
      <c r="S74" s="8">
        <f t="shared" si="49"/>
        <v>3</v>
      </c>
      <c r="T74" s="8">
        <f t="shared" si="50"/>
        <v>3</v>
      </c>
      <c r="U74" s="8">
        <f t="shared" si="51"/>
        <v>3</v>
      </c>
      <c r="V74" s="167">
        <f t="shared" si="52"/>
        <v>3000000</v>
      </c>
      <c r="W74" s="167">
        <f t="shared" si="53"/>
        <v>3000000</v>
      </c>
      <c r="X74" s="167">
        <f t="shared" si="54"/>
        <v>3000000</v>
      </c>
      <c r="Y74" s="167">
        <f t="shared" si="55"/>
        <v>3000000</v>
      </c>
      <c r="Z74" s="8"/>
      <c r="AA74" s="167"/>
      <c r="AB74" s="8"/>
      <c r="AC74" s="167"/>
      <c r="AD74" s="8"/>
      <c r="AE74" s="167"/>
      <c r="AF74" s="8"/>
      <c r="AG74" s="167"/>
      <c r="AH74" s="8"/>
      <c r="AI74" s="167"/>
      <c r="AJ74" s="8"/>
      <c r="AK74" s="167"/>
      <c r="AL74" s="8"/>
      <c r="AM74" s="167"/>
      <c r="AN74" s="8"/>
      <c r="AO74" s="167"/>
      <c r="AP74" s="8"/>
      <c r="AQ74" s="167"/>
      <c r="AR74" s="8"/>
      <c r="AS74" s="167"/>
      <c r="AT74" s="8"/>
      <c r="AU74" s="167"/>
      <c r="AV74" s="8"/>
      <c r="AW74" s="167"/>
      <c r="AX74" s="8"/>
      <c r="AY74" s="167"/>
      <c r="AZ74" s="8"/>
      <c r="BA74" s="167"/>
      <c r="BB74" s="8"/>
      <c r="BC74" s="167"/>
      <c r="BD74" s="8"/>
      <c r="BE74" s="167"/>
      <c r="BF74" s="8"/>
      <c r="BG74" s="167"/>
      <c r="BH74" s="8">
        <v>12</v>
      </c>
      <c r="BI74" s="167">
        <f t="shared" si="10"/>
        <v>12000000</v>
      </c>
      <c r="BJ74" s="8">
        <f t="shared" si="20"/>
        <v>12</v>
      </c>
      <c r="BK74" s="7">
        <f t="shared" si="21"/>
        <v>12000000</v>
      </c>
      <c r="BL74" s="186" t="s">
        <v>212</v>
      </c>
      <c r="BN74" s="190"/>
      <c r="BO74" s="190"/>
      <c r="BP74" s="190"/>
      <c r="BQ74" s="190"/>
      <c r="BR74" s="190">
        <f t="shared" si="56"/>
        <v>0</v>
      </c>
      <c r="BS74" s="190">
        <f t="shared" si="45"/>
        <v>12000000</v>
      </c>
      <c r="BT74" s="190"/>
      <c r="BU74" s="444">
        <f t="shared" si="46"/>
        <v>12000000</v>
      </c>
      <c r="BV74" s="167">
        <f t="shared" si="0"/>
        <v>12000000</v>
      </c>
    </row>
    <row r="75" spans="1:74" x14ac:dyDescent="0.25">
      <c r="A75" s="135"/>
      <c r="B75" s="586" t="s">
        <v>1107</v>
      </c>
      <c r="C75" s="192" t="s">
        <v>123</v>
      </c>
      <c r="D75" s="186" t="s">
        <v>65</v>
      </c>
      <c r="E75" s="200">
        <v>200000</v>
      </c>
      <c r="F75" s="8">
        <f t="shared" si="33"/>
        <v>12</v>
      </c>
      <c r="G75" s="464">
        <f t="shared" si="34"/>
        <v>2400000</v>
      </c>
      <c r="H75" s="464">
        <f t="shared" si="35"/>
        <v>1200000</v>
      </c>
      <c r="I75" s="464">
        <f t="shared" si="47"/>
        <v>1200000</v>
      </c>
      <c r="J75" s="464"/>
      <c r="K75" s="464"/>
      <c r="L75" s="464"/>
      <c r="M75" s="464"/>
      <c r="N75" s="464"/>
      <c r="O75" s="7"/>
      <c r="P75" s="7"/>
      <c r="Q75" s="7"/>
      <c r="R75" s="8">
        <f t="shared" si="48"/>
        <v>3</v>
      </c>
      <c r="S75" s="8">
        <f t="shared" si="49"/>
        <v>3</v>
      </c>
      <c r="T75" s="8">
        <f t="shared" si="50"/>
        <v>3</v>
      </c>
      <c r="U75" s="8">
        <f t="shared" si="51"/>
        <v>3</v>
      </c>
      <c r="V75" s="167">
        <f t="shared" si="52"/>
        <v>600000</v>
      </c>
      <c r="W75" s="167">
        <f t="shared" si="53"/>
        <v>600000</v>
      </c>
      <c r="X75" s="167">
        <f t="shared" si="54"/>
        <v>600000</v>
      </c>
      <c r="Y75" s="167">
        <f t="shared" si="55"/>
        <v>600000</v>
      </c>
      <c r="Z75" s="8"/>
      <c r="AA75" s="167"/>
      <c r="AB75" s="8"/>
      <c r="AC75" s="167"/>
      <c r="AD75" s="8"/>
      <c r="AE75" s="167"/>
      <c r="AF75" s="8"/>
      <c r="AG75" s="167"/>
      <c r="AH75" s="8"/>
      <c r="AI75" s="167"/>
      <c r="AJ75" s="8"/>
      <c r="AK75" s="167"/>
      <c r="AL75" s="8"/>
      <c r="AM75" s="167"/>
      <c r="AN75" s="8"/>
      <c r="AO75" s="167"/>
      <c r="AP75" s="8"/>
      <c r="AQ75" s="167"/>
      <c r="AR75" s="8"/>
      <c r="AS75" s="167"/>
      <c r="AT75" s="8"/>
      <c r="AU75" s="167"/>
      <c r="AV75" s="8"/>
      <c r="AW75" s="167"/>
      <c r="AX75" s="8"/>
      <c r="AY75" s="167"/>
      <c r="AZ75" s="8"/>
      <c r="BA75" s="167"/>
      <c r="BB75" s="8"/>
      <c r="BC75" s="167"/>
      <c r="BD75" s="8"/>
      <c r="BE75" s="167"/>
      <c r="BF75" s="8"/>
      <c r="BG75" s="167"/>
      <c r="BH75" s="8">
        <v>12</v>
      </c>
      <c r="BI75" s="167">
        <f t="shared" si="10"/>
        <v>2400000</v>
      </c>
      <c r="BJ75" s="8">
        <f t="shared" si="20"/>
        <v>12</v>
      </c>
      <c r="BK75" s="7">
        <f t="shared" si="21"/>
        <v>2400000</v>
      </c>
      <c r="BL75" s="186" t="s">
        <v>212</v>
      </c>
      <c r="BN75" s="190"/>
      <c r="BO75" s="190"/>
      <c r="BP75" s="190"/>
      <c r="BQ75" s="190"/>
      <c r="BR75" s="190">
        <f t="shared" si="56"/>
        <v>0</v>
      </c>
      <c r="BS75" s="190">
        <f t="shared" si="45"/>
        <v>2400000</v>
      </c>
      <c r="BT75" s="190"/>
      <c r="BU75" s="444">
        <f t="shared" si="46"/>
        <v>2400000</v>
      </c>
      <c r="BV75" s="167">
        <f t="shared" si="0"/>
        <v>2400000</v>
      </c>
    </row>
    <row r="76" spans="1:74" x14ac:dyDescent="0.25">
      <c r="A76" s="135"/>
      <c r="B76" s="586" t="s">
        <v>1108</v>
      </c>
      <c r="C76" s="192" t="s">
        <v>124</v>
      </c>
      <c r="D76" s="186" t="s">
        <v>65</v>
      </c>
      <c r="E76" s="193">
        <v>18000</v>
      </c>
      <c r="F76" s="8">
        <f t="shared" si="33"/>
        <v>12</v>
      </c>
      <c r="G76" s="464">
        <f t="shared" si="34"/>
        <v>216000</v>
      </c>
      <c r="H76" s="464">
        <f t="shared" si="35"/>
        <v>108000</v>
      </c>
      <c r="I76" s="464">
        <f t="shared" si="47"/>
        <v>108000</v>
      </c>
      <c r="J76" s="464"/>
      <c r="K76" s="464"/>
      <c r="L76" s="464"/>
      <c r="M76" s="464"/>
      <c r="N76" s="464"/>
      <c r="O76" s="7"/>
      <c r="P76" s="7"/>
      <c r="Q76" s="7"/>
      <c r="R76" s="8">
        <f t="shared" si="48"/>
        <v>3</v>
      </c>
      <c r="S76" s="8">
        <f t="shared" si="49"/>
        <v>3</v>
      </c>
      <c r="T76" s="8">
        <f t="shared" si="50"/>
        <v>3</v>
      </c>
      <c r="U76" s="8">
        <f t="shared" si="51"/>
        <v>3</v>
      </c>
      <c r="V76" s="167">
        <f t="shared" si="52"/>
        <v>54000</v>
      </c>
      <c r="W76" s="167">
        <f t="shared" si="53"/>
        <v>54000</v>
      </c>
      <c r="X76" s="167">
        <f t="shared" si="54"/>
        <v>54000</v>
      </c>
      <c r="Y76" s="167">
        <f t="shared" si="55"/>
        <v>54000</v>
      </c>
      <c r="Z76" s="8"/>
      <c r="AA76" s="167"/>
      <c r="AB76" s="8"/>
      <c r="AC76" s="167"/>
      <c r="AD76" s="8"/>
      <c r="AE76" s="167"/>
      <c r="AF76" s="8"/>
      <c r="AG76" s="167"/>
      <c r="AH76" s="8"/>
      <c r="AI76" s="167"/>
      <c r="AJ76" s="8"/>
      <c r="AK76" s="167"/>
      <c r="AL76" s="8"/>
      <c r="AM76" s="167"/>
      <c r="AN76" s="8"/>
      <c r="AO76" s="167"/>
      <c r="AP76" s="8"/>
      <c r="AQ76" s="167"/>
      <c r="AR76" s="8"/>
      <c r="AS76" s="167"/>
      <c r="AT76" s="8"/>
      <c r="AU76" s="167"/>
      <c r="AV76" s="8"/>
      <c r="AW76" s="167"/>
      <c r="AX76" s="8"/>
      <c r="AY76" s="167"/>
      <c r="AZ76" s="8"/>
      <c r="BA76" s="167"/>
      <c r="BB76" s="8"/>
      <c r="BC76" s="167"/>
      <c r="BD76" s="8"/>
      <c r="BE76" s="167"/>
      <c r="BF76" s="8"/>
      <c r="BG76" s="167"/>
      <c r="BH76" s="8">
        <v>12</v>
      </c>
      <c r="BI76" s="167">
        <f t="shared" si="10"/>
        <v>216000</v>
      </c>
      <c r="BJ76" s="8">
        <f t="shared" si="20"/>
        <v>12</v>
      </c>
      <c r="BK76" s="7">
        <f t="shared" si="21"/>
        <v>216000</v>
      </c>
      <c r="BL76" s="186" t="s">
        <v>212</v>
      </c>
      <c r="BN76" s="190"/>
      <c r="BO76" s="190"/>
      <c r="BP76" s="190"/>
      <c r="BQ76" s="190"/>
      <c r="BR76" s="190">
        <f t="shared" si="56"/>
        <v>0</v>
      </c>
      <c r="BS76" s="190">
        <f t="shared" si="45"/>
        <v>216000</v>
      </c>
      <c r="BT76" s="190"/>
      <c r="BU76" s="444">
        <f t="shared" si="46"/>
        <v>216000</v>
      </c>
      <c r="BV76" s="167">
        <f t="shared" si="0"/>
        <v>216000</v>
      </c>
    </row>
    <row r="77" spans="1:74" x14ac:dyDescent="0.25">
      <c r="A77" s="135"/>
      <c r="B77" s="586" t="s">
        <v>1109</v>
      </c>
      <c r="C77" s="192" t="s">
        <v>125</v>
      </c>
      <c r="D77" s="186" t="s">
        <v>65</v>
      </c>
      <c r="E77" s="193">
        <v>18000</v>
      </c>
      <c r="F77" s="8">
        <f t="shared" si="33"/>
        <v>12</v>
      </c>
      <c r="G77" s="464">
        <f t="shared" si="34"/>
        <v>216000</v>
      </c>
      <c r="H77" s="464">
        <f t="shared" si="35"/>
        <v>108000</v>
      </c>
      <c r="I77" s="464">
        <f t="shared" si="47"/>
        <v>108000</v>
      </c>
      <c r="J77" s="464"/>
      <c r="K77" s="464"/>
      <c r="L77" s="464"/>
      <c r="M77" s="464"/>
      <c r="N77" s="464"/>
      <c r="O77" s="7"/>
      <c r="P77" s="7"/>
      <c r="Q77" s="7"/>
      <c r="R77" s="8">
        <f t="shared" si="48"/>
        <v>3</v>
      </c>
      <c r="S77" s="8">
        <f t="shared" si="49"/>
        <v>3</v>
      </c>
      <c r="T77" s="8">
        <f t="shared" si="50"/>
        <v>3</v>
      </c>
      <c r="U77" s="8">
        <f t="shared" si="51"/>
        <v>3</v>
      </c>
      <c r="V77" s="167">
        <f t="shared" si="52"/>
        <v>54000</v>
      </c>
      <c r="W77" s="167">
        <f t="shared" si="53"/>
        <v>54000</v>
      </c>
      <c r="X77" s="167">
        <f t="shared" si="54"/>
        <v>54000</v>
      </c>
      <c r="Y77" s="167">
        <f t="shared" si="55"/>
        <v>54000</v>
      </c>
      <c r="Z77" s="8"/>
      <c r="AA77" s="167"/>
      <c r="AB77" s="8"/>
      <c r="AC77" s="167"/>
      <c r="AD77" s="8"/>
      <c r="AE77" s="167"/>
      <c r="AF77" s="8"/>
      <c r="AG77" s="167"/>
      <c r="AH77" s="8"/>
      <c r="AI77" s="167"/>
      <c r="AJ77" s="8"/>
      <c r="AK77" s="167"/>
      <c r="AL77" s="8"/>
      <c r="AM77" s="167"/>
      <c r="AN77" s="8"/>
      <c r="AO77" s="167"/>
      <c r="AP77" s="8"/>
      <c r="AQ77" s="167"/>
      <c r="AR77" s="8"/>
      <c r="AS77" s="167"/>
      <c r="AT77" s="8"/>
      <c r="AU77" s="167"/>
      <c r="AV77" s="8"/>
      <c r="AW77" s="167"/>
      <c r="AX77" s="8"/>
      <c r="AY77" s="167"/>
      <c r="AZ77" s="8"/>
      <c r="BA77" s="167"/>
      <c r="BB77" s="8"/>
      <c r="BC77" s="167"/>
      <c r="BD77" s="8"/>
      <c r="BE77" s="167"/>
      <c r="BF77" s="8"/>
      <c r="BG77" s="167"/>
      <c r="BH77" s="8">
        <v>12</v>
      </c>
      <c r="BI77" s="167">
        <f t="shared" si="10"/>
        <v>216000</v>
      </c>
      <c r="BJ77" s="8">
        <f t="shared" si="20"/>
        <v>12</v>
      </c>
      <c r="BK77" s="7">
        <f t="shared" si="21"/>
        <v>216000</v>
      </c>
      <c r="BL77" s="186" t="s">
        <v>212</v>
      </c>
      <c r="BN77" s="190"/>
      <c r="BO77" s="190"/>
      <c r="BP77" s="190"/>
      <c r="BQ77" s="190"/>
      <c r="BR77" s="190">
        <f t="shared" si="56"/>
        <v>0</v>
      </c>
      <c r="BS77" s="190">
        <f t="shared" si="45"/>
        <v>216000</v>
      </c>
      <c r="BT77" s="190"/>
      <c r="BU77" s="444">
        <f t="shared" si="46"/>
        <v>216000</v>
      </c>
      <c r="BV77" s="167">
        <f t="shared" si="0"/>
        <v>216000</v>
      </c>
    </row>
    <row r="78" spans="1:74" x14ac:dyDescent="0.25">
      <c r="A78" s="135"/>
      <c r="B78" s="586" t="s">
        <v>1110</v>
      </c>
      <c r="C78" s="192" t="s">
        <v>126</v>
      </c>
      <c r="D78" s="186" t="s">
        <v>65</v>
      </c>
      <c r="E78" s="193" t="s">
        <v>399</v>
      </c>
      <c r="F78" s="8">
        <f t="shared" si="33"/>
        <v>0</v>
      </c>
      <c r="G78" s="464">
        <f t="shared" si="34"/>
        <v>0</v>
      </c>
      <c r="H78" s="464">
        <f t="shared" si="35"/>
        <v>0</v>
      </c>
      <c r="I78" s="464">
        <f t="shared" si="47"/>
        <v>0</v>
      </c>
      <c r="J78" s="464"/>
      <c r="K78" s="464"/>
      <c r="L78" s="464"/>
      <c r="M78" s="464"/>
      <c r="N78" s="464"/>
      <c r="O78" s="7"/>
      <c r="P78" s="7"/>
      <c r="Q78" s="7"/>
      <c r="R78" s="8">
        <f t="shared" si="48"/>
        <v>0</v>
      </c>
      <c r="S78" s="8">
        <f t="shared" si="49"/>
        <v>0</v>
      </c>
      <c r="T78" s="8">
        <f t="shared" si="50"/>
        <v>0</v>
      </c>
      <c r="U78" s="8">
        <f t="shared" si="51"/>
        <v>0</v>
      </c>
      <c r="V78" s="167">
        <f t="shared" si="52"/>
        <v>0</v>
      </c>
      <c r="W78" s="167">
        <f t="shared" si="53"/>
        <v>0</v>
      </c>
      <c r="X78" s="167">
        <f t="shared" si="54"/>
        <v>0</v>
      </c>
      <c r="Y78" s="167">
        <f t="shared" si="55"/>
        <v>0</v>
      </c>
      <c r="Z78" s="8"/>
      <c r="AA78" s="167"/>
      <c r="AB78" s="8"/>
      <c r="AC78" s="167"/>
      <c r="AD78" s="8"/>
      <c r="AE78" s="167"/>
      <c r="AF78" s="8"/>
      <c r="AG78" s="167"/>
      <c r="AH78" s="8"/>
      <c r="AI78" s="167"/>
      <c r="AJ78" s="8"/>
      <c r="AK78" s="167"/>
      <c r="AL78" s="8"/>
      <c r="AM78" s="167"/>
      <c r="AN78" s="8"/>
      <c r="AO78" s="167"/>
      <c r="AP78" s="8"/>
      <c r="AQ78" s="167"/>
      <c r="AR78" s="8"/>
      <c r="AS78" s="167"/>
      <c r="AT78" s="8"/>
      <c r="AU78" s="167"/>
      <c r="AV78" s="8"/>
      <c r="AW78" s="167"/>
      <c r="AX78" s="8"/>
      <c r="AY78" s="167"/>
      <c r="AZ78" s="8"/>
      <c r="BA78" s="167"/>
      <c r="BB78" s="8"/>
      <c r="BC78" s="167"/>
      <c r="BD78" s="8"/>
      <c r="BE78" s="167"/>
      <c r="BF78" s="8"/>
      <c r="BG78" s="167"/>
      <c r="BH78" s="8">
        <v>0</v>
      </c>
      <c r="BI78" s="167">
        <f t="shared" si="10"/>
        <v>0</v>
      </c>
      <c r="BJ78" s="8">
        <f t="shared" si="20"/>
        <v>0</v>
      </c>
      <c r="BK78" s="7">
        <f t="shared" si="21"/>
        <v>0</v>
      </c>
      <c r="BL78" s="186" t="s">
        <v>212</v>
      </c>
      <c r="BN78" s="190"/>
      <c r="BO78" s="190"/>
      <c r="BP78" s="190"/>
      <c r="BQ78" s="190"/>
      <c r="BR78" s="190">
        <f t="shared" si="56"/>
        <v>0</v>
      </c>
      <c r="BS78" s="190">
        <f t="shared" si="45"/>
        <v>0</v>
      </c>
      <c r="BT78" s="190"/>
      <c r="BU78" s="444">
        <f t="shared" si="46"/>
        <v>0</v>
      </c>
      <c r="BV78" s="167">
        <f t="shared" si="0"/>
        <v>0</v>
      </c>
    </row>
    <row r="79" spans="1:74" s="180" customFormat="1" x14ac:dyDescent="0.25">
      <c r="A79" s="135"/>
      <c r="B79" s="207"/>
      <c r="C79" s="185" t="s">
        <v>393</v>
      </c>
      <c r="D79" s="204" t="s">
        <v>111</v>
      </c>
      <c r="E79" s="205" t="s">
        <v>111</v>
      </c>
      <c r="F79" s="16">
        <f>SUM(F53:F78)</f>
        <v>265</v>
      </c>
      <c r="G79" s="16">
        <f t="shared" ref="G79:BK79" si="57">SUM(G53:G78)</f>
        <v>27422000</v>
      </c>
      <c r="H79" s="16">
        <f t="shared" si="57"/>
        <v>13711000</v>
      </c>
      <c r="I79" s="16">
        <f t="shared" si="57"/>
        <v>13711000</v>
      </c>
      <c r="J79" s="16">
        <f t="shared" si="57"/>
        <v>0</v>
      </c>
      <c r="K79" s="16">
        <f t="shared" si="57"/>
        <v>0</v>
      </c>
      <c r="L79" s="16">
        <f t="shared" si="57"/>
        <v>0</v>
      </c>
      <c r="M79" s="16">
        <f t="shared" si="57"/>
        <v>0</v>
      </c>
      <c r="N79" s="16">
        <f t="shared" si="57"/>
        <v>0</v>
      </c>
      <c r="O79" s="16">
        <f t="shared" si="57"/>
        <v>0</v>
      </c>
      <c r="P79" s="16">
        <f t="shared" si="57"/>
        <v>0</v>
      </c>
      <c r="Q79" s="16">
        <f t="shared" si="57"/>
        <v>0</v>
      </c>
      <c r="R79" s="16">
        <f t="shared" si="57"/>
        <v>63.25</v>
      </c>
      <c r="S79" s="16">
        <f t="shared" si="57"/>
        <v>63.25</v>
      </c>
      <c r="T79" s="16">
        <f t="shared" si="57"/>
        <v>63.25</v>
      </c>
      <c r="U79" s="16">
        <f t="shared" si="57"/>
        <v>63.25</v>
      </c>
      <c r="V79" s="16">
        <f t="shared" si="57"/>
        <v>6705500</v>
      </c>
      <c r="W79" s="16">
        <f t="shared" si="57"/>
        <v>6705500</v>
      </c>
      <c r="X79" s="16">
        <f t="shared" si="57"/>
        <v>6705500</v>
      </c>
      <c r="Y79" s="16">
        <f t="shared" si="57"/>
        <v>6705500</v>
      </c>
      <c r="Z79" s="16">
        <f t="shared" si="57"/>
        <v>0</v>
      </c>
      <c r="AA79" s="16">
        <f t="shared" si="57"/>
        <v>0</v>
      </c>
      <c r="AB79" s="16">
        <f t="shared" si="57"/>
        <v>0</v>
      </c>
      <c r="AC79" s="16">
        <f t="shared" si="57"/>
        <v>0</v>
      </c>
      <c r="AD79" s="16">
        <f t="shared" si="57"/>
        <v>0</v>
      </c>
      <c r="AE79" s="16">
        <f t="shared" si="57"/>
        <v>0</v>
      </c>
      <c r="AF79" s="16">
        <f t="shared" si="57"/>
        <v>0</v>
      </c>
      <c r="AG79" s="16">
        <f t="shared" si="57"/>
        <v>0</v>
      </c>
      <c r="AH79" s="16">
        <f t="shared" si="57"/>
        <v>0</v>
      </c>
      <c r="AI79" s="16">
        <f t="shared" si="57"/>
        <v>0</v>
      </c>
      <c r="AJ79" s="16">
        <f t="shared" si="57"/>
        <v>0</v>
      </c>
      <c r="AK79" s="16">
        <f t="shared" si="57"/>
        <v>0</v>
      </c>
      <c r="AL79" s="16">
        <f t="shared" si="57"/>
        <v>0</v>
      </c>
      <c r="AM79" s="16">
        <f t="shared" si="57"/>
        <v>0</v>
      </c>
      <c r="AN79" s="16">
        <f t="shared" si="57"/>
        <v>0</v>
      </c>
      <c r="AO79" s="16">
        <f t="shared" si="57"/>
        <v>0</v>
      </c>
      <c r="AP79" s="16">
        <f t="shared" si="57"/>
        <v>0</v>
      </c>
      <c r="AQ79" s="16">
        <f t="shared" si="57"/>
        <v>0</v>
      </c>
      <c r="AR79" s="16">
        <f t="shared" si="57"/>
        <v>0</v>
      </c>
      <c r="AS79" s="16">
        <f t="shared" si="57"/>
        <v>0</v>
      </c>
      <c r="AT79" s="16">
        <f t="shared" si="57"/>
        <v>0</v>
      </c>
      <c r="AU79" s="16">
        <f t="shared" si="57"/>
        <v>0</v>
      </c>
      <c r="AV79" s="16">
        <f t="shared" si="57"/>
        <v>0</v>
      </c>
      <c r="AW79" s="16">
        <f t="shared" si="57"/>
        <v>0</v>
      </c>
      <c r="AX79" s="16">
        <f t="shared" si="57"/>
        <v>0</v>
      </c>
      <c r="AY79" s="16">
        <f t="shared" si="57"/>
        <v>0</v>
      </c>
      <c r="AZ79" s="16">
        <f t="shared" si="57"/>
        <v>0</v>
      </c>
      <c r="BA79" s="16">
        <f t="shared" si="57"/>
        <v>0</v>
      </c>
      <c r="BB79" s="16">
        <f t="shared" si="57"/>
        <v>0</v>
      </c>
      <c r="BC79" s="16">
        <f t="shared" si="57"/>
        <v>0</v>
      </c>
      <c r="BD79" s="16">
        <f t="shared" si="57"/>
        <v>0</v>
      </c>
      <c r="BE79" s="16">
        <f t="shared" si="57"/>
        <v>0</v>
      </c>
      <c r="BF79" s="16">
        <f t="shared" si="57"/>
        <v>0</v>
      </c>
      <c r="BG79" s="16">
        <f t="shared" si="57"/>
        <v>0</v>
      </c>
      <c r="BH79" s="16">
        <f t="shared" si="57"/>
        <v>265</v>
      </c>
      <c r="BI79" s="16">
        <f t="shared" si="57"/>
        <v>27422000</v>
      </c>
      <c r="BJ79" s="16">
        <f t="shared" si="57"/>
        <v>265</v>
      </c>
      <c r="BK79" s="16">
        <f t="shared" si="57"/>
        <v>27422000</v>
      </c>
      <c r="BL79" s="204" t="s">
        <v>111</v>
      </c>
      <c r="BN79" s="206"/>
      <c r="BO79" s="206"/>
      <c r="BP79" s="206"/>
      <c r="BQ79" s="206"/>
      <c r="BR79" s="206">
        <f t="shared" si="56"/>
        <v>0</v>
      </c>
      <c r="BS79" s="206">
        <f>G79</f>
        <v>27422000</v>
      </c>
      <c r="BT79" s="206"/>
      <c r="BU79" s="467">
        <f t="shared" ref="BU79:BU87" si="58">BS79+BT79</f>
        <v>27422000</v>
      </c>
      <c r="BV79" s="468">
        <f t="shared" ref="BV79:BV87" si="59">BR79+BU79</f>
        <v>27422000</v>
      </c>
    </row>
    <row r="80" spans="1:74" x14ac:dyDescent="0.25">
      <c r="A80" s="135"/>
      <c r="B80" s="169"/>
      <c r="C80" s="185" t="s">
        <v>331</v>
      </c>
      <c r="D80" s="186"/>
      <c r="E80" s="186"/>
      <c r="F80" s="8"/>
      <c r="G80" s="464"/>
      <c r="H80" s="464"/>
      <c r="I80" s="464"/>
      <c r="J80" s="464"/>
      <c r="K80" s="464"/>
      <c r="L80" s="464"/>
      <c r="M80" s="464"/>
      <c r="N80" s="464"/>
      <c r="O80" s="7"/>
      <c r="P80" s="7"/>
      <c r="Q80" s="7"/>
      <c r="R80" s="8"/>
      <c r="S80" s="8"/>
      <c r="T80" s="8"/>
      <c r="U80" s="8"/>
      <c r="V80" s="167"/>
      <c r="W80" s="167"/>
      <c r="X80" s="167"/>
      <c r="Y80" s="167"/>
      <c r="Z80" s="8"/>
      <c r="AA80" s="167"/>
      <c r="AB80" s="8"/>
      <c r="AC80" s="167"/>
      <c r="AD80" s="8"/>
      <c r="AE80" s="167"/>
      <c r="AF80" s="8"/>
      <c r="AG80" s="167"/>
      <c r="AH80" s="8"/>
      <c r="AI80" s="167"/>
      <c r="AJ80" s="8"/>
      <c r="AK80" s="167"/>
      <c r="AL80" s="8"/>
      <c r="AM80" s="167"/>
      <c r="AN80" s="8"/>
      <c r="AO80" s="167"/>
      <c r="AP80" s="8"/>
      <c r="AQ80" s="167"/>
      <c r="AR80" s="8"/>
      <c r="AS80" s="167"/>
      <c r="AT80" s="8"/>
      <c r="AU80" s="167"/>
      <c r="AV80" s="8"/>
      <c r="AW80" s="167"/>
      <c r="AX80" s="8"/>
      <c r="AY80" s="167"/>
      <c r="AZ80" s="8"/>
      <c r="BA80" s="167"/>
      <c r="BB80" s="8"/>
      <c r="BC80" s="167"/>
      <c r="BD80" s="8"/>
      <c r="BE80" s="167"/>
      <c r="BF80" s="8"/>
      <c r="BG80" s="167"/>
      <c r="BH80" s="8"/>
      <c r="BI80" s="167"/>
      <c r="BJ80" s="8"/>
      <c r="BK80" s="7"/>
      <c r="BL80" s="186"/>
      <c r="BN80" s="190"/>
      <c r="BO80" s="190"/>
      <c r="BP80" s="190"/>
      <c r="BQ80" s="190"/>
      <c r="BR80" s="190">
        <f t="shared" si="56"/>
        <v>0</v>
      </c>
      <c r="BS80" s="190">
        <f>G80</f>
        <v>0</v>
      </c>
      <c r="BT80" s="190"/>
      <c r="BU80" s="444">
        <f t="shared" si="58"/>
        <v>0</v>
      </c>
      <c r="BV80" s="167">
        <f t="shared" si="59"/>
        <v>0</v>
      </c>
    </row>
    <row r="81" spans="1:74" x14ac:dyDescent="0.25">
      <c r="A81" s="135"/>
      <c r="B81" s="586" t="s">
        <v>1111</v>
      </c>
      <c r="C81" s="192" t="s">
        <v>394</v>
      </c>
      <c r="D81" s="186" t="s">
        <v>65</v>
      </c>
      <c r="E81" s="193">
        <v>100000</v>
      </c>
      <c r="F81" s="8">
        <f>BJ81</f>
        <v>12</v>
      </c>
      <c r="G81" s="464">
        <f>F81*E81</f>
        <v>1200000</v>
      </c>
      <c r="H81" s="464">
        <f t="shared" ref="H81:H87" si="60">G81*0.5</f>
        <v>600000</v>
      </c>
      <c r="I81" s="464">
        <f>G81*0.5</f>
        <v>600000</v>
      </c>
      <c r="J81" s="464"/>
      <c r="K81" s="464"/>
      <c r="L81" s="464"/>
      <c r="M81" s="464"/>
      <c r="N81" s="464"/>
      <c r="O81" s="7"/>
      <c r="P81" s="7"/>
      <c r="Q81" s="7"/>
      <c r="R81" s="8">
        <f>F81*0.25</f>
        <v>3</v>
      </c>
      <c r="S81" s="8">
        <f>F81*0.25</f>
        <v>3</v>
      </c>
      <c r="T81" s="8">
        <f>F81*0.25</f>
        <v>3</v>
      </c>
      <c r="U81" s="8">
        <f>F81*0.25</f>
        <v>3</v>
      </c>
      <c r="V81" s="167">
        <f>R81*E81</f>
        <v>300000</v>
      </c>
      <c r="W81" s="167">
        <f>S81*E81</f>
        <v>300000</v>
      </c>
      <c r="X81" s="167">
        <f>T81*E81</f>
        <v>300000</v>
      </c>
      <c r="Y81" s="167">
        <f>U81*E81</f>
        <v>300000</v>
      </c>
      <c r="Z81" s="8"/>
      <c r="AA81" s="167"/>
      <c r="AB81" s="8"/>
      <c r="AC81" s="167"/>
      <c r="AD81" s="8"/>
      <c r="AE81" s="167"/>
      <c r="AF81" s="8"/>
      <c r="AG81" s="167"/>
      <c r="AH81" s="8"/>
      <c r="AI81" s="167"/>
      <c r="AJ81" s="8"/>
      <c r="AK81" s="167"/>
      <c r="AL81" s="8"/>
      <c r="AM81" s="167"/>
      <c r="AN81" s="8"/>
      <c r="AO81" s="167"/>
      <c r="AP81" s="8"/>
      <c r="AQ81" s="167"/>
      <c r="AR81" s="8"/>
      <c r="AS81" s="167"/>
      <c r="AT81" s="8"/>
      <c r="AU81" s="167"/>
      <c r="AV81" s="8"/>
      <c r="AW81" s="167"/>
      <c r="AX81" s="8"/>
      <c r="AY81" s="167"/>
      <c r="AZ81" s="8"/>
      <c r="BA81" s="167"/>
      <c r="BB81" s="8"/>
      <c r="BC81" s="167"/>
      <c r="BD81" s="8"/>
      <c r="BE81" s="167"/>
      <c r="BF81" s="8"/>
      <c r="BG81" s="167"/>
      <c r="BH81" s="8">
        <v>12</v>
      </c>
      <c r="BI81" s="167">
        <f t="shared" ref="BI81:BI87" si="61">BH81*E81</f>
        <v>1200000</v>
      </c>
      <c r="BJ81" s="8">
        <f t="shared" si="20"/>
        <v>12</v>
      </c>
      <c r="BK81" s="7">
        <f t="shared" si="21"/>
        <v>1200000</v>
      </c>
      <c r="BL81" s="186" t="s">
        <v>212</v>
      </c>
      <c r="BN81" s="190"/>
      <c r="BO81" s="190"/>
      <c r="BP81" s="190"/>
      <c r="BQ81" s="190"/>
      <c r="BR81" s="190">
        <f t="shared" si="56"/>
        <v>0</v>
      </c>
      <c r="BS81" s="190"/>
      <c r="BT81" s="190">
        <f>BK81</f>
        <v>1200000</v>
      </c>
      <c r="BU81" s="444">
        <f t="shared" si="58"/>
        <v>1200000</v>
      </c>
      <c r="BV81" s="167">
        <f t="shared" si="59"/>
        <v>1200000</v>
      </c>
    </row>
    <row r="82" spans="1:74" x14ac:dyDescent="0.25">
      <c r="A82" s="135"/>
      <c r="B82" s="586" t="s">
        <v>1112</v>
      </c>
      <c r="C82" s="192" t="s">
        <v>133</v>
      </c>
      <c r="D82" s="186" t="s">
        <v>16</v>
      </c>
      <c r="E82" s="200">
        <v>1200000</v>
      </c>
      <c r="F82" s="8">
        <f t="shared" ref="F82:F87" si="62">BJ82</f>
        <v>1</v>
      </c>
      <c r="G82" s="464">
        <f t="shared" ref="G82:G87" si="63">F82*E82</f>
        <v>1200000</v>
      </c>
      <c r="H82" s="464">
        <f t="shared" si="60"/>
        <v>600000</v>
      </c>
      <c r="I82" s="464">
        <f t="shared" ref="I82:I87" si="64">G82*0.5</f>
        <v>600000</v>
      </c>
      <c r="J82" s="464"/>
      <c r="K82" s="464"/>
      <c r="L82" s="464"/>
      <c r="M82" s="464"/>
      <c r="N82" s="464"/>
      <c r="O82" s="7"/>
      <c r="P82" s="7"/>
      <c r="Q82" s="7"/>
      <c r="R82" s="8">
        <f t="shared" ref="R82:R87" si="65">F82*0.25</f>
        <v>0.25</v>
      </c>
      <c r="S82" s="8">
        <f t="shared" ref="S82:S87" si="66">F82*0.25</f>
        <v>0.25</v>
      </c>
      <c r="T82" s="8">
        <f t="shared" ref="T82:T87" si="67">F82*0.25</f>
        <v>0.25</v>
      </c>
      <c r="U82" s="8">
        <f t="shared" ref="U82:U87" si="68">F82*0.25</f>
        <v>0.25</v>
      </c>
      <c r="V82" s="167">
        <f t="shared" ref="V82:V87" si="69">R82*E82</f>
        <v>300000</v>
      </c>
      <c r="W82" s="167">
        <f t="shared" ref="W82:W87" si="70">S82*E82</f>
        <v>300000</v>
      </c>
      <c r="X82" s="167">
        <f t="shared" ref="X82:X87" si="71">T82*E82</f>
        <v>300000</v>
      </c>
      <c r="Y82" s="167">
        <f t="shared" ref="Y82:Y87" si="72">U82*E82</f>
        <v>300000</v>
      </c>
      <c r="Z82" s="8"/>
      <c r="AA82" s="167"/>
      <c r="AB82" s="8"/>
      <c r="AC82" s="167"/>
      <c r="AD82" s="8"/>
      <c r="AE82" s="167"/>
      <c r="AF82" s="8"/>
      <c r="AG82" s="167"/>
      <c r="AH82" s="8"/>
      <c r="AI82" s="167"/>
      <c r="AJ82" s="8"/>
      <c r="AK82" s="167"/>
      <c r="AL82" s="8"/>
      <c r="AM82" s="167"/>
      <c r="AN82" s="8"/>
      <c r="AO82" s="167"/>
      <c r="AP82" s="8"/>
      <c r="AQ82" s="167"/>
      <c r="AR82" s="8"/>
      <c r="AS82" s="167"/>
      <c r="AT82" s="8"/>
      <c r="AU82" s="167"/>
      <c r="AV82" s="8"/>
      <c r="AW82" s="167"/>
      <c r="AX82" s="8"/>
      <c r="AY82" s="167"/>
      <c r="AZ82" s="8"/>
      <c r="BA82" s="167"/>
      <c r="BB82" s="8"/>
      <c r="BC82" s="167"/>
      <c r="BD82" s="8"/>
      <c r="BE82" s="167"/>
      <c r="BF82" s="8"/>
      <c r="BG82" s="167"/>
      <c r="BH82" s="8">
        <v>1</v>
      </c>
      <c r="BI82" s="167">
        <f t="shared" si="61"/>
        <v>1200000</v>
      </c>
      <c r="BJ82" s="8">
        <f t="shared" si="20"/>
        <v>1</v>
      </c>
      <c r="BK82" s="7">
        <f t="shared" si="21"/>
        <v>1200000</v>
      </c>
      <c r="BL82" s="186" t="s">
        <v>212</v>
      </c>
      <c r="BN82" s="190"/>
      <c r="BO82" s="190"/>
      <c r="BP82" s="190"/>
      <c r="BQ82" s="190"/>
      <c r="BR82" s="190">
        <f t="shared" si="56"/>
        <v>0</v>
      </c>
      <c r="BS82" s="190"/>
      <c r="BT82" s="190">
        <f t="shared" ref="BT82:BT87" si="73">BK82</f>
        <v>1200000</v>
      </c>
      <c r="BU82" s="444">
        <f t="shared" si="58"/>
        <v>1200000</v>
      </c>
      <c r="BV82" s="167">
        <f t="shared" si="59"/>
        <v>1200000</v>
      </c>
    </row>
    <row r="83" spans="1:74" x14ac:dyDescent="0.25">
      <c r="A83" s="135"/>
      <c r="B83" s="586" t="s">
        <v>1113</v>
      </c>
      <c r="C83" s="192" t="s">
        <v>130</v>
      </c>
      <c r="D83" s="186" t="s">
        <v>65</v>
      </c>
      <c r="E83" s="193">
        <v>500000</v>
      </c>
      <c r="F83" s="8">
        <f t="shared" si="62"/>
        <v>12</v>
      </c>
      <c r="G83" s="464">
        <f t="shared" si="63"/>
        <v>6000000</v>
      </c>
      <c r="H83" s="464">
        <f t="shared" si="60"/>
        <v>3000000</v>
      </c>
      <c r="I83" s="464">
        <f t="shared" si="64"/>
        <v>3000000</v>
      </c>
      <c r="J83" s="464"/>
      <c r="K83" s="464"/>
      <c r="L83" s="464"/>
      <c r="M83" s="464"/>
      <c r="N83" s="464"/>
      <c r="O83" s="7"/>
      <c r="P83" s="7"/>
      <c r="Q83" s="7"/>
      <c r="R83" s="8">
        <f t="shared" si="65"/>
        <v>3</v>
      </c>
      <c r="S83" s="8">
        <f t="shared" si="66"/>
        <v>3</v>
      </c>
      <c r="T83" s="8">
        <f t="shared" si="67"/>
        <v>3</v>
      </c>
      <c r="U83" s="8">
        <f t="shared" si="68"/>
        <v>3</v>
      </c>
      <c r="V83" s="167">
        <f t="shared" si="69"/>
        <v>1500000</v>
      </c>
      <c r="W83" s="167">
        <f t="shared" si="70"/>
        <v>1500000</v>
      </c>
      <c r="X83" s="167">
        <f t="shared" si="71"/>
        <v>1500000</v>
      </c>
      <c r="Y83" s="167">
        <f t="shared" si="72"/>
        <v>1500000</v>
      </c>
      <c r="Z83" s="8"/>
      <c r="AA83" s="167"/>
      <c r="AB83" s="8"/>
      <c r="AC83" s="167"/>
      <c r="AD83" s="8"/>
      <c r="AE83" s="167"/>
      <c r="AF83" s="8"/>
      <c r="AG83" s="167"/>
      <c r="AH83" s="8"/>
      <c r="AI83" s="167"/>
      <c r="AJ83" s="8"/>
      <c r="AK83" s="167"/>
      <c r="AL83" s="8"/>
      <c r="AM83" s="167"/>
      <c r="AN83" s="8"/>
      <c r="AO83" s="167"/>
      <c r="AP83" s="8"/>
      <c r="AQ83" s="167"/>
      <c r="AR83" s="8"/>
      <c r="AS83" s="167"/>
      <c r="AT83" s="8"/>
      <c r="AU83" s="167"/>
      <c r="AV83" s="8"/>
      <c r="AW83" s="167"/>
      <c r="AX83" s="8"/>
      <c r="AY83" s="167"/>
      <c r="AZ83" s="8"/>
      <c r="BA83" s="167"/>
      <c r="BB83" s="8"/>
      <c r="BC83" s="167"/>
      <c r="BD83" s="8"/>
      <c r="BE83" s="167"/>
      <c r="BF83" s="8"/>
      <c r="BG83" s="167"/>
      <c r="BH83" s="8">
        <v>12</v>
      </c>
      <c r="BI83" s="167">
        <f t="shared" si="61"/>
        <v>6000000</v>
      </c>
      <c r="BJ83" s="8">
        <f t="shared" si="20"/>
        <v>12</v>
      </c>
      <c r="BK83" s="7">
        <f t="shared" si="21"/>
        <v>6000000</v>
      </c>
      <c r="BL83" s="186" t="s">
        <v>212</v>
      </c>
      <c r="BN83" s="190"/>
      <c r="BO83" s="190"/>
      <c r="BP83" s="190"/>
      <c r="BQ83" s="190"/>
      <c r="BR83" s="190">
        <f t="shared" si="56"/>
        <v>0</v>
      </c>
      <c r="BS83" s="190"/>
      <c r="BT83" s="190">
        <f t="shared" si="73"/>
        <v>6000000</v>
      </c>
      <c r="BU83" s="444">
        <f t="shared" si="58"/>
        <v>6000000</v>
      </c>
      <c r="BV83" s="167">
        <f t="shared" si="59"/>
        <v>6000000</v>
      </c>
    </row>
    <row r="84" spans="1:74" ht="63" x14ac:dyDescent="0.25">
      <c r="A84" s="135"/>
      <c r="B84" s="586" t="s">
        <v>1114</v>
      </c>
      <c r="C84" s="199" t="s">
        <v>916</v>
      </c>
      <c r="D84" s="186" t="s">
        <v>16</v>
      </c>
      <c r="E84" s="193">
        <f>4000000+11076000</f>
        <v>15076000</v>
      </c>
      <c r="F84" s="8">
        <f t="shared" si="62"/>
        <v>1</v>
      </c>
      <c r="G84" s="464">
        <f t="shared" si="63"/>
        <v>15076000</v>
      </c>
      <c r="H84" s="464">
        <f t="shared" si="60"/>
        <v>7538000</v>
      </c>
      <c r="I84" s="464">
        <f t="shared" si="64"/>
        <v>7538000</v>
      </c>
      <c r="J84" s="464"/>
      <c r="K84" s="464"/>
      <c r="L84" s="464"/>
      <c r="M84" s="464"/>
      <c r="N84" s="464"/>
      <c r="O84" s="7"/>
      <c r="P84" s="7"/>
      <c r="Q84" s="7"/>
      <c r="R84" s="8">
        <f t="shared" si="65"/>
        <v>0.25</v>
      </c>
      <c r="S84" s="8">
        <f t="shared" si="66"/>
        <v>0.25</v>
      </c>
      <c r="T84" s="8">
        <f t="shared" si="67"/>
        <v>0.25</v>
      </c>
      <c r="U84" s="8">
        <f t="shared" si="68"/>
        <v>0.25</v>
      </c>
      <c r="V84" s="167">
        <f t="shared" si="69"/>
        <v>3769000</v>
      </c>
      <c r="W84" s="167">
        <f t="shared" si="70"/>
        <v>3769000</v>
      </c>
      <c r="X84" s="167">
        <f t="shared" si="71"/>
        <v>3769000</v>
      </c>
      <c r="Y84" s="167">
        <f t="shared" si="72"/>
        <v>3769000</v>
      </c>
      <c r="Z84" s="8"/>
      <c r="AA84" s="167"/>
      <c r="AB84" s="8"/>
      <c r="AC84" s="167"/>
      <c r="AD84" s="8"/>
      <c r="AE84" s="167"/>
      <c r="AF84" s="8"/>
      <c r="AG84" s="167"/>
      <c r="AH84" s="8"/>
      <c r="AI84" s="167"/>
      <c r="AJ84" s="8"/>
      <c r="AK84" s="167"/>
      <c r="AL84" s="8"/>
      <c r="AM84" s="167"/>
      <c r="AN84" s="8"/>
      <c r="AO84" s="167"/>
      <c r="AP84" s="8"/>
      <c r="AQ84" s="167"/>
      <c r="AR84" s="8"/>
      <c r="AS84" s="167"/>
      <c r="AT84" s="8"/>
      <c r="AU84" s="167"/>
      <c r="AV84" s="8"/>
      <c r="AW84" s="167"/>
      <c r="AX84" s="8"/>
      <c r="AY84" s="167"/>
      <c r="AZ84" s="8"/>
      <c r="BA84" s="167"/>
      <c r="BB84" s="8"/>
      <c r="BC84" s="167"/>
      <c r="BD84" s="8"/>
      <c r="BE84" s="167"/>
      <c r="BF84" s="8"/>
      <c r="BG84" s="167"/>
      <c r="BH84" s="8">
        <v>1</v>
      </c>
      <c r="BI84" s="167">
        <f t="shared" si="61"/>
        <v>15076000</v>
      </c>
      <c r="BJ84" s="8">
        <f t="shared" si="20"/>
        <v>1</v>
      </c>
      <c r="BK84" s="7">
        <f t="shared" si="21"/>
        <v>15076000</v>
      </c>
      <c r="BL84" s="186" t="s">
        <v>212</v>
      </c>
      <c r="BN84" s="190"/>
      <c r="BO84" s="190"/>
      <c r="BP84" s="190"/>
      <c r="BQ84" s="190"/>
      <c r="BR84" s="190">
        <f t="shared" si="56"/>
        <v>0</v>
      </c>
      <c r="BS84" s="190"/>
      <c r="BT84" s="190">
        <f t="shared" si="73"/>
        <v>15076000</v>
      </c>
      <c r="BU84" s="444">
        <f t="shared" si="58"/>
        <v>15076000</v>
      </c>
      <c r="BV84" s="167">
        <f t="shared" si="59"/>
        <v>15076000</v>
      </c>
    </row>
    <row r="85" spans="1:74" x14ac:dyDescent="0.25">
      <c r="A85" s="135"/>
      <c r="B85" s="586" t="s">
        <v>1115</v>
      </c>
      <c r="C85" s="192" t="s">
        <v>899</v>
      </c>
      <c r="D85" s="186" t="s">
        <v>16</v>
      </c>
      <c r="E85" s="193">
        <v>500000</v>
      </c>
      <c r="F85" s="8">
        <f t="shared" si="62"/>
        <v>1</v>
      </c>
      <c r="G85" s="464">
        <f t="shared" si="63"/>
        <v>500000</v>
      </c>
      <c r="H85" s="464">
        <f t="shared" si="60"/>
        <v>250000</v>
      </c>
      <c r="I85" s="464">
        <f t="shared" si="64"/>
        <v>250000</v>
      </c>
      <c r="J85" s="464"/>
      <c r="K85" s="464"/>
      <c r="L85" s="464"/>
      <c r="M85" s="464"/>
      <c r="N85" s="464"/>
      <c r="O85" s="7"/>
      <c r="P85" s="7"/>
      <c r="Q85" s="7"/>
      <c r="R85" s="8">
        <f t="shared" si="65"/>
        <v>0.25</v>
      </c>
      <c r="S85" s="8">
        <f t="shared" si="66"/>
        <v>0.25</v>
      </c>
      <c r="T85" s="8">
        <f t="shared" si="67"/>
        <v>0.25</v>
      </c>
      <c r="U85" s="8">
        <f t="shared" si="68"/>
        <v>0.25</v>
      </c>
      <c r="V85" s="167">
        <f t="shared" si="69"/>
        <v>125000</v>
      </c>
      <c r="W85" s="167">
        <f t="shared" si="70"/>
        <v>125000</v>
      </c>
      <c r="X85" s="167">
        <f t="shared" si="71"/>
        <v>125000</v>
      </c>
      <c r="Y85" s="167">
        <f t="shared" si="72"/>
        <v>125000</v>
      </c>
      <c r="Z85" s="8"/>
      <c r="AA85" s="167"/>
      <c r="AB85" s="8"/>
      <c r="AC85" s="167"/>
      <c r="AD85" s="8"/>
      <c r="AE85" s="167"/>
      <c r="AF85" s="8"/>
      <c r="AG85" s="167"/>
      <c r="AH85" s="8"/>
      <c r="AI85" s="167"/>
      <c r="AJ85" s="8"/>
      <c r="AK85" s="167"/>
      <c r="AL85" s="8"/>
      <c r="AM85" s="167"/>
      <c r="AN85" s="8"/>
      <c r="AO85" s="167"/>
      <c r="AP85" s="8"/>
      <c r="AQ85" s="167"/>
      <c r="AR85" s="8"/>
      <c r="AS85" s="167"/>
      <c r="AT85" s="8"/>
      <c r="AU85" s="167"/>
      <c r="AV85" s="8"/>
      <c r="AW85" s="167"/>
      <c r="AX85" s="8"/>
      <c r="AY85" s="167"/>
      <c r="AZ85" s="8"/>
      <c r="BA85" s="167"/>
      <c r="BB85" s="8"/>
      <c r="BC85" s="167"/>
      <c r="BD85" s="8"/>
      <c r="BE85" s="167"/>
      <c r="BF85" s="8"/>
      <c r="BG85" s="167"/>
      <c r="BH85" s="8">
        <v>1</v>
      </c>
      <c r="BI85" s="167">
        <f t="shared" si="61"/>
        <v>500000</v>
      </c>
      <c r="BJ85" s="8">
        <f t="shared" si="20"/>
        <v>1</v>
      </c>
      <c r="BK85" s="7">
        <f t="shared" si="21"/>
        <v>500000</v>
      </c>
      <c r="BL85" s="186" t="s">
        <v>212</v>
      </c>
      <c r="BN85" s="190"/>
      <c r="BO85" s="190"/>
      <c r="BP85" s="190"/>
      <c r="BQ85" s="190"/>
      <c r="BR85" s="190">
        <f t="shared" si="56"/>
        <v>0</v>
      </c>
      <c r="BS85" s="190"/>
      <c r="BT85" s="190">
        <f t="shared" si="73"/>
        <v>500000</v>
      </c>
      <c r="BU85" s="444">
        <f t="shared" si="58"/>
        <v>500000</v>
      </c>
      <c r="BV85" s="167">
        <f t="shared" si="59"/>
        <v>500000</v>
      </c>
    </row>
    <row r="86" spans="1:74" x14ac:dyDescent="0.25">
      <c r="A86" s="135"/>
      <c r="B86" s="586" t="s">
        <v>1116</v>
      </c>
      <c r="C86" s="192" t="s">
        <v>128</v>
      </c>
      <c r="D86" s="186" t="s">
        <v>65</v>
      </c>
      <c r="E86" s="193">
        <v>10000</v>
      </c>
      <c r="F86" s="8">
        <f t="shared" si="62"/>
        <v>12</v>
      </c>
      <c r="G86" s="464">
        <f t="shared" si="63"/>
        <v>120000</v>
      </c>
      <c r="H86" s="464">
        <f t="shared" si="60"/>
        <v>60000</v>
      </c>
      <c r="I86" s="464">
        <f t="shared" si="64"/>
        <v>60000</v>
      </c>
      <c r="J86" s="464"/>
      <c r="K86" s="464"/>
      <c r="L86" s="464"/>
      <c r="M86" s="464"/>
      <c r="N86" s="464"/>
      <c r="O86" s="7"/>
      <c r="P86" s="7"/>
      <c r="Q86" s="7"/>
      <c r="R86" s="8">
        <f t="shared" si="65"/>
        <v>3</v>
      </c>
      <c r="S86" s="8">
        <f t="shared" si="66"/>
        <v>3</v>
      </c>
      <c r="T86" s="8">
        <f t="shared" si="67"/>
        <v>3</v>
      </c>
      <c r="U86" s="8">
        <f t="shared" si="68"/>
        <v>3</v>
      </c>
      <c r="V86" s="167">
        <f t="shared" si="69"/>
        <v>30000</v>
      </c>
      <c r="W86" s="167">
        <f t="shared" si="70"/>
        <v>30000</v>
      </c>
      <c r="X86" s="167">
        <f t="shared" si="71"/>
        <v>30000</v>
      </c>
      <c r="Y86" s="167">
        <f t="shared" si="72"/>
        <v>30000</v>
      </c>
      <c r="Z86" s="8"/>
      <c r="AA86" s="167"/>
      <c r="AB86" s="8"/>
      <c r="AC86" s="167"/>
      <c r="AD86" s="8"/>
      <c r="AE86" s="167"/>
      <c r="AF86" s="8"/>
      <c r="AG86" s="167"/>
      <c r="AH86" s="8"/>
      <c r="AI86" s="167"/>
      <c r="AJ86" s="8"/>
      <c r="AK86" s="167"/>
      <c r="AL86" s="8"/>
      <c r="AM86" s="167"/>
      <c r="AN86" s="8"/>
      <c r="AO86" s="167"/>
      <c r="AP86" s="8"/>
      <c r="AQ86" s="167"/>
      <c r="AR86" s="8"/>
      <c r="AS86" s="167"/>
      <c r="AT86" s="8"/>
      <c r="AU86" s="167"/>
      <c r="AV86" s="8"/>
      <c r="AW86" s="167"/>
      <c r="AX86" s="8"/>
      <c r="AY86" s="167"/>
      <c r="AZ86" s="8"/>
      <c r="BA86" s="167"/>
      <c r="BB86" s="8"/>
      <c r="BC86" s="167"/>
      <c r="BD86" s="8"/>
      <c r="BE86" s="167"/>
      <c r="BF86" s="8"/>
      <c r="BG86" s="167"/>
      <c r="BH86" s="8">
        <v>12</v>
      </c>
      <c r="BI86" s="167">
        <f t="shared" si="61"/>
        <v>120000</v>
      </c>
      <c r="BJ86" s="8">
        <f t="shared" si="20"/>
        <v>12</v>
      </c>
      <c r="BK86" s="7">
        <f t="shared" si="21"/>
        <v>120000</v>
      </c>
      <c r="BL86" s="186" t="s">
        <v>212</v>
      </c>
      <c r="BN86" s="190"/>
      <c r="BO86" s="190"/>
      <c r="BP86" s="190"/>
      <c r="BQ86" s="190"/>
      <c r="BR86" s="190">
        <f t="shared" si="56"/>
        <v>0</v>
      </c>
      <c r="BS86" s="190"/>
      <c r="BT86" s="190">
        <f t="shared" si="73"/>
        <v>120000</v>
      </c>
      <c r="BU86" s="444">
        <f t="shared" si="58"/>
        <v>120000</v>
      </c>
      <c r="BV86" s="167">
        <f t="shared" si="59"/>
        <v>120000</v>
      </c>
    </row>
    <row r="87" spans="1:74" x14ac:dyDescent="0.25">
      <c r="A87" s="135"/>
      <c r="B87" s="586" t="s">
        <v>1117</v>
      </c>
      <c r="C87" s="192" t="s">
        <v>129</v>
      </c>
      <c r="D87" s="186" t="s">
        <v>65</v>
      </c>
      <c r="E87" s="193" t="s">
        <v>398</v>
      </c>
      <c r="F87" s="8">
        <f t="shared" si="62"/>
        <v>0</v>
      </c>
      <c r="G87" s="464">
        <f t="shared" si="63"/>
        <v>0</v>
      </c>
      <c r="H87" s="464">
        <f t="shared" si="60"/>
        <v>0</v>
      </c>
      <c r="I87" s="464">
        <f t="shared" si="64"/>
        <v>0</v>
      </c>
      <c r="J87" s="464"/>
      <c r="K87" s="464"/>
      <c r="L87" s="464"/>
      <c r="M87" s="464"/>
      <c r="N87" s="464"/>
      <c r="O87" s="7"/>
      <c r="P87" s="7"/>
      <c r="Q87" s="7"/>
      <c r="R87" s="8">
        <f t="shared" si="65"/>
        <v>0</v>
      </c>
      <c r="S87" s="8">
        <f t="shared" si="66"/>
        <v>0</v>
      </c>
      <c r="T87" s="8">
        <f t="shared" si="67"/>
        <v>0</v>
      </c>
      <c r="U87" s="8">
        <f t="shared" si="68"/>
        <v>0</v>
      </c>
      <c r="V87" s="167">
        <f t="shared" si="69"/>
        <v>0</v>
      </c>
      <c r="W87" s="167">
        <f t="shared" si="70"/>
        <v>0</v>
      </c>
      <c r="X87" s="167">
        <f t="shared" si="71"/>
        <v>0</v>
      </c>
      <c r="Y87" s="167">
        <f t="shared" si="72"/>
        <v>0</v>
      </c>
      <c r="Z87" s="8"/>
      <c r="AA87" s="167"/>
      <c r="AB87" s="8"/>
      <c r="AC87" s="167"/>
      <c r="AD87" s="8"/>
      <c r="AE87" s="167"/>
      <c r="AF87" s="8"/>
      <c r="AG87" s="167"/>
      <c r="AH87" s="8"/>
      <c r="AI87" s="167"/>
      <c r="AJ87" s="8"/>
      <c r="AK87" s="167"/>
      <c r="AL87" s="8"/>
      <c r="AM87" s="167"/>
      <c r="AN87" s="8"/>
      <c r="AO87" s="167"/>
      <c r="AP87" s="8"/>
      <c r="AQ87" s="167"/>
      <c r="AR87" s="8"/>
      <c r="AS87" s="167"/>
      <c r="AT87" s="8"/>
      <c r="AU87" s="167"/>
      <c r="AV87" s="8"/>
      <c r="AW87" s="167"/>
      <c r="AX87" s="8"/>
      <c r="AY87" s="167"/>
      <c r="AZ87" s="8"/>
      <c r="BA87" s="167"/>
      <c r="BB87" s="8"/>
      <c r="BC87" s="167"/>
      <c r="BD87" s="8"/>
      <c r="BE87" s="167"/>
      <c r="BF87" s="8"/>
      <c r="BG87" s="167"/>
      <c r="BH87" s="8">
        <v>0</v>
      </c>
      <c r="BI87" s="167">
        <f t="shared" si="61"/>
        <v>0</v>
      </c>
      <c r="BJ87" s="8">
        <f t="shared" si="20"/>
        <v>0</v>
      </c>
      <c r="BK87" s="7">
        <f t="shared" si="21"/>
        <v>0</v>
      </c>
      <c r="BL87" s="186" t="s">
        <v>212</v>
      </c>
      <c r="BN87" s="190"/>
      <c r="BO87" s="190"/>
      <c r="BP87" s="190"/>
      <c r="BQ87" s="190"/>
      <c r="BR87" s="190">
        <f t="shared" si="56"/>
        <v>0</v>
      </c>
      <c r="BS87" s="190"/>
      <c r="BT87" s="190">
        <f t="shared" si="73"/>
        <v>0</v>
      </c>
      <c r="BU87" s="444">
        <f t="shared" si="58"/>
        <v>0</v>
      </c>
      <c r="BV87" s="167">
        <f t="shared" si="59"/>
        <v>0</v>
      </c>
    </row>
    <row r="88" spans="1:74" s="180" customFormat="1" x14ac:dyDescent="0.25">
      <c r="A88" s="135"/>
      <c r="B88" s="207"/>
      <c r="C88" s="185" t="s">
        <v>509</v>
      </c>
      <c r="D88" s="204" t="s">
        <v>111</v>
      </c>
      <c r="E88" s="205"/>
      <c r="F88" s="16">
        <f>SUM(F81:F87)</f>
        <v>39</v>
      </c>
      <c r="G88" s="16">
        <f t="shared" ref="G88:BR88" si="74">SUM(G81:G87)</f>
        <v>24096000</v>
      </c>
      <c r="H88" s="16">
        <f t="shared" si="74"/>
        <v>12048000</v>
      </c>
      <c r="I88" s="16">
        <f t="shared" si="74"/>
        <v>12048000</v>
      </c>
      <c r="J88" s="16">
        <f t="shared" si="74"/>
        <v>0</v>
      </c>
      <c r="K88" s="16">
        <f t="shared" si="74"/>
        <v>0</v>
      </c>
      <c r="L88" s="16">
        <f t="shared" si="74"/>
        <v>0</v>
      </c>
      <c r="M88" s="16">
        <f t="shared" si="74"/>
        <v>0</v>
      </c>
      <c r="N88" s="16">
        <f t="shared" si="74"/>
        <v>0</v>
      </c>
      <c r="O88" s="16">
        <f t="shared" si="74"/>
        <v>0</v>
      </c>
      <c r="P88" s="16">
        <f t="shared" si="74"/>
        <v>0</v>
      </c>
      <c r="Q88" s="16">
        <f t="shared" si="74"/>
        <v>0</v>
      </c>
      <c r="R88" s="16">
        <f t="shared" si="74"/>
        <v>9.75</v>
      </c>
      <c r="S88" s="16">
        <f t="shared" si="74"/>
        <v>9.75</v>
      </c>
      <c r="T88" s="16">
        <f t="shared" si="74"/>
        <v>9.75</v>
      </c>
      <c r="U88" s="16">
        <f t="shared" si="74"/>
        <v>9.75</v>
      </c>
      <c r="V88" s="16">
        <f t="shared" si="74"/>
        <v>6024000</v>
      </c>
      <c r="W88" s="16">
        <f t="shared" si="74"/>
        <v>6024000</v>
      </c>
      <c r="X88" s="16">
        <f t="shared" si="74"/>
        <v>6024000</v>
      </c>
      <c r="Y88" s="16">
        <f t="shared" si="74"/>
        <v>6024000</v>
      </c>
      <c r="Z88" s="16">
        <f t="shared" si="74"/>
        <v>0</v>
      </c>
      <c r="AA88" s="16">
        <f t="shared" si="74"/>
        <v>0</v>
      </c>
      <c r="AB88" s="16">
        <f t="shared" si="74"/>
        <v>0</v>
      </c>
      <c r="AC88" s="16">
        <f t="shared" si="74"/>
        <v>0</v>
      </c>
      <c r="AD88" s="16">
        <f t="shared" si="74"/>
        <v>0</v>
      </c>
      <c r="AE88" s="16">
        <f t="shared" si="74"/>
        <v>0</v>
      </c>
      <c r="AF88" s="16">
        <f t="shared" si="74"/>
        <v>0</v>
      </c>
      <c r="AG88" s="16">
        <f t="shared" si="74"/>
        <v>0</v>
      </c>
      <c r="AH88" s="16">
        <f t="shared" si="74"/>
        <v>0</v>
      </c>
      <c r="AI88" s="16">
        <f t="shared" si="74"/>
        <v>0</v>
      </c>
      <c r="AJ88" s="16">
        <f t="shared" si="74"/>
        <v>0</v>
      </c>
      <c r="AK88" s="16">
        <f t="shared" si="74"/>
        <v>0</v>
      </c>
      <c r="AL88" s="16">
        <f t="shared" si="74"/>
        <v>0</v>
      </c>
      <c r="AM88" s="16">
        <f t="shared" si="74"/>
        <v>0</v>
      </c>
      <c r="AN88" s="16">
        <f t="shared" si="74"/>
        <v>0</v>
      </c>
      <c r="AO88" s="16">
        <f t="shared" si="74"/>
        <v>0</v>
      </c>
      <c r="AP88" s="16">
        <f t="shared" si="74"/>
        <v>0</v>
      </c>
      <c r="AQ88" s="16">
        <f t="shared" si="74"/>
        <v>0</v>
      </c>
      <c r="AR88" s="16">
        <f t="shared" si="74"/>
        <v>0</v>
      </c>
      <c r="AS88" s="16">
        <f t="shared" si="74"/>
        <v>0</v>
      </c>
      <c r="AT88" s="16">
        <f t="shared" si="74"/>
        <v>0</v>
      </c>
      <c r="AU88" s="16">
        <f t="shared" si="74"/>
        <v>0</v>
      </c>
      <c r="AV88" s="16">
        <f t="shared" si="74"/>
        <v>0</v>
      </c>
      <c r="AW88" s="16">
        <f t="shared" si="74"/>
        <v>0</v>
      </c>
      <c r="AX88" s="16">
        <f t="shared" si="74"/>
        <v>0</v>
      </c>
      <c r="AY88" s="16">
        <f t="shared" si="74"/>
        <v>0</v>
      </c>
      <c r="AZ88" s="16">
        <f t="shared" si="74"/>
        <v>0</v>
      </c>
      <c r="BA88" s="16">
        <f t="shared" si="74"/>
        <v>0</v>
      </c>
      <c r="BB88" s="16">
        <f t="shared" si="74"/>
        <v>0</v>
      </c>
      <c r="BC88" s="16">
        <f t="shared" si="74"/>
        <v>0</v>
      </c>
      <c r="BD88" s="16">
        <f t="shared" si="74"/>
        <v>0</v>
      </c>
      <c r="BE88" s="16">
        <f t="shared" si="74"/>
        <v>0</v>
      </c>
      <c r="BF88" s="16">
        <f t="shared" si="74"/>
        <v>0</v>
      </c>
      <c r="BG88" s="16">
        <f t="shared" si="74"/>
        <v>0</v>
      </c>
      <c r="BH88" s="16">
        <f t="shared" si="74"/>
        <v>39</v>
      </c>
      <c r="BI88" s="16">
        <f t="shared" si="74"/>
        <v>24096000</v>
      </c>
      <c r="BJ88" s="16">
        <f t="shared" si="74"/>
        <v>39</v>
      </c>
      <c r="BK88" s="16">
        <f t="shared" si="74"/>
        <v>24096000</v>
      </c>
      <c r="BL88" s="16">
        <f t="shared" si="74"/>
        <v>0</v>
      </c>
      <c r="BM88" s="16">
        <f t="shared" si="74"/>
        <v>0</v>
      </c>
      <c r="BN88" s="16">
        <f t="shared" si="74"/>
        <v>0</v>
      </c>
      <c r="BO88" s="16">
        <f t="shared" si="74"/>
        <v>0</v>
      </c>
      <c r="BP88" s="16">
        <f t="shared" si="74"/>
        <v>0</v>
      </c>
      <c r="BQ88" s="16">
        <f t="shared" si="74"/>
        <v>0</v>
      </c>
      <c r="BR88" s="16">
        <f t="shared" si="74"/>
        <v>0</v>
      </c>
      <c r="BS88" s="16">
        <f>SUM(BS81:BS87)</f>
        <v>0</v>
      </c>
      <c r="BT88" s="16">
        <f>SUM(BT81:BT87)</f>
        <v>24096000</v>
      </c>
      <c r="BU88" s="16">
        <f>SUM(BU81:BU87)</f>
        <v>24096000</v>
      </c>
      <c r="BV88" s="16">
        <f>SUM(BV81:BV87)</f>
        <v>24096000</v>
      </c>
    </row>
    <row r="89" spans="1:74" x14ac:dyDescent="0.25">
      <c r="A89" s="472"/>
      <c r="B89" s="473"/>
      <c r="C89" s="185" t="s">
        <v>335</v>
      </c>
      <c r="D89" s="186"/>
      <c r="E89" s="193"/>
      <c r="F89" s="16">
        <f>F88+F79+F48+F33+F25</f>
        <v>1373</v>
      </c>
      <c r="G89" s="16">
        <f t="shared" ref="G89:BR89" si="75">G88+G79+G48+G33+G25</f>
        <v>85536700</v>
      </c>
      <c r="H89" s="16">
        <f t="shared" si="75"/>
        <v>36962740</v>
      </c>
      <c r="I89" s="16">
        <f t="shared" si="75"/>
        <v>48573960</v>
      </c>
      <c r="J89" s="16">
        <f t="shared" si="75"/>
        <v>0</v>
      </c>
      <c r="K89" s="16">
        <f t="shared" si="75"/>
        <v>0</v>
      </c>
      <c r="L89" s="16">
        <f t="shared" si="75"/>
        <v>0</v>
      </c>
      <c r="M89" s="16">
        <f t="shared" si="75"/>
        <v>0</v>
      </c>
      <c r="N89" s="16">
        <f t="shared" si="75"/>
        <v>0</v>
      </c>
      <c r="O89" s="16">
        <f t="shared" si="75"/>
        <v>0</v>
      </c>
      <c r="P89" s="16">
        <f t="shared" si="75"/>
        <v>0</v>
      </c>
      <c r="Q89" s="16">
        <f t="shared" si="75"/>
        <v>0</v>
      </c>
      <c r="R89" s="16">
        <f t="shared" si="75"/>
        <v>76.25</v>
      </c>
      <c r="S89" s="16">
        <f t="shared" si="75"/>
        <v>116.25</v>
      </c>
      <c r="T89" s="16">
        <f t="shared" si="75"/>
        <v>1092.25</v>
      </c>
      <c r="U89" s="16">
        <f t="shared" si="75"/>
        <v>76.25</v>
      </c>
      <c r="V89" s="16">
        <f t="shared" si="75"/>
        <v>17229500</v>
      </c>
      <c r="W89" s="16">
        <f t="shared" si="75"/>
        <v>27782000</v>
      </c>
      <c r="X89" s="16">
        <f t="shared" si="75"/>
        <v>22695700</v>
      </c>
      <c r="Y89" s="16">
        <f t="shared" si="75"/>
        <v>17229500</v>
      </c>
      <c r="Z89" s="16">
        <f t="shared" si="75"/>
        <v>0</v>
      </c>
      <c r="AA89" s="16">
        <f t="shared" si="75"/>
        <v>0</v>
      </c>
      <c r="AB89" s="16">
        <f t="shared" si="75"/>
        <v>0</v>
      </c>
      <c r="AC89" s="16">
        <f t="shared" si="75"/>
        <v>0</v>
      </c>
      <c r="AD89" s="16">
        <f t="shared" si="75"/>
        <v>0</v>
      </c>
      <c r="AE89" s="16">
        <f t="shared" si="75"/>
        <v>0</v>
      </c>
      <c r="AF89" s="16">
        <f t="shared" si="75"/>
        <v>0</v>
      </c>
      <c r="AG89" s="16">
        <f t="shared" si="75"/>
        <v>0</v>
      </c>
      <c r="AH89" s="16">
        <f t="shared" si="75"/>
        <v>0</v>
      </c>
      <c r="AI89" s="16">
        <f t="shared" si="75"/>
        <v>0</v>
      </c>
      <c r="AJ89" s="16">
        <f t="shared" si="75"/>
        <v>0</v>
      </c>
      <c r="AK89" s="16">
        <f t="shared" si="75"/>
        <v>0</v>
      </c>
      <c r="AL89" s="16">
        <f t="shared" si="75"/>
        <v>0</v>
      </c>
      <c r="AM89" s="16">
        <f t="shared" si="75"/>
        <v>0</v>
      </c>
      <c r="AN89" s="16">
        <f t="shared" si="75"/>
        <v>0</v>
      </c>
      <c r="AO89" s="16">
        <f t="shared" si="75"/>
        <v>0</v>
      </c>
      <c r="AP89" s="16">
        <f t="shared" si="75"/>
        <v>0</v>
      </c>
      <c r="AQ89" s="16">
        <f t="shared" si="75"/>
        <v>0</v>
      </c>
      <c r="AR89" s="16">
        <f t="shared" si="75"/>
        <v>0</v>
      </c>
      <c r="AS89" s="16">
        <f t="shared" si="75"/>
        <v>0</v>
      </c>
      <c r="AT89" s="16">
        <f t="shared" si="75"/>
        <v>0</v>
      </c>
      <c r="AU89" s="16">
        <f t="shared" si="75"/>
        <v>0</v>
      </c>
      <c r="AV89" s="16">
        <f t="shared" si="75"/>
        <v>0</v>
      </c>
      <c r="AW89" s="16">
        <f t="shared" si="75"/>
        <v>0</v>
      </c>
      <c r="AX89" s="16">
        <f t="shared" si="75"/>
        <v>0</v>
      </c>
      <c r="AY89" s="16">
        <f t="shared" si="75"/>
        <v>0</v>
      </c>
      <c r="AZ89" s="16">
        <f t="shared" si="75"/>
        <v>0</v>
      </c>
      <c r="BA89" s="16">
        <f t="shared" si="75"/>
        <v>0</v>
      </c>
      <c r="BB89" s="16">
        <f t="shared" si="75"/>
        <v>0</v>
      </c>
      <c r="BC89" s="16">
        <f t="shared" si="75"/>
        <v>0</v>
      </c>
      <c r="BD89" s="16">
        <f t="shared" si="75"/>
        <v>0</v>
      </c>
      <c r="BE89" s="16">
        <f t="shared" si="75"/>
        <v>0</v>
      </c>
      <c r="BF89" s="16">
        <f t="shared" si="75"/>
        <v>0</v>
      </c>
      <c r="BG89" s="16">
        <f t="shared" si="75"/>
        <v>0</v>
      </c>
      <c r="BH89" s="16">
        <f t="shared" si="75"/>
        <v>1373</v>
      </c>
      <c r="BI89" s="16">
        <f t="shared" si="75"/>
        <v>85536700</v>
      </c>
      <c r="BJ89" s="16">
        <f t="shared" si="75"/>
        <v>1373</v>
      </c>
      <c r="BK89" s="16">
        <f t="shared" si="75"/>
        <v>85536700</v>
      </c>
      <c r="BL89" s="16"/>
      <c r="BM89" s="16">
        <f t="shared" si="75"/>
        <v>0</v>
      </c>
      <c r="BN89" s="16">
        <f t="shared" si="75"/>
        <v>0</v>
      </c>
      <c r="BO89" s="16">
        <f t="shared" si="75"/>
        <v>1000000</v>
      </c>
      <c r="BP89" s="16">
        <f t="shared" si="75"/>
        <v>32468700</v>
      </c>
      <c r="BQ89" s="16">
        <f t="shared" si="75"/>
        <v>0</v>
      </c>
      <c r="BR89" s="16">
        <f t="shared" si="75"/>
        <v>33468700</v>
      </c>
      <c r="BS89" s="16">
        <f>BS88+BS79+BS48+BS33+BS25</f>
        <v>27422000</v>
      </c>
      <c r="BT89" s="16">
        <f>BT88+BT79+BT48+BT33+BT25</f>
        <v>24646000</v>
      </c>
      <c r="BU89" s="16">
        <f>BU88+BU79+BU48+BU33+BU25</f>
        <v>52068000</v>
      </c>
      <c r="BV89" s="16">
        <f>BV88+BV79+BV48+BV33+BV25</f>
        <v>85536700</v>
      </c>
    </row>
    <row r="90" spans="1:74" x14ac:dyDescent="0.25">
      <c r="C90" s="176" t="s">
        <v>231</v>
      </c>
    </row>
    <row r="91" spans="1:74" x14ac:dyDescent="0.25">
      <c r="G91" s="176">
        <f>G89-BK89</f>
        <v>0</v>
      </c>
    </row>
  </sheetData>
  <mergeCells count="38">
    <mergeCell ref="A8:A9"/>
    <mergeCell ref="BL7:BL9"/>
    <mergeCell ref="BN8:BR8"/>
    <mergeCell ref="BS8:BU8"/>
    <mergeCell ref="BB7:BC8"/>
    <mergeCell ref="BD7:BE8"/>
    <mergeCell ref="AX7:AY8"/>
    <mergeCell ref="AZ7:BA8"/>
    <mergeCell ref="H7:Q7"/>
    <mergeCell ref="R7:U8"/>
    <mergeCell ref="AD7:AE8"/>
    <mergeCell ref="AN7:AO8"/>
    <mergeCell ref="AP7:AQ8"/>
    <mergeCell ref="Z7:AA8"/>
    <mergeCell ref="AB7:AC8"/>
    <mergeCell ref="C8:C9"/>
    <mergeCell ref="BV8:BV9"/>
    <mergeCell ref="E7:G7"/>
    <mergeCell ref="BH7:BI8"/>
    <mergeCell ref="BJ7:BK8"/>
    <mergeCell ref="AF7:AG8"/>
    <mergeCell ref="D8:D9"/>
    <mergeCell ref="E8:E9"/>
    <mergeCell ref="AR7:AS8"/>
    <mergeCell ref="BF7:BG8"/>
    <mergeCell ref="F8:F9"/>
    <mergeCell ref="G8:G9"/>
    <mergeCell ref="AT7:AU8"/>
    <mergeCell ref="AH7:AI8"/>
    <mergeCell ref="AV7:AW8"/>
    <mergeCell ref="AL7:AM8"/>
    <mergeCell ref="V7:Y8"/>
    <mergeCell ref="AJ7:AK8"/>
    <mergeCell ref="A2:B2"/>
    <mergeCell ref="A3:B3"/>
    <mergeCell ref="A4:B4"/>
    <mergeCell ref="A6:B6"/>
    <mergeCell ref="A7:D7"/>
  </mergeCells>
  <phoneticPr fontId="28" type="noConversion"/>
  <pageMargins left="0.4" right="0.7" top="0.32" bottom="0.17" header="0.3" footer="0.17"/>
  <pageSetup paperSize="9" scale="10" fitToHeight="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">
    <tabColor rgb="FF00B0F0"/>
    <pageSetUpPr fitToPage="1"/>
  </sheetPr>
  <dimension ref="A2:BV60"/>
  <sheetViews>
    <sheetView zoomScale="120" zoomScaleNormal="120" workbookViewId="0">
      <pane xSplit="7" ySplit="9" topLeftCell="BS52" activePane="bottomRight" state="frozen"/>
      <selection pane="topRight" activeCell="H1" sqref="H1"/>
      <selection pane="bottomLeft" activeCell="A10" sqref="A10"/>
      <selection pane="bottomRight" activeCell="B59" sqref="B59"/>
    </sheetView>
  </sheetViews>
  <sheetFormatPr defaultColWidth="9.140625" defaultRowHeight="15.75" x14ac:dyDescent="0.25"/>
  <cols>
    <col min="1" max="1" width="11.42578125" style="176" bestFit="1" customWidth="1"/>
    <col min="2" max="2" width="12.140625" style="176" customWidth="1"/>
    <col min="3" max="3" width="39.85546875" style="176" customWidth="1"/>
    <col min="4" max="4" width="10.42578125" style="176" customWidth="1"/>
    <col min="5" max="5" width="17.28515625" style="175" customWidth="1"/>
    <col min="6" max="6" width="8" style="176" customWidth="1"/>
    <col min="7" max="7" width="17.28515625" style="196" customWidth="1"/>
    <col min="8" max="8" width="17" style="196" customWidth="1"/>
    <col min="9" max="9" width="17.42578125" style="196" customWidth="1"/>
    <col min="10" max="10" width="7.7109375" style="196" customWidth="1"/>
    <col min="11" max="11" width="6.28515625" style="196" customWidth="1"/>
    <col min="12" max="12" width="11.28515625" style="196" customWidth="1"/>
    <col min="13" max="13" width="5.85546875" style="196" customWidth="1"/>
    <col min="14" max="14" width="8.85546875" style="196" customWidth="1"/>
    <col min="15" max="15" width="7.140625" style="176" customWidth="1"/>
    <col min="16" max="16" width="9.28515625" style="176" customWidth="1"/>
    <col min="17" max="17" width="13.140625" style="176" customWidth="1"/>
    <col min="18" max="21" width="7.85546875" style="176" customWidth="1"/>
    <col min="22" max="24" width="15.28515625" style="176" bestFit="1" customWidth="1"/>
    <col min="25" max="25" width="15" style="176" customWidth="1"/>
    <col min="26" max="26" width="9.140625" style="176" customWidth="1"/>
    <col min="27" max="27" width="17.28515625" style="176" customWidth="1"/>
    <col min="28" max="28" width="9.140625" style="176" customWidth="1"/>
    <col min="29" max="29" width="14.7109375" style="176" customWidth="1"/>
    <col min="30" max="30" width="9.140625" style="176" customWidth="1"/>
    <col min="31" max="31" width="16.42578125" style="176" customWidth="1"/>
    <col min="32" max="32" width="9.140625" style="176" customWidth="1"/>
    <col min="33" max="33" width="16.28515625" style="176" customWidth="1"/>
    <col min="34" max="34" width="9.140625" style="176" customWidth="1"/>
    <col min="35" max="35" width="16.28515625" style="176" customWidth="1"/>
    <col min="36" max="36" width="9.140625" style="176" customWidth="1"/>
    <col min="37" max="37" width="16.42578125" style="176" customWidth="1"/>
    <col min="38" max="38" width="9.140625" style="176" customWidth="1"/>
    <col min="39" max="39" width="16.28515625" style="176" customWidth="1"/>
    <col min="40" max="40" width="9.140625" style="176" customWidth="1"/>
    <col min="41" max="41" width="14.28515625" style="176" customWidth="1"/>
    <col min="42" max="42" width="5" style="176" customWidth="1"/>
    <col min="43" max="43" width="15.85546875" style="176" customWidth="1"/>
    <col min="44" max="44" width="5" style="176" customWidth="1"/>
    <col min="45" max="45" width="16.7109375" style="176" customWidth="1"/>
    <col min="46" max="46" width="5" style="176" customWidth="1"/>
    <col min="47" max="47" width="17.5703125" style="176" customWidth="1"/>
    <col min="48" max="48" width="6.5703125" style="176" customWidth="1"/>
    <col min="49" max="49" width="15.42578125" style="176" customWidth="1"/>
    <col min="50" max="50" width="5" style="176" customWidth="1"/>
    <col min="51" max="51" width="14" style="176" customWidth="1"/>
    <col min="52" max="52" width="5" style="176" customWidth="1"/>
    <col min="53" max="53" width="14.85546875" style="176" customWidth="1"/>
    <col min="54" max="54" width="5.85546875" style="176" customWidth="1"/>
    <col min="55" max="55" width="17.5703125" style="176" customWidth="1"/>
    <col min="56" max="56" width="5" style="176" customWidth="1"/>
    <col min="57" max="57" width="14.7109375" style="176" customWidth="1"/>
    <col min="58" max="58" width="6.85546875" style="176" customWidth="1"/>
    <col min="59" max="59" width="14.28515625" style="176" customWidth="1"/>
    <col min="60" max="60" width="5" style="176" customWidth="1"/>
    <col min="61" max="61" width="16" style="176" customWidth="1"/>
    <col min="62" max="62" width="7.5703125" style="176" customWidth="1"/>
    <col min="63" max="63" width="19.42578125" style="176" customWidth="1"/>
    <col min="64" max="64" width="18.5703125" style="176" customWidth="1"/>
    <col min="65" max="65" width="9.140625" style="176" customWidth="1"/>
    <col min="66" max="66" width="15.7109375" style="176" bestFit="1" customWidth="1"/>
    <col min="67" max="67" width="10.7109375" style="176" customWidth="1"/>
    <col min="68" max="68" width="21.5703125" style="176" bestFit="1" customWidth="1"/>
    <col min="69" max="69" width="9.140625" style="176"/>
    <col min="70" max="70" width="23.140625" style="176" bestFit="1" customWidth="1"/>
    <col min="71" max="71" width="21" style="176" bestFit="1" customWidth="1"/>
    <col min="72" max="72" width="16.85546875" style="176" customWidth="1"/>
    <col min="73" max="73" width="19.140625" style="176" customWidth="1"/>
    <col min="74" max="74" width="19" style="176" customWidth="1"/>
    <col min="75" max="16384" width="9.140625" style="176"/>
  </cols>
  <sheetData>
    <row r="2" spans="1:74" x14ac:dyDescent="0.25">
      <c r="A2" s="861" t="s">
        <v>159</v>
      </c>
      <c r="B2" s="861"/>
      <c r="C2" s="747" t="s">
        <v>153</v>
      </c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  <c r="P2" s="747"/>
      <c r="Q2" s="747"/>
      <c r="R2" s="180"/>
      <c r="S2" s="180"/>
      <c r="T2" s="180"/>
      <c r="U2" s="180"/>
      <c r="V2" s="180"/>
      <c r="W2" s="180"/>
      <c r="X2" s="180"/>
      <c r="Y2" s="180"/>
    </row>
    <row r="3" spans="1:74" x14ac:dyDescent="0.25">
      <c r="A3" s="861" t="s">
        <v>155</v>
      </c>
      <c r="B3" s="861"/>
      <c r="C3" s="747" t="s">
        <v>154</v>
      </c>
      <c r="D3" s="747"/>
      <c r="E3" s="747"/>
      <c r="F3" s="747"/>
      <c r="G3" s="747"/>
      <c r="H3" s="747"/>
      <c r="I3" s="747"/>
      <c r="J3" s="747"/>
      <c r="K3" s="747"/>
      <c r="L3" s="747"/>
      <c r="M3" s="747"/>
      <c r="N3" s="747"/>
      <c r="O3" s="747"/>
      <c r="P3" s="747"/>
      <c r="Q3" s="747"/>
      <c r="R3" s="180"/>
      <c r="S3" s="180"/>
      <c r="T3" s="180"/>
      <c r="U3" s="180"/>
      <c r="V3" s="180"/>
      <c r="W3" s="180"/>
      <c r="X3" s="180"/>
      <c r="Y3" s="180"/>
    </row>
    <row r="4" spans="1:74" x14ac:dyDescent="0.25">
      <c r="A4" s="861" t="s">
        <v>156</v>
      </c>
      <c r="B4" s="861"/>
      <c r="C4" s="747" t="s">
        <v>950</v>
      </c>
      <c r="D4" s="747"/>
      <c r="E4" s="747"/>
      <c r="F4" s="747"/>
      <c r="G4" s="747"/>
      <c r="H4" s="747"/>
      <c r="I4" s="747"/>
      <c r="J4" s="747"/>
      <c r="K4" s="747"/>
      <c r="L4" s="747"/>
      <c r="M4" s="747"/>
      <c r="N4" s="747"/>
      <c r="O4" s="747"/>
      <c r="P4" s="747"/>
      <c r="Q4" s="747"/>
      <c r="R4" s="180"/>
      <c r="S4" s="180"/>
      <c r="T4" s="180"/>
      <c r="U4" s="180"/>
      <c r="V4" s="180"/>
      <c r="W4" s="180"/>
      <c r="X4" s="180"/>
      <c r="Y4" s="180"/>
    </row>
    <row r="5" spans="1:74" x14ac:dyDescent="0.25">
      <c r="A5" s="861" t="s">
        <v>162</v>
      </c>
      <c r="B5" s="861"/>
      <c r="C5" s="747" t="s">
        <v>160</v>
      </c>
      <c r="D5" s="747"/>
      <c r="E5" s="747"/>
      <c r="F5" s="747"/>
      <c r="G5" s="747"/>
      <c r="H5" s="747"/>
      <c r="I5" s="747"/>
      <c r="J5" s="747"/>
      <c r="K5" s="747"/>
      <c r="L5" s="747"/>
      <c r="M5" s="747"/>
      <c r="N5" s="747"/>
      <c r="O5" s="747"/>
      <c r="P5" s="747"/>
      <c r="Q5" s="747"/>
      <c r="R5" s="180"/>
      <c r="S5" s="180"/>
      <c r="T5" s="180"/>
      <c r="U5" s="180"/>
      <c r="V5" s="180"/>
      <c r="W5" s="180"/>
      <c r="X5" s="180"/>
      <c r="Y5" s="180"/>
    </row>
    <row r="6" spans="1:74" x14ac:dyDescent="0.25">
      <c r="A6" s="861" t="s">
        <v>894</v>
      </c>
      <c r="B6" s="861"/>
      <c r="C6" s="747" t="s">
        <v>895</v>
      </c>
      <c r="D6" s="747"/>
      <c r="E6" s="747"/>
      <c r="F6" s="747"/>
      <c r="G6" s="747"/>
      <c r="H6" s="747"/>
      <c r="I6" s="747"/>
      <c r="J6" s="747"/>
      <c r="K6" s="747"/>
      <c r="L6" s="747"/>
      <c r="M6" s="747"/>
      <c r="N6" s="747"/>
      <c r="O6" s="747"/>
      <c r="P6" s="747"/>
      <c r="Q6" s="747"/>
      <c r="R6" s="180"/>
      <c r="S6" s="180"/>
      <c r="T6" s="180"/>
      <c r="U6" s="180"/>
      <c r="V6" s="180"/>
      <c r="W6" s="180"/>
      <c r="X6" s="180"/>
      <c r="Y6" s="180"/>
    </row>
    <row r="7" spans="1:74" ht="17.25" customHeight="1" x14ac:dyDescent="0.25">
      <c r="A7" s="862"/>
      <c r="B7" s="862"/>
      <c r="C7" s="862"/>
      <c r="D7" s="862"/>
      <c r="E7" s="862"/>
      <c r="F7" s="862"/>
      <c r="G7" s="862"/>
      <c r="H7" s="761" t="s">
        <v>152</v>
      </c>
      <c r="I7" s="762"/>
      <c r="J7" s="762"/>
      <c r="K7" s="762"/>
      <c r="L7" s="762"/>
      <c r="M7" s="762"/>
      <c r="N7" s="762"/>
      <c r="O7" s="762"/>
      <c r="P7" s="762"/>
      <c r="Q7" s="763"/>
      <c r="R7" s="876" t="s">
        <v>62</v>
      </c>
      <c r="S7" s="877"/>
      <c r="T7" s="877"/>
      <c r="U7" s="878"/>
      <c r="V7" s="867" t="s">
        <v>6</v>
      </c>
      <c r="W7" s="868"/>
      <c r="X7" s="868"/>
      <c r="Y7" s="869"/>
      <c r="Z7" s="882" t="s">
        <v>180</v>
      </c>
      <c r="AA7" s="882"/>
      <c r="AB7" s="882" t="s">
        <v>181</v>
      </c>
      <c r="AC7" s="882"/>
      <c r="AD7" s="882" t="s">
        <v>182</v>
      </c>
      <c r="AE7" s="882"/>
      <c r="AF7" s="882" t="s">
        <v>183</v>
      </c>
      <c r="AG7" s="882"/>
      <c r="AH7" s="882" t="s">
        <v>184</v>
      </c>
      <c r="AI7" s="882"/>
      <c r="AJ7" s="882" t="s">
        <v>185</v>
      </c>
      <c r="AK7" s="882"/>
      <c r="AL7" s="882" t="s">
        <v>186</v>
      </c>
      <c r="AM7" s="882"/>
      <c r="AN7" s="882" t="s">
        <v>187</v>
      </c>
      <c r="AO7" s="882"/>
      <c r="AP7" s="882" t="s">
        <v>188</v>
      </c>
      <c r="AQ7" s="882"/>
      <c r="AR7" s="882" t="s">
        <v>189</v>
      </c>
      <c r="AS7" s="882"/>
      <c r="AT7" s="882" t="s">
        <v>190</v>
      </c>
      <c r="AU7" s="882"/>
      <c r="AV7" s="882" t="s">
        <v>191</v>
      </c>
      <c r="AW7" s="882"/>
      <c r="AX7" s="882" t="s">
        <v>192</v>
      </c>
      <c r="AY7" s="882"/>
      <c r="AZ7" s="882" t="s">
        <v>193</v>
      </c>
      <c r="BA7" s="882"/>
      <c r="BB7" s="882" t="s">
        <v>194</v>
      </c>
      <c r="BC7" s="882"/>
      <c r="BD7" s="882" t="s">
        <v>195</v>
      </c>
      <c r="BE7" s="882"/>
      <c r="BF7" s="882" t="s">
        <v>196</v>
      </c>
      <c r="BG7" s="882"/>
      <c r="BH7" s="882" t="s">
        <v>197</v>
      </c>
      <c r="BI7" s="882"/>
      <c r="BJ7" s="882" t="s">
        <v>17</v>
      </c>
      <c r="BK7" s="884"/>
      <c r="BL7" s="740" t="s">
        <v>230</v>
      </c>
    </row>
    <row r="8" spans="1:74" x14ac:dyDescent="0.25">
      <c r="A8" s="577" t="s">
        <v>13</v>
      </c>
      <c r="B8" s="577" t="s">
        <v>1</v>
      </c>
      <c r="C8" s="862" t="s">
        <v>12</v>
      </c>
      <c r="D8" s="577" t="s">
        <v>14</v>
      </c>
      <c r="E8" s="766" t="s">
        <v>22</v>
      </c>
      <c r="F8" s="766" t="s">
        <v>137</v>
      </c>
      <c r="G8" s="885" t="s">
        <v>27</v>
      </c>
      <c r="H8" s="16" t="s">
        <v>200</v>
      </c>
      <c r="I8" s="16" t="s">
        <v>201</v>
      </c>
      <c r="J8" s="16" t="s">
        <v>202</v>
      </c>
      <c r="K8" s="16" t="s">
        <v>203</v>
      </c>
      <c r="L8" s="16" t="s">
        <v>204</v>
      </c>
      <c r="M8" s="16" t="s">
        <v>205</v>
      </c>
      <c r="N8" s="16" t="s">
        <v>919</v>
      </c>
      <c r="O8" s="16" t="s">
        <v>206</v>
      </c>
      <c r="P8" s="16" t="s">
        <v>207</v>
      </c>
      <c r="Q8" s="16" t="s">
        <v>768</v>
      </c>
      <c r="R8" s="879"/>
      <c r="S8" s="880"/>
      <c r="T8" s="880"/>
      <c r="U8" s="881"/>
      <c r="V8" s="870"/>
      <c r="W8" s="871"/>
      <c r="X8" s="871"/>
      <c r="Y8" s="872"/>
      <c r="Z8" s="882"/>
      <c r="AA8" s="882"/>
      <c r="AB8" s="882" t="s">
        <v>43</v>
      </c>
      <c r="AC8" s="882"/>
      <c r="AD8" s="882" t="s">
        <v>44</v>
      </c>
      <c r="AE8" s="882"/>
      <c r="AF8" s="882" t="s">
        <v>45</v>
      </c>
      <c r="AG8" s="882"/>
      <c r="AH8" s="882" t="s">
        <v>46</v>
      </c>
      <c r="AI8" s="882"/>
      <c r="AJ8" s="882" t="s">
        <v>47</v>
      </c>
      <c r="AK8" s="882"/>
      <c r="AL8" s="882" t="s">
        <v>48</v>
      </c>
      <c r="AM8" s="882"/>
      <c r="AN8" s="882" t="s">
        <v>49</v>
      </c>
      <c r="AO8" s="882"/>
      <c r="AP8" s="882" t="s">
        <v>50</v>
      </c>
      <c r="AQ8" s="882"/>
      <c r="AR8" s="882" t="s">
        <v>51</v>
      </c>
      <c r="AS8" s="882"/>
      <c r="AT8" s="882" t="s">
        <v>52</v>
      </c>
      <c r="AU8" s="882"/>
      <c r="AV8" s="882" t="s">
        <v>53</v>
      </c>
      <c r="AW8" s="882"/>
      <c r="AX8" s="882" t="s">
        <v>54</v>
      </c>
      <c r="AY8" s="882"/>
      <c r="AZ8" s="882" t="s">
        <v>55</v>
      </c>
      <c r="BA8" s="882"/>
      <c r="BB8" s="882" t="s">
        <v>40</v>
      </c>
      <c r="BC8" s="882"/>
      <c r="BD8" s="882" t="s">
        <v>37</v>
      </c>
      <c r="BE8" s="882"/>
      <c r="BF8" s="882"/>
      <c r="BG8" s="882"/>
      <c r="BH8" s="882"/>
      <c r="BI8" s="882"/>
      <c r="BJ8" s="882"/>
      <c r="BK8" s="884"/>
      <c r="BL8" s="740"/>
      <c r="BN8" s="746" t="s">
        <v>228</v>
      </c>
      <c r="BO8" s="746"/>
      <c r="BP8" s="746"/>
      <c r="BQ8" s="746"/>
      <c r="BR8" s="746"/>
      <c r="BS8" s="746" t="s">
        <v>229</v>
      </c>
      <c r="BT8" s="746"/>
      <c r="BU8" s="737"/>
      <c r="BV8" s="740" t="s">
        <v>17</v>
      </c>
    </row>
    <row r="9" spans="1:74" ht="27" customHeight="1" x14ac:dyDescent="0.25">
      <c r="A9" s="577"/>
      <c r="B9" s="577" t="s">
        <v>2</v>
      </c>
      <c r="C9" s="862"/>
      <c r="D9" s="577"/>
      <c r="E9" s="766"/>
      <c r="F9" s="766"/>
      <c r="G9" s="886"/>
      <c r="H9" s="474"/>
      <c r="I9" s="474"/>
      <c r="J9" s="474"/>
      <c r="K9" s="474"/>
      <c r="L9" s="474"/>
      <c r="M9" s="474"/>
      <c r="N9" s="474"/>
      <c r="O9" s="474"/>
      <c r="P9" s="474"/>
      <c r="Q9" s="474"/>
      <c r="R9" s="577" t="s">
        <v>7</v>
      </c>
      <c r="S9" s="577" t="s">
        <v>8</v>
      </c>
      <c r="T9" s="577" t="s">
        <v>9</v>
      </c>
      <c r="U9" s="577" t="s">
        <v>10</v>
      </c>
      <c r="V9" s="577" t="s">
        <v>7</v>
      </c>
      <c r="W9" s="577" t="s">
        <v>8</v>
      </c>
      <c r="X9" s="577" t="s">
        <v>9</v>
      </c>
      <c r="Y9" s="577" t="s">
        <v>10</v>
      </c>
      <c r="Z9" s="423" t="s">
        <v>14</v>
      </c>
      <c r="AA9" s="424" t="s">
        <v>15</v>
      </c>
      <c r="AB9" s="425" t="s">
        <v>14</v>
      </c>
      <c r="AC9" s="425" t="s">
        <v>15</v>
      </c>
      <c r="AD9" s="425" t="s">
        <v>14</v>
      </c>
      <c r="AE9" s="425" t="s">
        <v>15</v>
      </c>
      <c r="AF9" s="425" t="s">
        <v>14</v>
      </c>
      <c r="AG9" s="425" t="s">
        <v>15</v>
      </c>
      <c r="AH9" s="425" t="s">
        <v>14</v>
      </c>
      <c r="AI9" s="425" t="s">
        <v>15</v>
      </c>
      <c r="AJ9" s="425" t="s">
        <v>14</v>
      </c>
      <c r="AK9" s="425" t="s">
        <v>15</v>
      </c>
      <c r="AL9" s="425" t="s">
        <v>14</v>
      </c>
      <c r="AM9" s="425" t="s">
        <v>15</v>
      </c>
      <c r="AN9" s="425" t="s">
        <v>14</v>
      </c>
      <c r="AO9" s="425" t="s">
        <v>15</v>
      </c>
      <c r="AP9" s="425" t="s">
        <v>14</v>
      </c>
      <c r="AQ9" s="425" t="s">
        <v>15</v>
      </c>
      <c r="AR9" s="425" t="s">
        <v>14</v>
      </c>
      <c r="AS9" s="425" t="s">
        <v>15</v>
      </c>
      <c r="AT9" s="425" t="s">
        <v>14</v>
      </c>
      <c r="AU9" s="425" t="s">
        <v>15</v>
      </c>
      <c r="AV9" s="425" t="s">
        <v>14</v>
      </c>
      <c r="AW9" s="425" t="s">
        <v>15</v>
      </c>
      <c r="AX9" s="425" t="s">
        <v>14</v>
      </c>
      <c r="AY9" s="425" t="s">
        <v>15</v>
      </c>
      <c r="AZ9" s="425" t="s">
        <v>14</v>
      </c>
      <c r="BA9" s="425" t="s">
        <v>15</v>
      </c>
      <c r="BB9" s="425" t="s">
        <v>14</v>
      </c>
      <c r="BC9" s="425" t="s">
        <v>15</v>
      </c>
      <c r="BD9" s="425" t="s">
        <v>14</v>
      </c>
      <c r="BE9" s="425" t="s">
        <v>15</v>
      </c>
      <c r="BF9" s="425" t="s">
        <v>14</v>
      </c>
      <c r="BG9" s="425" t="s">
        <v>15</v>
      </c>
      <c r="BH9" s="425" t="s">
        <v>14</v>
      </c>
      <c r="BI9" s="425" t="s">
        <v>15</v>
      </c>
      <c r="BJ9" s="425" t="s">
        <v>14</v>
      </c>
      <c r="BK9" s="426" t="s">
        <v>15</v>
      </c>
      <c r="BL9" s="740"/>
      <c r="BN9" s="16" t="s">
        <v>219</v>
      </c>
      <c r="BO9" s="28" t="s">
        <v>220</v>
      </c>
      <c r="BP9" s="28" t="s">
        <v>221</v>
      </c>
      <c r="BQ9" s="565" t="s">
        <v>222</v>
      </c>
      <c r="BR9" s="28" t="s">
        <v>223</v>
      </c>
      <c r="BS9" s="28" t="s">
        <v>224</v>
      </c>
      <c r="BT9" s="28" t="s">
        <v>225</v>
      </c>
      <c r="BU9" s="461" t="s">
        <v>226</v>
      </c>
      <c r="BV9" s="740"/>
    </row>
    <row r="10" spans="1:74" x14ac:dyDescent="0.25">
      <c r="A10" s="883"/>
      <c r="B10" s="169"/>
      <c r="C10" s="577" t="s">
        <v>263</v>
      </c>
      <c r="D10" s="428"/>
      <c r="E10" s="187"/>
      <c r="F10" s="475"/>
      <c r="G10" s="476"/>
      <c r="H10" s="476"/>
      <c r="I10" s="476"/>
      <c r="J10" s="476"/>
      <c r="K10" s="476"/>
      <c r="L10" s="476"/>
      <c r="M10" s="476"/>
      <c r="N10" s="476"/>
      <c r="O10" s="462"/>
      <c r="P10" s="462"/>
      <c r="Q10" s="462"/>
      <c r="R10" s="463"/>
      <c r="S10" s="446"/>
      <c r="T10" s="463"/>
      <c r="U10" s="463"/>
      <c r="V10" s="463"/>
      <c r="W10" s="8"/>
      <c r="X10" s="577"/>
      <c r="Y10" s="577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443"/>
      <c r="BL10" s="8"/>
      <c r="BN10" s="190"/>
      <c r="BO10" s="190"/>
      <c r="BP10" s="190"/>
      <c r="BQ10" s="190"/>
      <c r="BR10" s="190"/>
      <c r="BS10" s="190"/>
      <c r="BT10" s="190"/>
      <c r="BU10" s="444"/>
      <c r="BV10" s="167">
        <f>BR10+BU10</f>
        <v>0</v>
      </c>
    </row>
    <row r="11" spans="1:74" x14ac:dyDescent="0.25">
      <c r="A11" s="883"/>
      <c r="B11" s="169"/>
      <c r="C11" s="577" t="s">
        <v>317</v>
      </c>
      <c r="D11" s="428"/>
      <c r="E11" s="187"/>
      <c r="F11" s="475"/>
      <c r="G11" s="476"/>
      <c r="H11" s="476"/>
      <c r="I11" s="476"/>
      <c r="J11" s="476"/>
      <c r="K11" s="476"/>
      <c r="L11" s="476"/>
      <c r="M11" s="476"/>
      <c r="N11" s="476"/>
      <c r="O11" s="462"/>
      <c r="P11" s="462"/>
      <c r="Q11" s="462"/>
      <c r="R11" s="463"/>
      <c r="S11" s="446"/>
      <c r="T11" s="463"/>
      <c r="U11" s="463"/>
      <c r="V11" s="463"/>
      <c r="W11" s="8"/>
      <c r="X11" s="577"/>
      <c r="Y11" s="577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443"/>
      <c r="BL11" s="8"/>
      <c r="BN11" s="190"/>
      <c r="BO11" s="190"/>
      <c r="BP11" s="190"/>
      <c r="BQ11" s="190"/>
      <c r="BR11" s="190"/>
      <c r="BS11" s="190"/>
      <c r="BT11" s="190"/>
      <c r="BU11" s="444"/>
      <c r="BV11" s="167"/>
    </row>
    <row r="12" spans="1:74" x14ac:dyDescent="0.25">
      <c r="A12" s="883"/>
      <c r="B12" s="586" t="s">
        <v>1118</v>
      </c>
      <c r="C12" s="192" t="s">
        <v>134</v>
      </c>
      <c r="D12" s="213" t="s">
        <v>100</v>
      </c>
      <c r="E12" s="193" t="s">
        <v>337</v>
      </c>
      <c r="F12" s="477">
        <f>BJ12</f>
        <v>0</v>
      </c>
      <c r="G12" s="7">
        <f>BK12</f>
        <v>0</v>
      </c>
      <c r="H12" s="272">
        <f>G12*0.2</f>
        <v>0</v>
      </c>
      <c r="I12" s="272">
        <f>G12*0.8</f>
        <v>0</v>
      </c>
      <c r="J12" s="7"/>
      <c r="K12" s="7"/>
      <c r="L12" s="7"/>
      <c r="M12" s="7"/>
      <c r="N12" s="7"/>
      <c r="O12" s="8"/>
      <c r="P12" s="8"/>
      <c r="Q12" s="8"/>
      <c r="R12" s="8">
        <v>0</v>
      </c>
      <c r="S12" s="8"/>
      <c r="T12" s="8"/>
      <c r="U12" s="8">
        <f>F12*0.25</f>
        <v>0</v>
      </c>
      <c r="V12" s="478">
        <f>R12*E12</f>
        <v>0</v>
      </c>
      <c r="W12" s="478">
        <f>S12*E12</f>
        <v>0</v>
      </c>
      <c r="X12" s="478">
        <f>T12*E12</f>
        <v>0</v>
      </c>
      <c r="Y12" s="478">
        <f>G12</f>
        <v>0</v>
      </c>
      <c r="Z12" s="8">
        <v>0</v>
      </c>
      <c r="AA12" s="8">
        <f t="shared" ref="AA12:AA29" si="0">Z12*E12</f>
        <v>0</v>
      </c>
      <c r="AB12" s="8">
        <v>0</v>
      </c>
      <c r="AC12" s="8">
        <f>AB12*E12</f>
        <v>0</v>
      </c>
      <c r="AD12" s="8"/>
      <c r="AE12" s="8">
        <f>AD12*E12</f>
        <v>0</v>
      </c>
      <c r="AF12" s="8">
        <v>0</v>
      </c>
      <c r="AG12" s="8">
        <f>AF12*E12</f>
        <v>0</v>
      </c>
      <c r="AH12" s="8"/>
      <c r="AI12" s="8">
        <f>AH12*E12</f>
        <v>0</v>
      </c>
      <c r="AJ12" s="8">
        <v>0</v>
      </c>
      <c r="AK12" s="8"/>
      <c r="AL12" s="8">
        <v>0</v>
      </c>
      <c r="AM12" s="8">
        <f>AL12*E12</f>
        <v>0</v>
      </c>
      <c r="AN12" s="8"/>
      <c r="AO12" s="8"/>
      <c r="AP12" s="8"/>
      <c r="AQ12" s="8">
        <f>AP12*E12</f>
        <v>0</v>
      </c>
      <c r="AR12" s="8"/>
      <c r="AS12" s="8">
        <f>AR12*E12</f>
        <v>0</v>
      </c>
      <c r="AT12" s="8"/>
      <c r="AU12" s="8"/>
      <c r="AV12" s="8">
        <v>0</v>
      </c>
      <c r="AW12" s="8">
        <v>0</v>
      </c>
      <c r="AX12" s="8"/>
      <c r="AY12" s="8"/>
      <c r="AZ12" s="8"/>
      <c r="BA12" s="8">
        <f>AZ12*E12</f>
        <v>0</v>
      </c>
      <c r="BB12" s="8"/>
      <c r="BC12" s="8">
        <f>BB12*E12</f>
        <v>0</v>
      </c>
      <c r="BD12" s="8"/>
      <c r="BE12" s="8">
        <f>BD12*E12</f>
        <v>0</v>
      </c>
      <c r="BF12" s="8"/>
      <c r="BG12" s="8">
        <f>BF12*E12</f>
        <v>0</v>
      </c>
      <c r="BH12" s="8"/>
      <c r="BI12" s="8">
        <f>BH12*E12</f>
        <v>0</v>
      </c>
      <c r="BJ12" s="8">
        <f t="shared" ref="BJ12:BK14" si="1">BH12+BF12+BD12+BB12+AZ12+AX12+AV12+AT12+AR12+AP12+AN12+AL12+AJ12+AH12+AF12+AD12+AB12+Z12</f>
        <v>0</v>
      </c>
      <c r="BK12" s="8">
        <f t="shared" si="1"/>
        <v>0</v>
      </c>
      <c r="BL12" s="479" t="s">
        <v>210</v>
      </c>
      <c r="BN12" s="190">
        <f>G12</f>
        <v>0</v>
      </c>
      <c r="BO12" s="190"/>
      <c r="BP12" s="190"/>
      <c r="BQ12" s="190"/>
      <c r="BR12" s="190">
        <f t="shared" ref="BR12:BR29" si="2">BN12+BO12+BP12+BQ12</f>
        <v>0</v>
      </c>
      <c r="BS12" s="190"/>
      <c r="BT12" s="190"/>
      <c r="BU12" s="444"/>
      <c r="BV12" s="167">
        <f t="shared" ref="BV12:BV54" si="3">BR12+BU12</f>
        <v>0</v>
      </c>
    </row>
    <row r="13" spans="1:74" s="203" customFormat="1" x14ac:dyDescent="0.25">
      <c r="A13" s="883"/>
      <c r="B13" s="586" t="s">
        <v>1119</v>
      </c>
      <c r="C13" s="192" t="s">
        <v>135</v>
      </c>
      <c r="D13" s="213" t="s">
        <v>100</v>
      </c>
      <c r="E13" s="193" t="s">
        <v>338</v>
      </c>
      <c r="F13" s="477">
        <f>BJ13</f>
        <v>0</v>
      </c>
      <c r="G13" s="480">
        <f>BK13</f>
        <v>0</v>
      </c>
      <c r="H13" s="272">
        <f>G13*0.2</f>
        <v>0</v>
      </c>
      <c r="I13" s="272">
        <f>G13*0.8</f>
        <v>0</v>
      </c>
      <c r="J13" s="272"/>
      <c r="K13" s="272"/>
      <c r="L13" s="272"/>
      <c r="M13" s="272"/>
      <c r="N13" s="272"/>
      <c r="O13" s="272"/>
      <c r="P13" s="272"/>
      <c r="Q13" s="272"/>
      <c r="R13" s="481"/>
      <c r="S13" s="481"/>
      <c r="T13" s="481"/>
      <c r="U13" s="481"/>
      <c r="V13" s="478">
        <f>R13*E13</f>
        <v>0</v>
      </c>
      <c r="W13" s="478">
        <f>S13*E13</f>
        <v>0</v>
      </c>
      <c r="X13" s="478">
        <f>T13*E13</f>
        <v>0</v>
      </c>
      <c r="Y13" s="478">
        <f>U13*E13</f>
        <v>0</v>
      </c>
      <c r="Z13" s="481"/>
      <c r="AA13" s="8">
        <f t="shared" si="0"/>
        <v>0</v>
      </c>
      <c r="AB13" s="481"/>
      <c r="AC13" s="8">
        <f>AB13*E13</f>
        <v>0</v>
      </c>
      <c r="AD13" s="481"/>
      <c r="AE13" s="8">
        <f>AD13*E13</f>
        <v>0</v>
      </c>
      <c r="AF13" s="481"/>
      <c r="AG13" s="8">
        <f>AF13*E13</f>
        <v>0</v>
      </c>
      <c r="AH13" s="481"/>
      <c r="AI13" s="8">
        <f>AH13*E13</f>
        <v>0</v>
      </c>
      <c r="AJ13" s="481">
        <v>0</v>
      </c>
      <c r="AK13" s="482"/>
      <c r="AL13" s="8"/>
      <c r="AM13" s="8">
        <f>AL13*E13</f>
        <v>0</v>
      </c>
      <c r="AN13" s="8"/>
      <c r="AO13" s="167"/>
      <c r="AP13" s="8"/>
      <c r="AQ13" s="8">
        <f>AP13*E13</f>
        <v>0</v>
      </c>
      <c r="AR13" s="8"/>
      <c r="AS13" s="8">
        <f>AR13*E13</f>
        <v>0</v>
      </c>
      <c r="AT13" s="8">
        <v>0</v>
      </c>
      <c r="AU13" s="167">
        <f t="shared" ref="AU13" si="4">AT13*E13</f>
        <v>0</v>
      </c>
      <c r="AV13" s="8">
        <v>0</v>
      </c>
      <c r="AW13" s="167"/>
      <c r="AX13" s="481"/>
      <c r="AY13" s="482"/>
      <c r="AZ13" s="481"/>
      <c r="BA13" s="8">
        <f>AZ13*E13</f>
        <v>0</v>
      </c>
      <c r="BB13" s="481"/>
      <c r="BC13" s="8">
        <f>BB13*E13</f>
        <v>0</v>
      </c>
      <c r="BD13" s="481"/>
      <c r="BE13" s="8">
        <f>BD13*E13</f>
        <v>0</v>
      </c>
      <c r="BF13" s="481"/>
      <c r="BG13" s="8">
        <f>BF13*E13</f>
        <v>0</v>
      </c>
      <c r="BH13" s="481"/>
      <c r="BI13" s="8">
        <f>BH13*E13</f>
        <v>0</v>
      </c>
      <c r="BJ13" s="8">
        <f t="shared" si="1"/>
        <v>0</v>
      </c>
      <c r="BK13" s="8">
        <f t="shared" si="1"/>
        <v>0</v>
      </c>
      <c r="BL13" s="479" t="s">
        <v>210</v>
      </c>
      <c r="BN13" s="190">
        <f>G13</f>
        <v>0</v>
      </c>
      <c r="BO13" s="202"/>
      <c r="BP13" s="202"/>
      <c r="BQ13" s="202"/>
      <c r="BR13" s="190">
        <f t="shared" si="2"/>
        <v>0</v>
      </c>
      <c r="BS13" s="202"/>
      <c r="BT13" s="202">
        <f t="shared" ref="BT13:BT19" si="5">G13</f>
        <v>0</v>
      </c>
      <c r="BU13" s="483">
        <f t="shared" ref="BU13:BU29" si="6">BS13+BT13</f>
        <v>0</v>
      </c>
      <c r="BV13" s="482">
        <f t="shared" si="3"/>
        <v>0</v>
      </c>
    </row>
    <row r="14" spans="1:74" x14ac:dyDescent="0.25">
      <c r="A14" s="883"/>
      <c r="B14" s="586" t="s">
        <v>1120</v>
      </c>
      <c r="C14" s="192" t="s">
        <v>136</v>
      </c>
      <c r="D14" s="213" t="s">
        <v>100</v>
      </c>
      <c r="E14" s="193" t="s">
        <v>339</v>
      </c>
      <c r="F14" s="477">
        <f>BJ14</f>
        <v>0</v>
      </c>
      <c r="G14" s="7">
        <f>F14*E14</f>
        <v>0</v>
      </c>
      <c r="H14" s="272">
        <f>G14*0.2</f>
        <v>0</v>
      </c>
      <c r="I14" s="272">
        <f>G14*0.8</f>
        <v>0</v>
      </c>
      <c r="J14" s="7"/>
      <c r="K14" s="7"/>
      <c r="L14" s="7"/>
      <c r="M14" s="7"/>
      <c r="N14" s="7"/>
      <c r="O14" s="7"/>
      <c r="P14" s="7"/>
      <c r="Q14" s="7"/>
      <c r="R14" s="8">
        <f>F14*0.25</f>
        <v>0</v>
      </c>
      <c r="S14" s="8">
        <f>F14*0.25</f>
        <v>0</v>
      </c>
      <c r="T14" s="8">
        <f>F14*0.25</f>
        <v>0</v>
      </c>
      <c r="U14" s="8">
        <f>F14*0.25</f>
        <v>0</v>
      </c>
      <c r="V14" s="464">
        <f>R14*E14</f>
        <v>0</v>
      </c>
      <c r="W14" s="464">
        <f>S14*E14</f>
        <v>0</v>
      </c>
      <c r="X14" s="464">
        <f>T14*E14</f>
        <v>0</v>
      </c>
      <c r="Y14" s="464">
        <f>U14*E14</f>
        <v>0</v>
      </c>
      <c r="Z14" s="8">
        <v>0</v>
      </c>
      <c r="AA14" s="8">
        <f t="shared" si="0"/>
        <v>0</v>
      </c>
      <c r="AB14" s="8"/>
      <c r="AC14" s="8">
        <f>AB14*E14</f>
        <v>0</v>
      </c>
      <c r="AD14" s="8">
        <v>0</v>
      </c>
      <c r="AE14" s="8">
        <f>AD14*E14</f>
        <v>0</v>
      </c>
      <c r="AF14" s="8"/>
      <c r="AG14" s="8">
        <f>AF14*E14</f>
        <v>0</v>
      </c>
      <c r="AH14" s="8">
        <v>0</v>
      </c>
      <c r="AI14" s="8">
        <f>AH14*E14</f>
        <v>0</v>
      </c>
      <c r="AJ14" s="8">
        <v>0</v>
      </c>
      <c r="AK14" s="167">
        <f>AJ14*E14</f>
        <v>0</v>
      </c>
      <c r="AL14" s="8">
        <v>0</v>
      </c>
      <c r="AM14" s="8">
        <f>AL14*E14</f>
        <v>0</v>
      </c>
      <c r="AN14" s="8"/>
      <c r="AO14" s="167"/>
      <c r="AP14" s="8">
        <v>0</v>
      </c>
      <c r="AQ14" s="8">
        <f>AP14*E14</f>
        <v>0</v>
      </c>
      <c r="AR14" s="8">
        <v>0</v>
      </c>
      <c r="AS14" s="8">
        <f>AR14*E14</f>
        <v>0</v>
      </c>
      <c r="AT14" s="8"/>
      <c r="AU14" s="167"/>
      <c r="AV14" s="8">
        <v>0</v>
      </c>
      <c r="AW14" s="167"/>
      <c r="AX14" s="8"/>
      <c r="AY14" s="167"/>
      <c r="AZ14" s="8">
        <v>0</v>
      </c>
      <c r="BA14" s="8">
        <f>AZ14*E14</f>
        <v>0</v>
      </c>
      <c r="BB14" s="8"/>
      <c r="BC14" s="8">
        <f>BB14*E14</f>
        <v>0</v>
      </c>
      <c r="BD14" s="8"/>
      <c r="BE14" s="8">
        <f>BD14*E14</f>
        <v>0</v>
      </c>
      <c r="BF14" s="8"/>
      <c r="BG14" s="8">
        <f>BF14*E14</f>
        <v>0</v>
      </c>
      <c r="BH14" s="8"/>
      <c r="BI14" s="8">
        <f>BH14*E14</f>
        <v>0</v>
      </c>
      <c r="BJ14" s="8">
        <f t="shared" si="1"/>
        <v>0</v>
      </c>
      <c r="BK14" s="8">
        <f t="shared" si="1"/>
        <v>0</v>
      </c>
      <c r="BL14" s="479" t="s">
        <v>210</v>
      </c>
      <c r="BN14" s="190">
        <f>G14</f>
        <v>0</v>
      </c>
      <c r="BO14" s="190"/>
      <c r="BP14" s="190"/>
      <c r="BQ14" s="190"/>
      <c r="BR14" s="190">
        <f t="shared" si="2"/>
        <v>0</v>
      </c>
      <c r="BS14" s="190"/>
      <c r="BT14" s="190">
        <f t="shared" si="5"/>
        <v>0</v>
      </c>
      <c r="BU14" s="444">
        <f t="shared" si="6"/>
        <v>0</v>
      </c>
      <c r="BV14" s="167">
        <f t="shared" si="3"/>
        <v>0</v>
      </c>
    </row>
    <row r="15" spans="1:74" x14ac:dyDescent="0.25">
      <c r="A15" s="883"/>
      <c r="B15" s="586" t="s">
        <v>1121</v>
      </c>
      <c r="C15" s="192" t="s">
        <v>937</v>
      </c>
      <c r="D15" s="213" t="s">
        <v>933</v>
      </c>
      <c r="E15" s="193" t="s">
        <v>16</v>
      </c>
      <c r="F15" s="477">
        <f>BJ15</f>
        <v>0</v>
      </c>
      <c r="G15" s="484">
        <f>BK15</f>
        <v>0</v>
      </c>
      <c r="H15" s="485"/>
      <c r="I15" s="485"/>
      <c r="J15" s="484"/>
      <c r="K15" s="484"/>
      <c r="L15" s="484"/>
      <c r="M15" s="484"/>
      <c r="N15" s="484"/>
      <c r="O15" s="484"/>
      <c r="P15" s="484"/>
      <c r="Q15" s="484"/>
      <c r="R15" s="486"/>
      <c r="S15" s="486"/>
      <c r="T15" s="486"/>
      <c r="U15" s="486"/>
      <c r="V15" s="487"/>
      <c r="W15" s="487"/>
      <c r="X15" s="487"/>
      <c r="Y15" s="487"/>
      <c r="Z15" s="486"/>
      <c r="AA15" s="486"/>
      <c r="AB15" s="486"/>
      <c r="AC15" s="486"/>
      <c r="AD15" s="486"/>
      <c r="AE15" s="486"/>
      <c r="AF15" s="486"/>
      <c r="AG15" s="486"/>
      <c r="AH15" s="486"/>
      <c r="AI15" s="486"/>
      <c r="AJ15" s="486"/>
      <c r="AK15" s="488"/>
      <c r="AL15" s="486">
        <v>0</v>
      </c>
      <c r="AM15" s="486">
        <v>0</v>
      </c>
      <c r="AN15" s="486"/>
      <c r="AO15" s="488"/>
      <c r="AP15" s="486"/>
      <c r="AQ15" s="486"/>
      <c r="AR15" s="486"/>
      <c r="AS15" s="486"/>
      <c r="AT15" s="486"/>
      <c r="AU15" s="488"/>
      <c r="AV15" s="486"/>
      <c r="AW15" s="488"/>
      <c r="AX15" s="486"/>
      <c r="AY15" s="488"/>
      <c r="AZ15" s="486"/>
      <c r="BA15" s="486"/>
      <c r="BB15" s="486"/>
      <c r="BC15" s="486"/>
      <c r="BD15" s="486"/>
      <c r="BE15" s="486"/>
      <c r="BF15" s="486"/>
      <c r="BG15" s="486"/>
      <c r="BH15" s="486"/>
      <c r="BI15" s="486"/>
      <c r="BJ15" s="8">
        <f t="shared" ref="BJ15" si="7">BH15+BF15+BD15+BB15+AZ15+AX15+AV15+AT15+AR15+AP15+AN15+AL15+AJ15+AH15+AF15+AD15+AB15+Z15</f>
        <v>0</v>
      </c>
      <c r="BK15" s="8">
        <f t="shared" ref="BK15" si="8">BI15+BG15+BE15+BC15+BA15+AY15+AW15+AU15+AS15+AQ15+AO15+AM15+AK15+AI15+AG15+AE15+AC15+AA15</f>
        <v>0</v>
      </c>
      <c r="BL15" s="489" t="s">
        <v>934</v>
      </c>
      <c r="BN15" s="490"/>
      <c r="BO15" s="490"/>
      <c r="BP15" s="490"/>
      <c r="BQ15" s="490"/>
      <c r="BR15" s="490"/>
      <c r="BS15" s="490"/>
      <c r="BT15" s="490"/>
      <c r="BU15" s="491"/>
      <c r="BV15" s="488"/>
    </row>
    <row r="16" spans="1:74" s="180" customFormat="1" x14ac:dyDescent="0.25">
      <c r="A16" s="883"/>
      <c r="B16" s="207"/>
      <c r="C16" s="185" t="s">
        <v>318</v>
      </c>
      <c r="D16" s="223" t="s">
        <v>100</v>
      </c>
      <c r="E16" s="492"/>
      <c r="F16" s="493">
        <f>SUM(F12:F14)</f>
        <v>0</v>
      </c>
      <c r="G16" s="493">
        <f t="shared" ref="G16:BR16" si="9">SUM(G12:G14)</f>
        <v>0</v>
      </c>
      <c r="H16" s="493">
        <f t="shared" si="9"/>
        <v>0</v>
      </c>
      <c r="I16" s="493">
        <f t="shared" si="9"/>
        <v>0</v>
      </c>
      <c r="J16" s="493">
        <f t="shared" si="9"/>
        <v>0</v>
      </c>
      <c r="K16" s="493">
        <f t="shared" si="9"/>
        <v>0</v>
      </c>
      <c r="L16" s="493">
        <f t="shared" si="9"/>
        <v>0</v>
      </c>
      <c r="M16" s="493">
        <f t="shared" si="9"/>
        <v>0</v>
      </c>
      <c r="N16" s="493">
        <f t="shared" si="9"/>
        <v>0</v>
      </c>
      <c r="O16" s="493">
        <f t="shared" si="9"/>
        <v>0</v>
      </c>
      <c r="P16" s="493">
        <f t="shared" si="9"/>
        <v>0</v>
      </c>
      <c r="Q16" s="493">
        <f t="shared" si="9"/>
        <v>0</v>
      </c>
      <c r="R16" s="493">
        <f t="shared" si="9"/>
        <v>0</v>
      </c>
      <c r="S16" s="493">
        <f t="shared" si="9"/>
        <v>0</v>
      </c>
      <c r="T16" s="493">
        <f t="shared" si="9"/>
        <v>0</v>
      </c>
      <c r="U16" s="493">
        <f t="shared" si="9"/>
        <v>0</v>
      </c>
      <c r="V16" s="493">
        <f t="shared" si="9"/>
        <v>0</v>
      </c>
      <c r="W16" s="493">
        <f t="shared" si="9"/>
        <v>0</v>
      </c>
      <c r="X16" s="493">
        <f t="shared" si="9"/>
        <v>0</v>
      </c>
      <c r="Y16" s="493">
        <f t="shared" si="9"/>
        <v>0</v>
      </c>
      <c r="Z16" s="493">
        <f t="shared" si="9"/>
        <v>0</v>
      </c>
      <c r="AA16" s="493">
        <f t="shared" si="9"/>
        <v>0</v>
      </c>
      <c r="AB16" s="493">
        <f t="shared" si="9"/>
        <v>0</v>
      </c>
      <c r="AC16" s="493">
        <f t="shared" si="9"/>
        <v>0</v>
      </c>
      <c r="AD16" s="493">
        <f t="shared" si="9"/>
        <v>0</v>
      </c>
      <c r="AE16" s="493">
        <f t="shared" si="9"/>
        <v>0</v>
      </c>
      <c r="AF16" s="493">
        <f t="shared" si="9"/>
        <v>0</v>
      </c>
      <c r="AG16" s="493">
        <f t="shared" si="9"/>
        <v>0</v>
      </c>
      <c r="AH16" s="493">
        <f t="shared" si="9"/>
        <v>0</v>
      </c>
      <c r="AI16" s="493">
        <f t="shared" si="9"/>
        <v>0</v>
      </c>
      <c r="AJ16" s="493">
        <f t="shared" si="9"/>
        <v>0</v>
      </c>
      <c r="AK16" s="493">
        <f t="shared" si="9"/>
        <v>0</v>
      </c>
      <c r="AL16" s="493">
        <f t="shared" si="9"/>
        <v>0</v>
      </c>
      <c r="AM16" s="493">
        <f t="shared" si="9"/>
        <v>0</v>
      </c>
      <c r="AN16" s="493">
        <f t="shared" si="9"/>
        <v>0</v>
      </c>
      <c r="AO16" s="493">
        <f t="shared" si="9"/>
        <v>0</v>
      </c>
      <c r="AP16" s="493">
        <f t="shared" si="9"/>
        <v>0</v>
      </c>
      <c r="AQ16" s="493">
        <f t="shared" si="9"/>
        <v>0</v>
      </c>
      <c r="AR16" s="493">
        <f t="shared" si="9"/>
        <v>0</v>
      </c>
      <c r="AS16" s="493">
        <f t="shared" si="9"/>
        <v>0</v>
      </c>
      <c r="AT16" s="493">
        <v>0</v>
      </c>
      <c r="AU16" s="493">
        <f t="shared" ref="AU16:AW16" si="10">SUM(AU12:AU14)</f>
        <v>0</v>
      </c>
      <c r="AV16" s="493">
        <f t="shared" si="10"/>
        <v>0</v>
      </c>
      <c r="AW16" s="493">
        <f t="shared" si="10"/>
        <v>0</v>
      </c>
      <c r="AX16" s="493">
        <f t="shared" si="9"/>
        <v>0</v>
      </c>
      <c r="AY16" s="493">
        <f t="shared" si="9"/>
        <v>0</v>
      </c>
      <c r="AZ16" s="493">
        <f t="shared" si="9"/>
        <v>0</v>
      </c>
      <c r="BA16" s="493">
        <f t="shared" si="9"/>
        <v>0</v>
      </c>
      <c r="BB16" s="493">
        <f t="shared" si="9"/>
        <v>0</v>
      </c>
      <c r="BC16" s="493">
        <f t="shared" si="9"/>
        <v>0</v>
      </c>
      <c r="BD16" s="493">
        <f t="shared" si="9"/>
        <v>0</v>
      </c>
      <c r="BE16" s="493">
        <f t="shared" si="9"/>
        <v>0</v>
      </c>
      <c r="BF16" s="493">
        <f t="shared" si="9"/>
        <v>0</v>
      </c>
      <c r="BG16" s="493">
        <f t="shared" si="9"/>
        <v>0</v>
      </c>
      <c r="BH16" s="493">
        <f t="shared" si="9"/>
        <v>0</v>
      </c>
      <c r="BI16" s="493">
        <f t="shared" si="9"/>
        <v>0</v>
      </c>
      <c r="BJ16" s="493">
        <f t="shared" si="9"/>
        <v>0</v>
      </c>
      <c r="BK16" s="493">
        <f t="shared" si="9"/>
        <v>0</v>
      </c>
      <c r="BL16" s="493">
        <f>SUM(BL12:BL15)</f>
        <v>0</v>
      </c>
      <c r="BM16" s="493">
        <f t="shared" si="9"/>
        <v>0</v>
      </c>
      <c r="BN16" s="493">
        <f t="shared" si="9"/>
        <v>0</v>
      </c>
      <c r="BO16" s="493">
        <f t="shared" si="9"/>
        <v>0</v>
      </c>
      <c r="BP16" s="493">
        <f t="shared" si="9"/>
        <v>0</v>
      </c>
      <c r="BQ16" s="493">
        <f t="shared" si="9"/>
        <v>0</v>
      </c>
      <c r="BR16" s="493">
        <f t="shared" si="9"/>
        <v>0</v>
      </c>
      <c r="BS16" s="493">
        <f>SUM(BS12:BS14)</f>
        <v>0</v>
      </c>
      <c r="BT16" s="493">
        <f>SUM(BT12:BT14)</f>
        <v>0</v>
      </c>
      <c r="BU16" s="493">
        <f>SUM(BU12:BU14)</f>
        <v>0</v>
      </c>
      <c r="BV16" s="493">
        <f>SUM(BV12:BV14)</f>
        <v>0</v>
      </c>
    </row>
    <row r="17" spans="1:74" x14ac:dyDescent="0.25">
      <c r="A17" s="883"/>
      <c r="B17" s="169"/>
      <c r="C17" s="185" t="s">
        <v>334</v>
      </c>
      <c r="D17" s="213" t="s">
        <v>100</v>
      </c>
      <c r="E17" s="494"/>
      <c r="F17" s="47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8">
        <f>F17*0.25</f>
        <v>0</v>
      </c>
      <c r="S17" s="8">
        <f>F17*0.25</f>
        <v>0</v>
      </c>
      <c r="T17" s="8">
        <f>F17*0.25</f>
        <v>0</v>
      </c>
      <c r="U17" s="8">
        <f>F17*0.25</f>
        <v>0</v>
      </c>
      <c r="V17" s="464">
        <f>R17*E17</f>
        <v>0</v>
      </c>
      <c r="W17" s="464">
        <f>S17*E17</f>
        <v>0</v>
      </c>
      <c r="X17" s="464">
        <f t="shared" ref="X17:X23" si="11">T17*E17</f>
        <v>0</v>
      </c>
      <c r="Y17" s="464">
        <f t="shared" ref="Y17:Y23" si="12">U17*E17</f>
        <v>0</v>
      </c>
      <c r="Z17" s="8"/>
      <c r="AA17" s="8">
        <f t="shared" si="0"/>
        <v>0</v>
      </c>
      <c r="AB17" s="8"/>
      <c r="AC17" s="167">
        <f>AB17*E17</f>
        <v>0</v>
      </c>
      <c r="AD17" s="8"/>
      <c r="AE17" s="167">
        <f>AD17*E17</f>
        <v>0</v>
      </c>
      <c r="AF17" s="8"/>
      <c r="AG17" s="167">
        <f>AF17*E17</f>
        <v>0</v>
      </c>
      <c r="AH17" s="8"/>
      <c r="AI17" s="167">
        <f>AH17*E17</f>
        <v>0</v>
      </c>
      <c r="AJ17" s="8"/>
      <c r="AK17" s="167"/>
      <c r="AL17" s="8"/>
      <c r="AM17" s="167">
        <f>AL17*E17</f>
        <v>0</v>
      </c>
      <c r="AN17" s="8"/>
      <c r="AO17" s="167"/>
      <c r="AP17" s="8"/>
      <c r="AQ17" s="167">
        <f>AP17*E17</f>
        <v>0</v>
      </c>
      <c r="AR17" s="8"/>
      <c r="AS17" s="167">
        <f>AR17*E17</f>
        <v>0</v>
      </c>
      <c r="AT17" s="8"/>
      <c r="AU17" s="167"/>
      <c r="AV17" s="8"/>
      <c r="AW17" s="167"/>
      <c r="AX17" s="8"/>
      <c r="AY17" s="167"/>
      <c r="AZ17" s="8"/>
      <c r="BA17" s="167">
        <f>AZ17*E17</f>
        <v>0</v>
      </c>
      <c r="BB17" s="8"/>
      <c r="BC17" s="167">
        <f>BB17*E17</f>
        <v>0</v>
      </c>
      <c r="BD17" s="8"/>
      <c r="BE17" s="167">
        <f>BD17*E17</f>
        <v>0</v>
      </c>
      <c r="BF17" s="8"/>
      <c r="BG17" s="167">
        <f>BF17*E17</f>
        <v>0</v>
      </c>
      <c r="BH17" s="8"/>
      <c r="BI17" s="167">
        <f>BH17*E17</f>
        <v>0</v>
      </c>
      <c r="BJ17" s="8">
        <f>Z17+AB17+AD17+AH17+AL17+AP17+AR17+AZ17+BB17+BD17+BF17+BH17</f>
        <v>0</v>
      </c>
      <c r="BK17" s="443">
        <f>AA17+AC17+AE17+AG17+AI17+AM17+AQ17+AS17+BA17+BC17+BE17+BG17+BI17</f>
        <v>0</v>
      </c>
      <c r="BL17" s="479" t="s">
        <v>210</v>
      </c>
      <c r="BN17" s="190"/>
      <c r="BO17" s="190"/>
      <c r="BP17" s="190"/>
      <c r="BQ17" s="190"/>
      <c r="BR17" s="190">
        <f t="shared" si="2"/>
        <v>0</v>
      </c>
      <c r="BS17" s="190"/>
      <c r="BT17" s="190">
        <f t="shared" si="5"/>
        <v>0</v>
      </c>
      <c r="BU17" s="444">
        <f t="shared" si="6"/>
        <v>0</v>
      </c>
      <c r="BV17" s="167">
        <f t="shared" si="3"/>
        <v>0</v>
      </c>
    </row>
    <row r="18" spans="1:74" x14ac:dyDescent="0.25">
      <c r="A18" s="883"/>
      <c r="B18" s="586" t="s">
        <v>1122</v>
      </c>
      <c r="C18" s="192" t="s">
        <v>285</v>
      </c>
      <c r="D18" s="213" t="s">
        <v>100</v>
      </c>
      <c r="E18" s="193">
        <v>55000</v>
      </c>
      <c r="F18" s="477">
        <f>BJ18</f>
        <v>204</v>
      </c>
      <c r="G18" s="7">
        <f>BK18</f>
        <v>10600000</v>
      </c>
      <c r="H18" s="272">
        <f>G18*0.5</f>
        <v>5300000</v>
      </c>
      <c r="I18" s="272">
        <f>G18*0.5</f>
        <v>5300000</v>
      </c>
      <c r="J18" s="7"/>
      <c r="K18" s="7"/>
      <c r="L18" s="7"/>
      <c r="M18" s="7"/>
      <c r="N18" s="7"/>
      <c r="O18" s="7"/>
      <c r="P18" s="7"/>
      <c r="Q18" s="7"/>
      <c r="R18" s="8">
        <f>F18*0.25</f>
        <v>51</v>
      </c>
      <c r="S18" s="8">
        <f>F18*0.25</f>
        <v>51</v>
      </c>
      <c r="T18" s="8">
        <f>F18*0.25</f>
        <v>51</v>
      </c>
      <c r="U18" s="8">
        <f>F18*0.25</f>
        <v>51</v>
      </c>
      <c r="V18" s="464">
        <f>R18*E18</f>
        <v>2805000</v>
      </c>
      <c r="W18" s="464">
        <f>S18*E18-200000</f>
        <v>2605000</v>
      </c>
      <c r="X18" s="464">
        <f t="shared" si="11"/>
        <v>2805000</v>
      </c>
      <c r="Y18" s="464">
        <f t="shared" si="12"/>
        <v>2805000</v>
      </c>
      <c r="Z18" s="8">
        <v>12</v>
      </c>
      <c r="AA18" s="8">
        <f t="shared" si="0"/>
        <v>660000</v>
      </c>
      <c r="AB18" s="8">
        <v>12</v>
      </c>
      <c r="AC18" s="167">
        <f t="shared" ref="AC18:AC29" si="13">AB18*E18</f>
        <v>660000</v>
      </c>
      <c r="AD18" s="8">
        <v>12</v>
      </c>
      <c r="AE18" s="167">
        <f t="shared" ref="AE18:AE29" si="14">AD18*E18</f>
        <v>660000</v>
      </c>
      <c r="AF18" s="8">
        <v>12</v>
      </c>
      <c r="AG18" s="167">
        <f t="shared" ref="AG18:AG29" si="15">AF18*E18</f>
        <v>660000</v>
      </c>
      <c r="AH18" s="8">
        <v>12</v>
      </c>
      <c r="AI18" s="167">
        <f t="shared" ref="AI18:AI29" si="16">AH18*E18</f>
        <v>660000</v>
      </c>
      <c r="AJ18" s="8">
        <v>12</v>
      </c>
      <c r="AK18" s="167">
        <f>AJ18*E18</f>
        <v>660000</v>
      </c>
      <c r="AL18" s="8">
        <v>12</v>
      </c>
      <c r="AM18" s="167">
        <v>540000</v>
      </c>
      <c r="AN18" s="8">
        <v>12</v>
      </c>
      <c r="AO18" s="167">
        <v>540000</v>
      </c>
      <c r="AP18" s="8">
        <v>12</v>
      </c>
      <c r="AQ18" s="167">
        <f t="shared" ref="AQ18:AQ29" si="17">AP18*E18</f>
        <v>660000</v>
      </c>
      <c r="AR18" s="8">
        <v>12</v>
      </c>
      <c r="AS18" s="167">
        <v>540000</v>
      </c>
      <c r="AT18" s="8">
        <v>12</v>
      </c>
      <c r="AU18" s="167">
        <v>540000</v>
      </c>
      <c r="AV18" s="8">
        <v>12</v>
      </c>
      <c r="AW18" s="167">
        <v>720000</v>
      </c>
      <c r="AX18" s="8">
        <v>12</v>
      </c>
      <c r="AY18" s="167">
        <f>AX18*E18</f>
        <v>660000</v>
      </c>
      <c r="AZ18" s="8">
        <v>12</v>
      </c>
      <c r="BA18" s="167">
        <f>AZ18*E18-200000</f>
        <v>460000</v>
      </c>
      <c r="BB18" s="8">
        <v>12</v>
      </c>
      <c r="BC18" s="167">
        <f t="shared" ref="BC18:BC29" si="18">BB18*E18</f>
        <v>660000</v>
      </c>
      <c r="BD18" s="8">
        <v>12</v>
      </c>
      <c r="BE18" s="167">
        <f t="shared" ref="BE18:BE29" si="19">BD18*E18</f>
        <v>660000</v>
      </c>
      <c r="BF18" s="8">
        <v>12</v>
      </c>
      <c r="BG18" s="167">
        <f t="shared" ref="BG18:BG29" si="20">BF18*E18</f>
        <v>660000</v>
      </c>
      <c r="BH18" s="8">
        <v>0</v>
      </c>
      <c r="BI18" s="167">
        <f t="shared" ref="BI18:BI29" si="21">BH18*E18</f>
        <v>0</v>
      </c>
      <c r="BJ18" s="8">
        <f>BH18+BF18+BD18+BB18+AZ18+AX18+AV18+AT18+AR18+AP18+AN18+AL18+AJ18+AH18+AF18+AD18+AB18+Z18</f>
        <v>204</v>
      </c>
      <c r="BK18" s="8">
        <f>BI18+BG18+BE18+BC18+BA18+AY18+AW18+AU18+AS18+AQ18+AO18+AM18+AK18+AI18+AG18+AE18+AC18+AA18</f>
        <v>10600000</v>
      </c>
      <c r="BL18" s="479" t="s">
        <v>212</v>
      </c>
      <c r="BN18" s="190"/>
      <c r="BO18" s="190"/>
      <c r="BP18" s="190"/>
      <c r="BQ18" s="190"/>
      <c r="BR18" s="190">
        <f t="shared" si="2"/>
        <v>0</v>
      </c>
      <c r="BS18" s="190"/>
      <c r="BT18" s="190">
        <f t="shared" si="5"/>
        <v>10600000</v>
      </c>
      <c r="BU18" s="444">
        <f t="shared" si="6"/>
        <v>10600000</v>
      </c>
      <c r="BV18" s="167">
        <f t="shared" si="3"/>
        <v>10600000</v>
      </c>
    </row>
    <row r="19" spans="1:74" ht="31.5" x14ac:dyDescent="0.25">
      <c r="A19" s="883"/>
      <c r="B19" s="586" t="s">
        <v>1123</v>
      </c>
      <c r="C19" s="199" t="s">
        <v>636</v>
      </c>
      <c r="D19" s="213" t="s">
        <v>100</v>
      </c>
      <c r="E19" s="193">
        <f>2500*4</f>
        <v>10000</v>
      </c>
      <c r="F19" s="477">
        <f t="shared" ref="F19:F29" si="22">BJ19</f>
        <v>204</v>
      </c>
      <c r="G19" s="7">
        <f t="shared" ref="G19:G29" si="23">F19*E19</f>
        <v>2040000</v>
      </c>
      <c r="H19" s="272">
        <f>G19*0.5</f>
        <v>1020000</v>
      </c>
      <c r="I19" s="272">
        <f>G19*0.5</f>
        <v>1020000</v>
      </c>
      <c r="J19" s="7"/>
      <c r="K19" s="7"/>
      <c r="L19" s="7"/>
      <c r="M19" s="7"/>
      <c r="N19" s="7"/>
      <c r="O19" s="7"/>
      <c r="P19" s="7"/>
      <c r="Q19" s="7"/>
      <c r="R19" s="8">
        <f>F19*0.25</f>
        <v>51</v>
      </c>
      <c r="S19" s="8">
        <f>F19*0.25</f>
        <v>51</v>
      </c>
      <c r="T19" s="8">
        <f>F19*0.25</f>
        <v>51</v>
      </c>
      <c r="U19" s="8">
        <f>F19*0.25</f>
        <v>51</v>
      </c>
      <c r="V19" s="464">
        <f>R19*E19</f>
        <v>510000</v>
      </c>
      <c r="W19" s="464">
        <f>S19*E19</f>
        <v>510000</v>
      </c>
      <c r="X19" s="464">
        <f t="shared" si="11"/>
        <v>510000</v>
      </c>
      <c r="Y19" s="464">
        <f t="shared" si="12"/>
        <v>510000</v>
      </c>
      <c r="Z19" s="8">
        <v>12</v>
      </c>
      <c r="AA19" s="8">
        <f t="shared" si="0"/>
        <v>120000</v>
      </c>
      <c r="AB19" s="8">
        <v>12</v>
      </c>
      <c r="AC19" s="167">
        <f t="shared" si="13"/>
        <v>120000</v>
      </c>
      <c r="AD19" s="8">
        <v>12</v>
      </c>
      <c r="AE19" s="167">
        <f t="shared" si="14"/>
        <v>120000</v>
      </c>
      <c r="AF19" s="8">
        <v>12</v>
      </c>
      <c r="AG19" s="167">
        <f t="shared" si="15"/>
        <v>120000</v>
      </c>
      <c r="AH19" s="8">
        <v>12</v>
      </c>
      <c r="AI19" s="167">
        <f t="shared" si="16"/>
        <v>120000</v>
      </c>
      <c r="AJ19" s="8">
        <v>12</v>
      </c>
      <c r="AK19" s="167">
        <f t="shared" ref="AK19:AK29" si="24">AJ19*E19</f>
        <v>120000</v>
      </c>
      <c r="AL19" s="8">
        <v>12</v>
      </c>
      <c r="AM19" s="167">
        <f t="shared" ref="AM19:AM29" si="25">AL19*E19</f>
        <v>120000</v>
      </c>
      <c r="AN19" s="8">
        <v>12</v>
      </c>
      <c r="AO19" s="167">
        <f t="shared" ref="AO19:AO29" si="26">AN19*E19</f>
        <v>120000</v>
      </c>
      <c r="AP19" s="8">
        <v>12</v>
      </c>
      <c r="AQ19" s="167">
        <f t="shared" si="17"/>
        <v>120000</v>
      </c>
      <c r="AR19" s="8">
        <v>12</v>
      </c>
      <c r="AS19" s="167">
        <f t="shared" ref="AS19:AS29" si="27">AR19*E19</f>
        <v>120000</v>
      </c>
      <c r="AT19" s="8">
        <v>12</v>
      </c>
      <c r="AU19" s="167">
        <f t="shared" ref="AU19:AU29" si="28">AT19*E19</f>
        <v>120000</v>
      </c>
      <c r="AV19" s="8">
        <v>12</v>
      </c>
      <c r="AW19" s="167">
        <f t="shared" ref="AW19:AW29" si="29">AV19*E19</f>
        <v>120000</v>
      </c>
      <c r="AX19" s="8">
        <v>12</v>
      </c>
      <c r="AY19" s="167">
        <f t="shared" ref="AY19:AY29" si="30">AX19*E19</f>
        <v>120000</v>
      </c>
      <c r="AZ19" s="8">
        <v>12</v>
      </c>
      <c r="BA19" s="167">
        <f t="shared" ref="BA19:BA29" si="31">AZ19*E19</f>
        <v>120000</v>
      </c>
      <c r="BB19" s="8">
        <v>12</v>
      </c>
      <c r="BC19" s="167">
        <f t="shared" si="18"/>
        <v>120000</v>
      </c>
      <c r="BD19" s="8">
        <v>12</v>
      </c>
      <c r="BE19" s="167">
        <f t="shared" si="19"/>
        <v>120000</v>
      </c>
      <c r="BF19" s="8">
        <v>12</v>
      </c>
      <c r="BG19" s="167">
        <f t="shared" si="20"/>
        <v>120000</v>
      </c>
      <c r="BH19" s="8">
        <v>0</v>
      </c>
      <c r="BI19" s="167">
        <f t="shared" si="21"/>
        <v>0</v>
      </c>
      <c r="BJ19" s="8">
        <f t="shared" ref="BJ19:BK29" si="32">BH19+BF19+BD19+BB19+AZ19+AX19+AV19+AT19+AR19+AP19+AN19+AL19+AJ19+AH19+AF19+AD19+AB19+Z19</f>
        <v>204</v>
      </c>
      <c r="BK19" s="8">
        <f t="shared" si="32"/>
        <v>2040000</v>
      </c>
      <c r="BL19" s="479" t="s">
        <v>212</v>
      </c>
      <c r="BN19" s="190"/>
      <c r="BO19" s="190"/>
      <c r="BP19" s="190"/>
      <c r="BQ19" s="190"/>
      <c r="BR19" s="190">
        <f t="shared" si="2"/>
        <v>0</v>
      </c>
      <c r="BS19" s="190"/>
      <c r="BT19" s="190">
        <f t="shared" si="5"/>
        <v>2040000</v>
      </c>
      <c r="BU19" s="444">
        <f t="shared" si="6"/>
        <v>2040000</v>
      </c>
      <c r="BV19" s="167">
        <f t="shared" si="3"/>
        <v>2040000</v>
      </c>
    </row>
    <row r="20" spans="1:74" x14ac:dyDescent="0.25">
      <c r="A20" s="883"/>
      <c r="B20" s="586" t="s">
        <v>1124</v>
      </c>
      <c r="C20" s="199" t="s">
        <v>1002</v>
      </c>
      <c r="D20" s="213" t="s">
        <v>100</v>
      </c>
      <c r="E20" s="193">
        <v>50000</v>
      </c>
      <c r="F20" s="477">
        <f t="shared" si="22"/>
        <v>0</v>
      </c>
      <c r="G20" s="7">
        <f t="shared" si="23"/>
        <v>0</v>
      </c>
      <c r="H20" s="272">
        <f>G20*0.2</f>
        <v>0</v>
      </c>
      <c r="I20" s="272">
        <f>G20*0.8</f>
        <v>0</v>
      </c>
      <c r="J20" s="7"/>
      <c r="K20" s="7"/>
      <c r="L20" s="7"/>
      <c r="M20" s="7"/>
      <c r="N20" s="7"/>
      <c r="O20" s="7"/>
      <c r="P20" s="7"/>
      <c r="Q20" s="7"/>
      <c r="R20" s="8">
        <f>F20*1</f>
        <v>0</v>
      </c>
      <c r="S20" s="8"/>
      <c r="T20" s="8"/>
      <c r="U20" s="8"/>
      <c r="V20" s="464">
        <f>G20</f>
        <v>0</v>
      </c>
      <c r="W20" s="464">
        <f>S20*E20</f>
        <v>0</v>
      </c>
      <c r="X20" s="464">
        <f t="shared" si="11"/>
        <v>0</v>
      </c>
      <c r="Y20" s="464">
        <f t="shared" si="12"/>
        <v>0</v>
      </c>
      <c r="Z20" s="8">
        <v>0</v>
      </c>
      <c r="AA20" s="8">
        <f t="shared" si="0"/>
        <v>0</v>
      </c>
      <c r="AB20" s="8">
        <v>0</v>
      </c>
      <c r="AC20" s="167">
        <f t="shared" si="13"/>
        <v>0</v>
      </c>
      <c r="AD20" s="8">
        <v>0</v>
      </c>
      <c r="AE20" s="167">
        <f t="shared" si="14"/>
        <v>0</v>
      </c>
      <c r="AF20" s="8">
        <v>0</v>
      </c>
      <c r="AG20" s="167">
        <f t="shared" si="15"/>
        <v>0</v>
      </c>
      <c r="AH20" s="8">
        <v>0</v>
      </c>
      <c r="AI20" s="167">
        <f t="shared" si="16"/>
        <v>0</v>
      </c>
      <c r="AJ20" s="8">
        <v>0</v>
      </c>
      <c r="AK20" s="167">
        <f t="shared" si="24"/>
        <v>0</v>
      </c>
      <c r="AL20" s="8">
        <v>0</v>
      </c>
      <c r="AM20" s="167">
        <f t="shared" si="25"/>
        <v>0</v>
      </c>
      <c r="AN20" s="8">
        <v>0</v>
      </c>
      <c r="AO20" s="167">
        <f t="shared" si="26"/>
        <v>0</v>
      </c>
      <c r="AP20" s="8">
        <v>0</v>
      </c>
      <c r="AQ20" s="167">
        <f t="shared" si="17"/>
        <v>0</v>
      </c>
      <c r="AR20" s="8">
        <v>0</v>
      </c>
      <c r="AS20" s="167">
        <f t="shared" si="27"/>
        <v>0</v>
      </c>
      <c r="AT20" s="8">
        <v>0</v>
      </c>
      <c r="AU20" s="167">
        <f t="shared" si="28"/>
        <v>0</v>
      </c>
      <c r="AV20" s="8">
        <v>0</v>
      </c>
      <c r="AW20" s="167">
        <f t="shared" si="29"/>
        <v>0</v>
      </c>
      <c r="AX20" s="8">
        <v>0</v>
      </c>
      <c r="AY20" s="167">
        <f t="shared" si="30"/>
        <v>0</v>
      </c>
      <c r="AZ20" s="8">
        <v>0</v>
      </c>
      <c r="BA20" s="167">
        <f t="shared" si="31"/>
        <v>0</v>
      </c>
      <c r="BB20" s="8">
        <v>0</v>
      </c>
      <c r="BC20" s="167">
        <f t="shared" si="18"/>
        <v>0</v>
      </c>
      <c r="BD20" s="8">
        <v>0</v>
      </c>
      <c r="BE20" s="167">
        <f t="shared" si="19"/>
        <v>0</v>
      </c>
      <c r="BF20" s="8">
        <v>0</v>
      </c>
      <c r="BG20" s="167">
        <f t="shared" si="20"/>
        <v>0</v>
      </c>
      <c r="BH20" s="8">
        <v>0</v>
      </c>
      <c r="BI20" s="167"/>
      <c r="BJ20" s="8">
        <f>BH20+BF20+BD20+BB20+AZ20+AX20+AV20+AT20+AR20+AP20+AN20+AL20+AJ20+AH20+AF20+AD20+AB20+Z20</f>
        <v>0</v>
      </c>
      <c r="BK20" s="8">
        <f>BI20+BG20+BE20+BC20+BA20+AY20+AW20+AU20+AS20+AQ20+AO20+AM20+AK20+AI20+AG20+AE20+AC20+AA20</f>
        <v>0</v>
      </c>
      <c r="BL20" s="479" t="s">
        <v>210</v>
      </c>
      <c r="BN20" s="444"/>
      <c r="BO20" s="444"/>
      <c r="BP20" s="190">
        <f>BK20</f>
        <v>0</v>
      </c>
      <c r="BQ20" s="444"/>
      <c r="BR20" s="190"/>
      <c r="BS20" s="444">
        <f>SUM(BS12:BS18)</f>
        <v>0</v>
      </c>
      <c r="BT20" s="444">
        <f>G20</f>
        <v>0</v>
      </c>
      <c r="BU20" s="444">
        <f t="shared" si="6"/>
        <v>0</v>
      </c>
      <c r="BV20" s="167">
        <f t="shared" si="3"/>
        <v>0</v>
      </c>
    </row>
    <row r="21" spans="1:74" s="180" customFormat="1" x14ac:dyDescent="0.25">
      <c r="A21" s="883"/>
      <c r="B21" s="586" t="s">
        <v>1125</v>
      </c>
      <c r="C21" s="192" t="s">
        <v>101</v>
      </c>
      <c r="D21" s="213" t="s">
        <v>100</v>
      </c>
      <c r="E21" s="193">
        <v>5000</v>
      </c>
      <c r="F21" s="477">
        <f t="shared" si="22"/>
        <v>68</v>
      </c>
      <c r="G21" s="7">
        <f t="shared" si="23"/>
        <v>340000</v>
      </c>
      <c r="H21" s="272">
        <f t="shared" ref="H21:H29" si="33">G21*0.2</f>
        <v>68000</v>
      </c>
      <c r="I21" s="272">
        <f t="shared" ref="I21:I29" si="34">G21*0.8</f>
        <v>272000</v>
      </c>
      <c r="J21" s="7"/>
      <c r="K21" s="7"/>
      <c r="L21" s="7"/>
      <c r="M21" s="7"/>
      <c r="N21" s="7"/>
      <c r="O21" s="7"/>
      <c r="P21" s="7"/>
      <c r="Q21" s="7"/>
      <c r="R21" s="224">
        <f>F21/4</f>
        <v>17</v>
      </c>
      <c r="S21" s="224">
        <f>F21*0.25</f>
        <v>17</v>
      </c>
      <c r="T21" s="224">
        <f>F21*0.25</f>
        <v>17</v>
      </c>
      <c r="U21" s="224">
        <f>F21*0.25</f>
        <v>17</v>
      </c>
      <c r="V21" s="464">
        <f>R21*E21</f>
        <v>85000</v>
      </c>
      <c r="W21" s="464">
        <f>S21*E21</f>
        <v>85000</v>
      </c>
      <c r="X21" s="464">
        <f t="shared" si="11"/>
        <v>85000</v>
      </c>
      <c r="Y21" s="464">
        <f t="shared" si="12"/>
        <v>85000</v>
      </c>
      <c r="Z21" s="557">
        <v>4</v>
      </c>
      <c r="AA21" s="8">
        <f t="shared" si="0"/>
        <v>20000</v>
      </c>
      <c r="AB21" s="557">
        <v>4</v>
      </c>
      <c r="AC21" s="167">
        <f t="shared" si="13"/>
        <v>20000</v>
      </c>
      <c r="AD21" s="557">
        <v>4</v>
      </c>
      <c r="AE21" s="167">
        <f t="shared" si="14"/>
        <v>20000</v>
      </c>
      <c r="AF21" s="557">
        <v>4</v>
      </c>
      <c r="AG21" s="167">
        <f t="shared" si="15"/>
        <v>20000</v>
      </c>
      <c r="AH21" s="557">
        <v>4</v>
      </c>
      <c r="AI21" s="167">
        <f t="shared" si="16"/>
        <v>20000</v>
      </c>
      <c r="AJ21" s="224">
        <v>4</v>
      </c>
      <c r="AK21" s="167">
        <f t="shared" si="24"/>
        <v>20000</v>
      </c>
      <c r="AL21" s="557">
        <v>4</v>
      </c>
      <c r="AM21" s="167">
        <f t="shared" si="25"/>
        <v>20000</v>
      </c>
      <c r="AN21" s="557">
        <v>4</v>
      </c>
      <c r="AO21" s="167">
        <f t="shared" si="26"/>
        <v>20000</v>
      </c>
      <c r="AP21" s="557">
        <v>4</v>
      </c>
      <c r="AQ21" s="167">
        <f t="shared" si="17"/>
        <v>20000</v>
      </c>
      <c r="AR21" s="557">
        <v>4</v>
      </c>
      <c r="AS21" s="167">
        <f t="shared" si="27"/>
        <v>20000</v>
      </c>
      <c r="AT21" s="557">
        <v>4</v>
      </c>
      <c r="AU21" s="167">
        <f t="shared" si="28"/>
        <v>20000</v>
      </c>
      <c r="AV21" s="557">
        <v>4</v>
      </c>
      <c r="AW21" s="167">
        <f t="shared" si="29"/>
        <v>20000</v>
      </c>
      <c r="AX21" s="557">
        <v>4</v>
      </c>
      <c r="AY21" s="167">
        <f t="shared" si="30"/>
        <v>20000</v>
      </c>
      <c r="AZ21" s="557">
        <v>4</v>
      </c>
      <c r="BA21" s="167">
        <f t="shared" si="31"/>
        <v>20000</v>
      </c>
      <c r="BB21" s="557">
        <v>4</v>
      </c>
      <c r="BC21" s="167">
        <f t="shared" si="18"/>
        <v>20000</v>
      </c>
      <c r="BD21" s="557">
        <v>4</v>
      </c>
      <c r="BE21" s="167">
        <f t="shared" si="19"/>
        <v>20000</v>
      </c>
      <c r="BF21" s="557">
        <v>4</v>
      </c>
      <c r="BG21" s="167">
        <f t="shared" si="20"/>
        <v>20000</v>
      </c>
      <c r="BH21" s="557">
        <v>0</v>
      </c>
      <c r="BI21" s="167">
        <f t="shared" si="21"/>
        <v>0</v>
      </c>
      <c r="BJ21" s="8">
        <f t="shared" si="32"/>
        <v>68</v>
      </c>
      <c r="BK21" s="8">
        <f t="shared" si="32"/>
        <v>340000</v>
      </c>
      <c r="BL21" s="479" t="s">
        <v>210</v>
      </c>
      <c r="BN21" s="444"/>
      <c r="BO21" s="444"/>
      <c r="BP21" s="190"/>
      <c r="BQ21" s="444">
        <f>SUM(BQ13:BQ19)</f>
        <v>0</v>
      </c>
      <c r="BR21" s="190">
        <f t="shared" si="2"/>
        <v>0</v>
      </c>
      <c r="BS21" s="444">
        <f>SUM(BS13:BS19)</f>
        <v>0</v>
      </c>
      <c r="BT21" s="444">
        <f>G21</f>
        <v>340000</v>
      </c>
      <c r="BU21" s="444">
        <f t="shared" si="6"/>
        <v>340000</v>
      </c>
      <c r="BV21" s="167">
        <f t="shared" si="3"/>
        <v>340000</v>
      </c>
    </row>
    <row r="22" spans="1:74" x14ac:dyDescent="0.25">
      <c r="A22" s="883"/>
      <c r="B22" s="586" t="s">
        <v>1126</v>
      </c>
      <c r="C22" s="192" t="s">
        <v>898</v>
      </c>
      <c r="D22" s="213" t="s">
        <v>16</v>
      </c>
      <c r="E22" s="193">
        <v>30000</v>
      </c>
      <c r="F22" s="477">
        <f t="shared" si="22"/>
        <v>17</v>
      </c>
      <c r="G22" s="7">
        <f t="shared" si="23"/>
        <v>510000</v>
      </c>
      <c r="H22" s="272">
        <f t="shared" si="33"/>
        <v>102000</v>
      </c>
      <c r="I22" s="272">
        <f t="shared" si="34"/>
        <v>408000</v>
      </c>
      <c r="J22" s="7"/>
      <c r="K22" s="7"/>
      <c r="L22" s="7"/>
      <c r="M22" s="7"/>
      <c r="N22" s="7"/>
      <c r="O22" s="8"/>
      <c r="P22" s="8"/>
      <c r="Q22" s="8"/>
      <c r="R22" s="8"/>
      <c r="S22" s="8">
        <v>16</v>
      </c>
      <c r="T22" s="8">
        <v>1</v>
      </c>
      <c r="U22" s="8"/>
      <c r="V22" s="464">
        <f>R22*E22</f>
        <v>0</v>
      </c>
      <c r="W22" s="464">
        <f>S22*E22</f>
        <v>480000</v>
      </c>
      <c r="X22" s="464">
        <f t="shared" si="11"/>
        <v>30000</v>
      </c>
      <c r="Y22" s="464">
        <f t="shared" si="12"/>
        <v>0</v>
      </c>
      <c r="Z22" s="8">
        <v>1</v>
      </c>
      <c r="AA22" s="8">
        <f t="shared" si="0"/>
        <v>30000</v>
      </c>
      <c r="AB22" s="8">
        <v>1</v>
      </c>
      <c r="AC22" s="167">
        <f t="shared" si="13"/>
        <v>30000</v>
      </c>
      <c r="AD22" s="8">
        <v>1</v>
      </c>
      <c r="AE22" s="167">
        <f t="shared" si="14"/>
        <v>30000</v>
      </c>
      <c r="AF22" s="8">
        <v>1</v>
      </c>
      <c r="AG22" s="167">
        <f t="shared" si="15"/>
        <v>30000</v>
      </c>
      <c r="AH22" s="8">
        <v>1</v>
      </c>
      <c r="AI22" s="167">
        <f t="shared" si="16"/>
        <v>30000</v>
      </c>
      <c r="AJ22" s="8">
        <v>1</v>
      </c>
      <c r="AK22" s="167">
        <f t="shared" si="24"/>
        <v>30000</v>
      </c>
      <c r="AL22" s="8">
        <v>1</v>
      </c>
      <c r="AM22" s="167">
        <f t="shared" si="25"/>
        <v>30000</v>
      </c>
      <c r="AN22" s="8">
        <v>1</v>
      </c>
      <c r="AO22" s="167">
        <f t="shared" si="26"/>
        <v>30000</v>
      </c>
      <c r="AP22" s="8">
        <v>1</v>
      </c>
      <c r="AQ22" s="167">
        <f t="shared" si="17"/>
        <v>30000</v>
      </c>
      <c r="AR22" s="8">
        <v>1</v>
      </c>
      <c r="AS22" s="167">
        <f t="shared" si="27"/>
        <v>30000</v>
      </c>
      <c r="AT22" s="8">
        <v>1</v>
      </c>
      <c r="AU22" s="167">
        <f t="shared" si="28"/>
        <v>30000</v>
      </c>
      <c r="AV22" s="8">
        <v>1</v>
      </c>
      <c r="AW22" s="167">
        <f t="shared" si="29"/>
        <v>30000</v>
      </c>
      <c r="AX22" s="8">
        <v>1</v>
      </c>
      <c r="AY22" s="167">
        <f t="shared" si="30"/>
        <v>30000</v>
      </c>
      <c r="AZ22" s="8">
        <v>1</v>
      </c>
      <c r="BA22" s="167">
        <f t="shared" si="31"/>
        <v>30000</v>
      </c>
      <c r="BB22" s="8">
        <v>1</v>
      </c>
      <c r="BC22" s="167">
        <f t="shared" si="18"/>
        <v>30000</v>
      </c>
      <c r="BD22" s="8">
        <v>1</v>
      </c>
      <c r="BE22" s="167">
        <f t="shared" si="19"/>
        <v>30000</v>
      </c>
      <c r="BF22" s="8">
        <v>1</v>
      </c>
      <c r="BG22" s="167">
        <f t="shared" si="20"/>
        <v>30000</v>
      </c>
      <c r="BH22" s="8">
        <v>0</v>
      </c>
      <c r="BI22" s="167">
        <f t="shared" si="21"/>
        <v>0</v>
      </c>
      <c r="BJ22" s="8">
        <f t="shared" si="32"/>
        <v>17</v>
      </c>
      <c r="BK22" s="8">
        <f t="shared" si="32"/>
        <v>510000</v>
      </c>
      <c r="BL22" s="479" t="s">
        <v>210</v>
      </c>
      <c r="BN22" s="190"/>
      <c r="BO22" s="190"/>
      <c r="BP22" s="190">
        <f t="shared" ref="BP22:BP29" si="35">G22</f>
        <v>510000</v>
      </c>
      <c r="BQ22" s="190"/>
      <c r="BR22" s="190">
        <f t="shared" si="2"/>
        <v>510000</v>
      </c>
      <c r="BS22" s="190"/>
      <c r="BT22" s="190"/>
      <c r="BU22" s="444">
        <f t="shared" si="6"/>
        <v>0</v>
      </c>
      <c r="BV22" s="167">
        <f t="shared" si="3"/>
        <v>510000</v>
      </c>
    </row>
    <row r="23" spans="1:74" x14ac:dyDescent="0.25">
      <c r="A23" s="883"/>
      <c r="B23" s="586" t="s">
        <v>1127</v>
      </c>
      <c r="C23" s="199" t="s">
        <v>637</v>
      </c>
      <c r="D23" s="213" t="s">
        <v>100</v>
      </c>
      <c r="E23" s="193">
        <v>50000</v>
      </c>
      <c r="F23" s="477">
        <f t="shared" si="22"/>
        <v>0</v>
      </c>
      <c r="G23" s="7">
        <f t="shared" si="23"/>
        <v>0</v>
      </c>
      <c r="H23" s="272">
        <f t="shared" si="33"/>
        <v>0</v>
      </c>
      <c r="I23" s="272">
        <f t="shared" si="34"/>
        <v>0</v>
      </c>
      <c r="J23" s="7"/>
      <c r="K23" s="7"/>
      <c r="L23" s="7"/>
      <c r="M23" s="7"/>
      <c r="N23" s="7"/>
      <c r="O23" s="7"/>
      <c r="P23" s="7"/>
      <c r="Q23" s="7"/>
      <c r="R23" s="8"/>
      <c r="S23" s="8">
        <f>F23</f>
        <v>0</v>
      </c>
      <c r="T23" s="8"/>
      <c r="U23" s="8"/>
      <c r="V23" s="464">
        <f>R23*E23</f>
        <v>0</v>
      </c>
      <c r="W23" s="464">
        <f>S23*E23</f>
        <v>0</v>
      </c>
      <c r="X23" s="464">
        <f t="shared" si="11"/>
        <v>0</v>
      </c>
      <c r="Y23" s="464">
        <f t="shared" si="12"/>
        <v>0</v>
      </c>
      <c r="Z23" s="8">
        <v>0</v>
      </c>
      <c r="AA23" s="8">
        <f t="shared" si="0"/>
        <v>0</v>
      </c>
      <c r="AB23" s="8"/>
      <c r="AC23" s="167">
        <f t="shared" si="13"/>
        <v>0</v>
      </c>
      <c r="AD23" s="8"/>
      <c r="AE23" s="167">
        <f t="shared" si="14"/>
        <v>0</v>
      </c>
      <c r="AF23" s="8">
        <v>0</v>
      </c>
      <c r="AG23" s="167">
        <f t="shared" si="15"/>
        <v>0</v>
      </c>
      <c r="AH23" s="8"/>
      <c r="AI23" s="167">
        <f t="shared" si="16"/>
        <v>0</v>
      </c>
      <c r="AJ23" s="8">
        <v>0</v>
      </c>
      <c r="AK23" s="167">
        <f t="shared" si="24"/>
        <v>0</v>
      </c>
      <c r="AL23" s="8"/>
      <c r="AM23" s="167">
        <f t="shared" si="25"/>
        <v>0</v>
      </c>
      <c r="AN23" s="8"/>
      <c r="AO23" s="167">
        <f t="shared" si="26"/>
        <v>0</v>
      </c>
      <c r="AP23" s="8"/>
      <c r="AQ23" s="167">
        <f t="shared" si="17"/>
        <v>0</v>
      </c>
      <c r="AR23" s="8"/>
      <c r="AS23" s="167">
        <f t="shared" si="27"/>
        <v>0</v>
      </c>
      <c r="AT23" s="8"/>
      <c r="AU23" s="167">
        <f t="shared" si="28"/>
        <v>0</v>
      </c>
      <c r="AV23" s="8">
        <v>0</v>
      </c>
      <c r="AW23" s="167">
        <f t="shared" si="29"/>
        <v>0</v>
      </c>
      <c r="AX23" s="8"/>
      <c r="AY23" s="167">
        <f t="shared" si="30"/>
        <v>0</v>
      </c>
      <c r="AZ23" s="8"/>
      <c r="BA23" s="167">
        <f t="shared" si="31"/>
        <v>0</v>
      </c>
      <c r="BB23" s="8"/>
      <c r="BC23" s="167">
        <f t="shared" si="18"/>
        <v>0</v>
      </c>
      <c r="BD23" s="8"/>
      <c r="BE23" s="167">
        <f t="shared" si="19"/>
        <v>0</v>
      </c>
      <c r="BF23" s="8"/>
      <c r="BG23" s="167">
        <f t="shared" si="20"/>
        <v>0</v>
      </c>
      <c r="BH23" s="8"/>
      <c r="BI23" s="167">
        <f t="shared" si="21"/>
        <v>0</v>
      </c>
      <c r="BJ23" s="8">
        <f t="shared" si="32"/>
        <v>0</v>
      </c>
      <c r="BK23" s="8">
        <f t="shared" si="32"/>
        <v>0</v>
      </c>
      <c r="BL23" s="479" t="s">
        <v>210</v>
      </c>
      <c r="BN23" s="190"/>
      <c r="BO23" s="190"/>
      <c r="BP23" s="190">
        <f t="shared" si="35"/>
        <v>0</v>
      </c>
      <c r="BQ23" s="190"/>
      <c r="BR23" s="190">
        <f t="shared" si="2"/>
        <v>0</v>
      </c>
      <c r="BS23" s="190"/>
      <c r="BT23" s="190"/>
      <c r="BU23" s="444">
        <f t="shared" si="6"/>
        <v>0</v>
      </c>
      <c r="BV23" s="167">
        <f t="shared" si="3"/>
        <v>0</v>
      </c>
    </row>
    <row r="24" spans="1:74" x14ac:dyDescent="0.25">
      <c r="A24" s="883"/>
      <c r="B24" s="586" t="s">
        <v>1128</v>
      </c>
      <c r="C24" s="192" t="s">
        <v>578</v>
      </c>
      <c r="D24" s="213" t="s">
        <v>100</v>
      </c>
      <c r="E24" s="193">
        <v>30000</v>
      </c>
      <c r="F24" s="477">
        <f t="shared" si="22"/>
        <v>0</v>
      </c>
      <c r="G24" s="7">
        <f t="shared" si="23"/>
        <v>0</v>
      </c>
      <c r="H24" s="272">
        <f t="shared" si="33"/>
        <v>0</v>
      </c>
      <c r="I24" s="272">
        <f t="shared" si="34"/>
        <v>0</v>
      </c>
      <c r="J24" s="7"/>
      <c r="K24" s="7"/>
      <c r="L24" s="7"/>
      <c r="M24" s="7"/>
      <c r="N24" s="7"/>
      <c r="O24" s="7"/>
      <c r="P24" s="7"/>
      <c r="Q24" s="7"/>
      <c r="R24" s="8"/>
      <c r="S24" s="8">
        <f t="shared" ref="S24:S29" si="36">F24</f>
        <v>0</v>
      </c>
      <c r="T24" s="8"/>
      <c r="U24" s="8"/>
      <c r="V24" s="464">
        <f t="shared" ref="V24:V47" si="37">R24*E24</f>
        <v>0</v>
      </c>
      <c r="W24" s="464">
        <f t="shared" ref="W24:W47" si="38">S24*E24</f>
        <v>0</v>
      </c>
      <c r="X24" s="464">
        <f t="shared" ref="X24:X47" si="39">T24*E24</f>
        <v>0</v>
      </c>
      <c r="Y24" s="464">
        <f t="shared" ref="Y24:Y47" si="40">U24*E24</f>
        <v>0</v>
      </c>
      <c r="Z24" s="8">
        <v>0</v>
      </c>
      <c r="AA24" s="8">
        <f t="shared" si="0"/>
        <v>0</v>
      </c>
      <c r="AB24" s="8">
        <v>0</v>
      </c>
      <c r="AC24" s="167">
        <f t="shared" si="13"/>
        <v>0</v>
      </c>
      <c r="AD24" s="8">
        <v>0</v>
      </c>
      <c r="AE24" s="167">
        <f t="shared" si="14"/>
        <v>0</v>
      </c>
      <c r="AF24" s="8">
        <v>0</v>
      </c>
      <c r="AG24" s="167">
        <f t="shared" si="15"/>
        <v>0</v>
      </c>
      <c r="AH24" s="8">
        <v>0</v>
      </c>
      <c r="AI24" s="167">
        <f t="shared" si="16"/>
        <v>0</v>
      </c>
      <c r="AJ24" s="8">
        <v>0</v>
      </c>
      <c r="AK24" s="167">
        <f t="shared" si="24"/>
        <v>0</v>
      </c>
      <c r="AL24" s="8">
        <v>0</v>
      </c>
      <c r="AM24" s="167">
        <f t="shared" si="25"/>
        <v>0</v>
      </c>
      <c r="AN24" s="8">
        <v>0</v>
      </c>
      <c r="AO24" s="167">
        <f t="shared" si="26"/>
        <v>0</v>
      </c>
      <c r="AP24" s="8">
        <v>0</v>
      </c>
      <c r="AQ24" s="167">
        <f t="shared" si="17"/>
        <v>0</v>
      </c>
      <c r="AR24" s="8">
        <v>0</v>
      </c>
      <c r="AS24" s="167">
        <f t="shared" si="27"/>
        <v>0</v>
      </c>
      <c r="AT24" s="8">
        <v>0</v>
      </c>
      <c r="AU24" s="167">
        <f t="shared" si="28"/>
        <v>0</v>
      </c>
      <c r="AV24" s="8">
        <v>0</v>
      </c>
      <c r="AW24" s="167">
        <f t="shared" si="29"/>
        <v>0</v>
      </c>
      <c r="AX24" s="8">
        <v>0</v>
      </c>
      <c r="AY24" s="167">
        <f t="shared" si="30"/>
        <v>0</v>
      </c>
      <c r="AZ24" s="8">
        <v>0</v>
      </c>
      <c r="BA24" s="167">
        <f t="shared" si="31"/>
        <v>0</v>
      </c>
      <c r="BB24" s="8">
        <v>0</v>
      </c>
      <c r="BC24" s="167">
        <f t="shared" si="18"/>
        <v>0</v>
      </c>
      <c r="BD24" s="8">
        <v>0</v>
      </c>
      <c r="BE24" s="167">
        <f t="shared" si="19"/>
        <v>0</v>
      </c>
      <c r="BF24" s="8">
        <v>0</v>
      </c>
      <c r="BG24" s="167">
        <f t="shared" si="20"/>
        <v>0</v>
      </c>
      <c r="BH24" s="8">
        <v>0</v>
      </c>
      <c r="BI24" s="167">
        <f t="shared" si="21"/>
        <v>0</v>
      </c>
      <c r="BJ24" s="8">
        <f t="shared" si="32"/>
        <v>0</v>
      </c>
      <c r="BK24" s="8">
        <f t="shared" si="32"/>
        <v>0</v>
      </c>
      <c r="BL24" s="479" t="s">
        <v>210</v>
      </c>
      <c r="BN24" s="190"/>
      <c r="BO24" s="190"/>
      <c r="BP24" s="190">
        <f t="shared" si="35"/>
        <v>0</v>
      </c>
      <c r="BQ24" s="190"/>
      <c r="BR24" s="190">
        <f t="shared" si="2"/>
        <v>0</v>
      </c>
      <c r="BS24" s="190"/>
      <c r="BT24" s="190"/>
      <c r="BU24" s="444">
        <f t="shared" si="6"/>
        <v>0</v>
      </c>
      <c r="BV24" s="167">
        <f t="shared" si="3"/>
        <v>0</v>
      </c>
    </row>
    <row r="25" spans="1:74" s="218" customFormat="1" x14ac:dyDescent="0.25">
      <c r="A25" s="883"/>
      <c r="B25" s="586" t="s">
        <v>1129</v>
      </c>
      <c r="C25" s="192" t="s">
        <v>105</v>
      </c>
      <c r="D25" s="213" t="s">
        <v>100</v>
      </c>
      <c r="E25" s="193">
        <v>50000</v>
      </c>
      <c r="F25" s="477">
        <f t="shared" si="22"/>
        <v>0</v>
      </c>
      <c r="G25" s="7">
        <f t="shared" si="23"/>
        <v>0</v>
      </c>
      <c r="H25" s="272">
        <f t="shared" si="33"/>
        <v>0</v>
      </c>
      <c r="I25" s="272">
        <f t="shared" si="34"/>
        <v>0</v>
      </c>
      <c r="J25" s="233"/>
      <c r="K25" s="233"/>
      <c r="L25" s="233"/>
      <c r="M25" s="233"/>
      <c r="N25" s="233"/>
      <c r="O25" s="233"/>
      <c r="P25" s="233"/>
      <c r="Q25" s="233"/>
      <c r="R25" s="228"/>
      <c r="S25" s="228">
        <f t="shared" si="36"/>
        <v>0</v>
      </c>
      <c r="T25" s="228"/>
      <c r="U25" s="228"/>
      <c r="V25" s="464">
        <f t="shared" si="37"/>
        <v>0</v>
      </c>
      <c r="W25" s="464">
        <f t="shared" si="38"/>
        <v>0</v>
      </c>
      <c r="X25" s="464">
        <f t="shared" si="39"/>
        <v>0</v>
      </c>
      <c r="Y25" s="464">
        <f t="shared" si="40"/>
        <v>0</v>
      </c>
      <c r="Z25" s="228">
        <v>0</v>
      </c>
      <c r="AA25" s="8">
        <f t="shared" si="0"/>
        <v>0</v>
      </c>
      <c r="AB25" s="228"/>
      <c r="AC25" s="167">
        <f t="shared" si="13"/>
        <v>0</v>
      </c>
      <c r="AD25" s="228"/>
      <c r="AE25" s="167">
        <f t="shared" si="14"/>
        <v>0</v>
      </c>
      <c r="AF25" s="228">
        <v>0</v>
      </c>
      <c r="AG25" s="167">
        <f t="shared" si="15"/>
        <v>0</v>
      </c>
      <c r="AH25" s="228"/>
      <c r="AI25" s="167">
        <f t="shared" si="16"/>
        <v>0</v>
      </c>
      <c r="AJ25" s="8">
        <v>0</v>
      </c>
      <c r="AK25" s="167">
        <f t="shared" si="24"/>
        <v>0</v>
      </c>
      <c r="AL25" s="228"/>
      <c r="AM25" s="167">
        <f t="shared" si="25"/>
        <v>0</v>
      </c>
      <c r="AN25" s="228"/>
      <c r="AO25" s="167">
        <f t="shared" si="26"/>
        <v>0</v>
      </c>
      <c r="AP25" s="228"/>
      <c r="AQ25" s="167">
        <f t="shared" si="17"/>
        <v>0</v>
      </c>
      <c r="AR25" s="228"/>
      <c r="AS25" s="167">
        <f t="shared" si="27"/>
        <v>0</v>
      </c>
      <c r="AT25" s="228"/>
      <c r="AU25" s="167">
        <f t="shared" si="28"/>
        <v>0</v>
      </c>
      <c r="AV25" s="228"/>
      <c r="AW25" s="167">
        <f t="shared" si="29"/>
        <v>0</v>
      </c>
      <c r="AX25" s="228"/>
      <c r="AY25" s="167">
        <f t="shared" si="30"/>
        <v>0</v>
      </c>
      <c r="AZ25" s="228"/>
      <c r="BA25" s="167">
        <f t="shared" si="31"/>
        <v>0</v>
      </c>
      <c r="BB25" s="228"/>
      <c r="BC25" s="167">
        <f t="shared" si="18"/>
        <v>0</v>
      </c>
      <c r="BD25" s="228">
        <v>0</v>
      </c>
      <c r="BE25" s="167">
        <f t="shared" si="19"/>
        <v>0</v>
      </c>
      <c r="BF25" s="228"/>
      <c r="BG25" s="167">
        <f t="shared" si="20"/>
        <v>0</v>
      </c>
      <c r="BH25" s="228"/>
      <c r="BI25" s="167">
        <f t="shared" si="21"/>
        <v>0</v>
      </c>
      <c r="BJ25" s="8">
        <f t="shared" si="32"/>
        <v>0</v>
      </c>
      <c r="BK25" s="8">
        <f t="shared" si="32"/>
        <v>0</v>
      </c>
      <c r="BL25" s="479" t="s">
        <v>210</v>
      </c>
      <c r="BN25" s="225"/>
      <c r="BO25" s="225"/>
      <c r="BP25" s="190">
        <f t="shared" si="35"/>
        <v>0</v>
      </c>
      <c r="BQ25" s="225"/>
      <c r="BR25" s="190">
        <f t="shared" si="2"/>
        <v>0</v>
      </c>
      <c r="BS25" s="225"/>
      <c r="BT25" s="225"/>
      <c r="BU25" s="444">
        <f t="shared" si="6"/>
        <v>0</v>
      </c>
      <c r="BV25" s="167">
        <f t="shared" si="3"/>
        <v>0</v>
      </c>
    </row>
    <row r="26" spans="1:74" x14ac:dyDescent="0.25">
      <c r="A26" s="883"/>
      <c r="B26" s="586" t="s">
        <v>1130</v>
      </c>
      <c r="C26" s="192" t="s">
        <v>131</v>
      </c>
      <c r="D26" s="213" t="s">
        <v>100</v>
      </c>
      <c r="E26" s="193">
        <v>2500</v>
      </c>
      <c r="F26" s="477">
        <f t="shared" si="22"/>
        <v>0</v>
      </c>
      <c r="G26" s="7">
        <f t="shared" si="23"/>
        <v>0</v>
      </c>
      <c r="H26" s="272">
        <f t="shared" si="33"/>
        <v>0</v>
      </c>
      <c r="I26" s="272">
        <f t="shared" si="34"/>
        <v>0</v>
      </c>
      <c r="J26" s="7"/>
      <c r="K26" s="7"/>
      <c r="L26" s="7"/>
      <c r="M26" s="7"/>
      <c r="N26" s="7"/>
      <c r="O26" s="7"/>
      <c r="P26" s="7"/>
      <c r="Q26" s="7"/>
      <c r="R26" s="8"/>
      <c r="S26" s="8">
        <f t="shared" si="36"/>
        <v>0</v>
      </c>
      <c r="T26" s="8"/>
      <c r="U26" s="8"/>
      <c r="V26" s="464">
        <f t="shared" si="37"/>
        <v>0</v>
      </c>
      <c r="W26" s="464">
        <f t="shared" si="38"/>
        <v>0</v>
      </c>
      <c r="X26" s="464">
        <f t="shared" si="39"/>
        <v>0</v>
      </c>
      <c r="Y26" s="464">
        <f t="shared" si="40"/>
        <v>0</v>
      </c>
      <c r="Z26" s="8">
        <v>0</v>
      </c>
      <c r="AA26" s="8">
        <f t="shared" si="0"/>
        <v>0</v>
      </c>
      <c r="AB26" s="8">
        <v>0</v>
      </c>
      <c r="AC26" s="167">
        <f t="shared" si="13"/>
        <v>0</v>
      </c>
      <c r="AD26" s="8"/>
      <c r="AE26" s="167">
        <f t="shared" si="14"/>
        <v>0</v>
      </c>
      <c r="AF26" s="8">
        <v>0</v>
      </c>
      <c r="AG26" s="167">
        <f t="shared" si="15"/>
        <v>0</v>
      </c>
      <c r="AH26" s="8"/>
      <c r="AI26" s="167">
        <f t="shared" si="16"/>
        <v>0</v>
      </c>
      <c r="AJ26" s="8">
        <v>0</v>
      </c>
      <c r="AK26" s="167">
        <f t="shared" si="24"/>
        <v>0</v>
      </c>
      <c r="AL26" s="8"/>
      <c r="AM26" s="167">
        <f t="shared" si="25"/>
        <v>0</v>
      </c>
      <c r="AN26" s="8"/>
      <c r="AO26" s="167">
        <f t="shared" si="26"/>
        <v>0</v>
      </c>
      <c r="AP26" s="8"/>
      <c r="AQ26" s="167">
        <f t="shared" si="17"/>
        <v>0</v>
      </c>
      <c r="AR26" s="8"/>
      <c r="AS26" s="167">
        <f t="shared" si="27"/>
        <v>0</v>
      </c>
      <c r="AT26" s="8"/>
      <c r="AU26" s="167">
        <f t="shared" si="28"/>
        <v>0</v>
      </c>
      <c r="AV26" s="8"/>
      <c r="AW26" s="167">
        <f t="shared" si="29"/>
        <v>0</v>
      </c>
      <c r="AX26" s="8"/>
      <c r="AY26" s="167">
        <f t="shared" si="30"/>
        <v>0</v>
      </c>
      <c r="AZ26" s="8"/>
      <c r="BA26" s="167">
        <f t="shared" si="31"/>
        <v>0</v>
      </c>
      <c r="BB26" s="8"/>
      <c r="BC26" s="167">
        <f t="shared" si="18"/>
        <v>0</v>
      </c>
      <c r="BD26" s="8"/>
      <c r="BE26" s="167">
        <f t="shared" si="19"/>
        <v>0</v>
      </c>
      <c r="BF26" s="8"/>
      <c r="BG26" s="167">
        <f t="shared" si="20"/>
        <v>0</v>
      </c>
      <c r="BH26" s="8"/>
      <c r="BI26" s="167">
        <f t="shared" si="21"/>
        <v>0</v>
      </c>
      <c r="BJ26" s="8">
        <f t="shared" si="32"/>
        <v>0</v>
      </c>
      <c r="BK26" s="8">
        <f t="shared" si="32"/>
        <v>0</v>
      </c>
      <c r="BL26" s="479" t="s">
        <v>210</v>
      </c>
      <c r="BN26" s="190"/>
      <c r="BO26" s="190"/>
      <c r="BP26" s="190">
        <f t="shared" si="35"/>
        <v>0</v>
      </c>
      <c r="BQ26" s="190"/>
      <c r="BR26" s="190">
        <f t="shared" si="2"/>
        <v>0</v>
      </c>
      <c r="BS26" s="190"/>
      <c r="BT26" s="190"/>
      <c r="BU26" s="444">
        <f t="shared" si="6"/>
        <v>0</v>
      </c>
      <c r="BV26" s="167">
        <f t="shared" si="3"/>
        <v>0</v>
      </c>
    </row>
    <row r="27" spans="1:74" x14ac:dyDescent="0.25">
      <c r="A27" s="883"/>
      <c r="B27" s="586" t="s">
        <v>1131</v>
      </c>
      <c r="C27" s="192" t="s">
        <v>103</v>
      </c>
      <c r="D27" s="213" t="s">
        <v>100</v>
      </c>
      <c r="E27" s="193">
        <v>300000</v>
      </c>
      <c r="F27" s="477">
        <f t="shared" si="22"/>
        <v>0</v>
      </c>
      <c r="G27" s="7">
        <f t="shared" si="23"/>
        <v>0</v>
      </c>
      <c r="H27" s="272">
        <f t="shared" si="33"/>
        <v>0</v>
      </c>
      <c r="I27" s="272">
        <f t="shared" si="34"/>
        <v>0</v>
      </c>
      <c r="J27" s="7"/>
      <c r="K27" s="7"/>
      <c r="L27" s="7"/>
      <c r="M27" s="7"/>
      <c r="N27" s="7"/>
      <c r="O27" s="7"/>
      <c r="P27" s="7"/>
      <c r="Q27" s="7"/>
      <c r="R27" s="8"/>
      <c r="S27" s="8">
        <f t="shared" si="36"/>
        <v>0</v>
      </c>
      <c r="T27" s="8"/>
      <c r="U27" s="8"/>
      <c r="V27" s="464">
        <f t="shared" si="37"/>
        <v>0</v>
      </c>
      <c r="W27" s="464">
        <f t="shared" si="38"/>
        <v>0</v>
      </c>
      <c r="X27" s="464">
        <f t="shared" si="39"/>
        <v>0</v>
      </c>
      <c r="Y27" s="464">
        <f t="shared" si="40"/>
        <v>0</v>
      </c>
      <c r="Z27" s="8">
        <v>0</v>
      </c>
      <c r="AA27" s="8">
        <f t="shared" si="0"/>
        <v>0</v>
      </c>
      <c r="AB27" s="8"/>
      <c r="AC27" s="167">
        <f t="shared" si="13"/>
        <v>0</v>
      </c>
      <c r="AD27" s="8"/>
      <c r="AE27" s="167">
        <f t="shared" si="14"/>
        <v>0</v>
      </c>
      <c r="AF27" s="8">
        <v>0</v>
      </c>
      <c r="AG27" s="167">
        <f t="shared" si="15"/>
        <v>0</v>
      </c>
      <c r="AH27" s="8"/>
      <c r="AI27" s="167">
        <f t="shared" si="16"/>
        <v>0</v>
      </c>
      <c r="AJ27" s="8">
        <v>0</v>
      </c>
      <c r="AK27" s="167">
        <f t="shared" si="24"/>
        <v>0</v>
      </c>
      <c r="AL27" s="8"/>
      <c r="AM27" s="167">
        <f t="shared" si="25"/>
        <v>0</v>
      </c>
      <c r="AN27" s="8"/>
      <c r="AO27" s="167">
        <f t="shared" si="26"/>
        <v>0</v>
      </c>
      <c r="AP27" s="8"/>
      <c r="AQ27" s="167">
        <f t="shared" si="17"/>
        <v>0</v>
      </c>
      <c r="AR27" s="8"/>
      <c r="AS27" s="167">
        <f t="shared" si="27"/>
        <v>0</v>
      </c>
      <c r="AT27" s="8"/>
      <c r="AU27" s="167">
        <f t="shared" si="28"/>
        <v>0</v>
      </c>
      <c r="AV27" s="8"/>
      <c r="AW27" s="167">
        <f t="shared" si="29"/>
        <v>0</v>
      </c>
      <c r="AX27" s="8"/>
      <c r="AY27" s="167">
        <f t="shared" si="30"/>
        <v>0</v>
      </c>
      <c r="AZ27" s="8"/>
      <c r="BA27" s="167">
        <f t="shared" si="31"/>
        <v>0</v>
      </c>
      <c r="BB27" s="8"/>
      <c r="BC27" s="167">
        <f t="shared" si="18"/>
        <v>0</v>
      </c>
      <c r="BD27" s="8"/>
      <c r="BE27" s="167">
        <f t="shared" si="19"/>
        <v>0</v>
      </c>
      <c r="BF27" s="8"/>
      <c r="BG27" s="167">
        <f t="shared" si="20"/>
        <v>0</v>
      </c>
      <c r="BH27" s="8"/>
      <c r="BI27" s="167">
        <f t="shared" si="21"/>
        <v>0</v>
      </c>
      <c r="BJ27" s="8">
        <f t="shared" si="32"/>
        <v>0</v>
      </c>
      <c r="BK27" s="8">
        <f t="shared" si="32"/>
        <v>0</v>
      </c>
      <c r="BL27" s="479" t="s">
        <v>210</v>
      </c>
      <c r="BN27" s="190"/>
      <c r="BO27" s="190"/>
      <c r="BP27" s="190">
        <f t="shared" si="35"/>
        <v>0</v>
      </c>
      <c r="BQ27" s="190"/>
      <c r="BR27" s="190">
        <f t="shared" si="2"/>
        <v>0</v>
      </c>
      <c r="BS27" s="190"/>
      <c r="BT27" s="190"/>
      <c r="BU27" s="444">
        <f t="shared" si="6"/>
        <v>0</v>
      </c>
      <c r="BV27" s="167">
        <f t="shared" si="3"/>
        <v>0</v>
      </c>
    </row>
    <row r="28" spans="1:74" x14ac:dyDescent="0.25">
      <c r="A28" s="883"/>
      <c r="B28" s="586" t="s">
        <v>1132</v>
      </c>
      <c r="C28" s="192" t="s">
        <v>104</v>
      </c>
      <c r="D28" s="213" t="s">
        <v>100</v>
      </c>
      <c r="E28" s="193">
        <v>250000</v>
      </c>
      <c r="F28" s="477">
        <f t="shared" si="22"/>
        <v>0</v>
      </c>
      <c r="G28" s="7">
        <f t="shared" si="23"/>
        <v>0</v>
      </c>
      <c r="H28" s="272">
        <f t="shared" si="33"/>
        <v>0</v>
      </c>
      <c r="I28" s="272">
        <f t="shared" si="34"/>
        <v>0</v>
      </c>
      <c r="J28" s="7"/>
      <c r="K28" s="7"/>
      <c r="L28" s="7"/>
      <c r="M28" s="7"/>
      <c r="N28" s="7"/>
      <c r="O28" s="7"/>
      <c r="P28" s="7"/>
      <c r="Q28" s="7"/>
      <c r="R28" s="8"/>
      <c r="S28" s="8">
        <f t="shared" si="36"/>
        <v>0</v>
      </c>
      <c r="T28" s="8"/>
      <c r="U28" s="8"/>
      <c r="V28" s="464">
        <f t="shared" si="37"/>
        <v>0</v>
      </c>
      <c r="W28" s="464">
        <f t="shared" si="38"/>
        <v>0</v>
      </c>
      <c r="X28" s="464">
        <f t="shared" si="39"/>
        <v>0</v>
      </c>
      <c r="Y28" s="464">
        <f t="shared" si="40"/>
        <v>0</v>
      </c>
      <c r="Z28" s="8">
        <v>0</v>
      </c>
      <c r="AA28" s="8">
        <f t="shared" si="0"/>
        <v>0</v>
      </c>
      <c r="AB28" s="8">
        <v>0</v>
      </c>
      <c r="AC28" s="167">
        <f t="shared" si="13"/>
        <v>0</v>
      </c>
      <c r="AD28" s="8"/>
      <c r="AE28" s="167">
        <f t="shared" si="14"/>
        <v>0</v>
      </c>
      <c r="AF28" s="8">
        <v>0</v>
      </c>
      <c r="AG28" s="167">
        <f t="shared" si="15"/>
        <v>0</v>
      </c>
      <c r="AH28" s="8"/>
      <c r="AI28" s="167">
        <f t="shared" si="16"/>
        <v>0</v>
      </c>
      <c r="AJ28" s="8">
        <v>0</v>
      </c>
      <c r="AK28" s="167">
        <f t="shared" si="24"/>
        <v>0</v>
      </c>
      <c r="AL28" s="8"/>
      <c r="AM28" s="167">
        <f t="shared" si="25"/>
        <v>0</v>
      </c>
      <c r="AN28" s="8"/>
      <c r="AO28" s="167">
        <f t="shared" si="26"/>
        <v>0</v>
      </c>
      <c r="AP28" s="8"/>
      <c r="AQ28" s="167">
        <f t="shared" si="17"/>
        <v>0</v>
      </c>
      <c r="AR28" s="8"/>
      <c r="AS28" s="167">
        <f t="shared" si="27"/>
        <v>0</v>
      </c>
      <c r="AT28" s="8"/>
      <c r="AU28" s="167">
        <f t="shared" si="28"/>
        <v>0</v>
      </c>
      <c r="AV28" s="8"/>
      <c r="AW28" s="167">
        <f t="shared" si="29"/>
        <v>0</v>
      </c>
      <c r="AX28" s="8"/>
      <c r="AY28" s="167">
        <f t="shared" si="30"/>
        <v>0</v>
      </c>
      <c r="AZ28" s="8"/>
      <c r="BA28" s="167">
        <f t="shared" si="31"/>
        <v>0</v>
      </c>
      <c r="BB28" s="8"/>
      <c r="BC28" s="167">
        <f t="shared" si="18"/>
        <v>0</v>
      </c>
      <c r="BD28" s="8"/>
      <c r="BE28" s="167">
        <f t="shared" si="19"/>
        <v>0</v>
      </c>
      <c r="BF28" s="8"/>
      <c r="BG28" s="167">
        <f t="shared" si="20"/>
        <v>0</v>
      </c>
      <c r="BH28" s="8"/>
      <c r="BI28" s="167">
        <f t="shared" si="21"/>
        <v>0</v>
      </c>
      <c r="BJ28" s="8">
        <f t="shared" si="32"/>
        <v>0</v>
      </c>
      <c r="BK28" s="8">
        <f t="shared" si="32"/>
        <v>0</v>
      </c>
      <c r="BL28" s="479" t="s">
        <v>210</v>
      </c>
      <c r="BN28" s="190"/>
      <c r="BO28" s="190"/>
      <c r="BP28" s="190">
        <f t="shared" si="35"/>
        <v>0</v>
      </c>
      <c r="BQ28" s="190"/>
      <c r="BR28" s="190">
        <f t="shared" si="2"/>
        <v>0</v>
      </c>
      <c r="BS28" s="190"/>
      <c r="BT28" s="190"/>
      <c r="BU28" s="444">
        <f t="shared" si="6"/>
        <v>0</v>
      </c>
      <c r="BV28" s="167">
        <f t="shared" si="3"/>
        <v>0</v>
      </c>
    </row>
    <row r="29" spans="1:74" ht="31.5" x14ac:dyDescent="0.25">
      <c r="A29" s="883"/>
      <c r="B29" s="586" t="s">
        <v>1133</v>
      </c>
      <c r="C29" s="199" t="s">
        <v>1003</v>
      </c>
      <c r="D29" s="213" t="s">
        <v>16</v>
      </c>
      <c r="E29" s="193">
        <v>150000</v>
      </c>
      <c r="F29" s="477">
        <f t="shared" si="22"/>
        <v>2</v>
      </c>
      <c r="G29" s="7">
        <f t="shared" si="23"/>
        <v>300000</v>
      </c>
      <c r="H29" s="272">
        <f t="shared" si="33"/>
        <v>60000</v>
      </c>
      <c r="I29" s="272">
        <f t="shared" si="34"/>
        <v>240000</v>
      </c>
      <c r="J29" s="7"/>
      <c r="K29" s="7"/>
      <c r="L29" s="7"/>
      <c r="M29" s="7"/>
      <c r="N29" s="7"/>
      <c r="O29" s="7"/>
      <c r="P29" s="7"/>
      <c r="Q29" s="7"/>
      <c r="R29" s="8"/>
      <c r="S29" s="8">
        <f t="shared" si="36"/>
        <v>2</v>
      </c>
      <c r="T29" s="8"/>
      <c r="U29" s="8"/>
      <c r="V29" s="464">
        <f t="shared" si="37"/>
        <v>0</v>
      </c>
      <c r="W29" s="464">
        <f t="shared" si="38"/>
        <v>300000</v>
      </c>
      <c r="X29" s="464">
        <f t="shared" si="39"/>
        <v>0</v>
      </c>
      <c r="Y29" s="464">
        <f t="shared" si="40"/>
        <v>0</v>
      </c>
      <c r="Z29" s="8">
        <v>1</v>
      </c>
      <c r="AA29" s="8">
        <f t="shared" si="0"/>
        <v>150000</v>
      </c>
      <c r="AB29" s="8">
        <v>0</v>
      </c>
      <c r="AC29" s="167">
        <f t="shared" si="13"/>
        <v>0</v>
      </c>
      <c r="AD29" s="8">
        <v>0</v>
      </c>
      <c r="AE29" s="167">
        <f t="shared" si="14"/>
        <v>0</v>
      </c>
      <c r="AF29" s="8">
        <v>0</v>
      </c>
      <c r="AG29" s="167">
        <f t="shared" si="15"/>
        <v>0</v>
      </c>
      <c r="AH29" s="8">
        <v>1</v>
      </c>
      <c r="AI29" s="167">
        <f t="shared" si="16"/>
        <v>150000</v>
      </c>
      <c r="AJ29" s="8">
        <v>0</v>
      </c>
      <c r="AK29" s="167">
        <f t="shared" si="24"/>
        <v>0</v>
      </c>
      <c r="AL29" s="8">
        <v>0</v>
      </c>
      <c r="AM29" s="167">
        <f t="shared" si="25"/>
        <v>0</v>
      </c>
      <c r="AN29" s="8">
        <v>0</v>
      </c>
      <c r="AO29" s="167">
        <f t="shared" si="26"/>
        <v>0</v>
      </c>
      <c r="AP29" s="8">
        <v>0</v>
      </c>
      <c r="AQ29" s="167">
        <f t="shared" si="17"/>
        <v>0</v>
      </c>
      <c r="AR29" s="8">
        <v>0</v>
      </c>
      <c r="AS29" s="167">
        <f t="shared" si="27"/>
        <v>0</v>
      </c>
      <c r="AT29" s="8">
        <v>0</v>
      </c>
      <c r="AU29" s="167">
        <f t="shared" si="28"/>
        <v>0</v>
      </c>
      <c r="AV29" s="8">
        <v>0</v>
      </c>
      <c r="AW29" s="167">
        <f t="shared" si="29"/>
        <v>0</v>
      </c>
      <c r="AX29" s="8">
        <v>0</v>
      </c>
      <c r="AY29" s="167">
        <f t="shared" si="30"/>
        <v>0</v>
      </c>
      <c r="AZ29" s="8">
        <v>0</v>
      </c>
      <c r="BA29" s="167">
        <f t="shared" si="31"/>
        <v>0</v>
      </c>
      <c r="BB29" s="8">
        <v>0</v>
      </c>
      <c r="BC29" s="167">
        <f t="shared" si="18"/>
        <v>0</v>
      </c>
      <c r="BD29" s="8">
        <v>0</v>
      </c>
      <c r="BE29" s="167">
        <f t="shared" si="19"/>
        <v>0</v>
      </c>
      <c r="BF29" s="8">
        <v>0</v>
      </c>
      <c r="BG29" s="167">
        <f t="shared" si="20"/>
        <v>0</v>
      </c>
      <c r="BH29" s="8"/>
      <c r="BI29" s="167">
        <f t="shared" si="21"/>
        <v>0</v>
      </c>
      <c r="BJ29" s="8">
        <f t="shared" si="32"/>
        <v>2</v>
      </c>
      <c r="BK29" s="8">
        <f t="shared" si="32"/>
        <v>300000</v>
      </c>
      <c r="BL29" s="479" t="s">
        <v>210</v>
      </c>
      <c r="BN29" s="190"/>
      <c r="BO29" s="190"/>
      <c r="BP29" s="190">
        <f t="shared" si="35"/>
        <v>300000</v>
      </c>
      <c r="BQ29" s="190"/>
      <c r="BR29" s="190">
        <f t="shared" si="2"/>
        <v>300000</v>
      </c>
      <c r="BS29" s="190"/>
      <c r="BT29" s="190"/>
      <c r="BU29" s="444">
        <f t="shared" si="6"/>
        <v>0</v>
      </c>
      <c r="BV29" s="167">
        <f t="shared" si="3"/>
        <v>300000</v>
      </c>
    </row>
    <row r="30" spans="1:74" s="180" customFormat="1" ht="24.2" customHeight="1" x14ac:dyDescent="0.25">
      <c r="A30" s="883"/>
      <c r="B30" s="207"/>
      <c r="C30" s="185" t="s">
        <v>351</v>
      </c>
      <c r="D30" s="223"/>
      <c r="E30" s="205"/>
      <c r="F30" s="495">
        <f>SUM(F18:F29)</f>
        <v>495</v>
      </c>
      <c r="G30" s="495">
        <f t="shared" ref="G30:BR30" si="41">SUM(G18:G29)</f>
        <v>13790000</v>
      </c>
      <c r="H30" s="495">
        <f t="shared" si="41"/>
        <v>6550000</v>
      </c>
      <c r="I30" s="495">
        <f t="shared" si="41"/>
        <v>7240000</v>
      </c>
      <c r="J30" s="495">
        <f t="shared" si="41"/>
        <v>0</v>
      </c>
      <c r="K30" s="495">
        <f t="shared" si="41"/>
        <v>0</v>
      </c>
      <c r="L30" s="495">
        <f t="shared" si="41"/>
        <v>0</v>
      </c>
      <c r="M30" s="495">
        <f t="shared" si="41"/>
        <v>0</v>
      </c>
      <c r="N30" s="495">
        <f t="shared" si="41"/>
        <v>0</v>
      </c>
      <c r="O30" s="495">
        <f t="shared" si="41"/>
        <v>0</v>
      </c>
      <c r="P30" s="495">
        <f t="shared" si="41"/>
        <v>0</v>
      </c>
      <c r="Q30" s="495">
        <f t="shared" si="41"/>
        <v>0</v>
      </c>
      <c r="R30" s="495">
        <f t="shared" si="41"/>
        <v>119</v>
      </c>
      <c r="S30" s="495">
        <f t="shared" si="41"/>
        <v>137</v>
      </c>
      <c r="T30" s="495">
        <f t="shared" si="41"/>
        <v>120</v>
      </c>
      <c r="U30" s="495">
        <f t="shared" si="41"/>
        <v>119</v>
      </c>
      <c r="V30" s="495">
        <f t="shared" si="41"/>
        <v>3400000</v>
      </c>
      <c r="W30" s="495">
        <f t="shared" si="41"/>
        <v>3980000</v>
      </c>
      <c r="X30" s="495">
        <f t="shared" si="41"/>
        <v>3430000</v>
      </c>
      <c r="Y30" s="495">
        <f t="shared" si="41"/>
        <v>3400000</v>
      </c>
      <c r="Z30" s="495">
        <f t="shared" si="41"/>
        <v>30</v>
      </c>
      <c r="AA30" s="495">
        <f t="shared" si="41"/>
        <v>980000</v>
      </c>
      <c r="AB30" s="495">
        <f t="shared" si="41"/>
        <v>29</v>
      </c>
      <c r="AC30" s="495">
        <f t="shared" si="41"/>
        <v>830000</v>
      </c>
      <c r="AD30" s="495">
        <f t="shared" si="41"/>
        <v>29</v>
      </c>
      <c r="AE30" s="495">
        <f t="shared" si="41"/>
        <v>830000</v>
      </c>
      <c r="AF30" s="495">
        <f t="shared" si="41"/>
        <v>29</v>
      </c>
      <c r="AG30" s="495">
        <f t="shared" si="41"/>
        <v>830000</v>
      </c>
      <c r="AH30" s="495">
        <f t="shared" si="41"/>
        <v>30</v>
      </c>
      <c r="AI30" s="495">
        <f t="shared" si="41"/>
        <v>980000</v>
      </c>
      <c r="AJ30" s="495">
        <f t="shared" si="41"/>
        <v>29</v>
      </c>
      <c r="AK30" s="495">
        <f t="shared" si="41"/>
        <v>830000</v>
      </c>
      <c r="AL30" s="495">
        <f t="shared" si="41"/>
        <v>29</v>
      </c>
      <c r="AM30" s="495">
        <f t="shared" si="41"/>
        <v>710000</v>
      </c>
      <c r="AN30" s="495">
        <f t="shared" si="41"/>
        <v>29</v>
      </c>
      <c r="AO30" s="495">
        <f t="shared" si="41"/>
        <v>710000</v>
      </c>
      <c r="AP30" s="495">
        <f t="shared" si="41"/>
        <v>29</v>
      </c>
      <c r="AQ30" s="495">
        <f t="shared" si="41"/>
        <v>830000</v>
      </c>
      <c r="AR30" s="495">
        <f t="shared" si="41"/>
        <v>29</v>
      </c>
      <c r="AS30" s="495">
        <f t="shared" si="41"/>
        <v>710000</v>
      </c>
      <c r="AT30" s="495">
        <f t="shared" si="41"/>
        <v>29</v>
      </c>
      <c r="AU30" s="495">
        <f t="shared" si="41"/>
        <v>710000</v>
      </c>
      <c r="AV30" s="495">
        <f t="shared" si="41"/>
        <v>29</v>
      </c>
      <c r="AW30" s="495">
        <f t="shared" si="41"/>
        <v>890000</v>
      </c>
      <c r="AX30" s="495">
        <f t="shared" si="41"/>
        <v>29</v>
      </c>
      <c r="AY30" s="495">
        <f t="shared" si="41"/>
        <v>830000</v>
      </c>
      <c r="AZ30" s="495">
        <f t="shared" si="41"/>
        <v>29</v>
      </c>
      <c r="BA30" s="495">
        <f t="shared" si="41"/>
        <v>630000</v>
      </c>
      <c r="BB30" s="495">
        <f t="shared" si="41"/>
        <v>29</v>
      </c>
      <c r="BC30" s="495">
        <f t="shared" si="41"/>
        <v>830000</v>
      </c>
      <c r="BD30" s="495">
        <f t="shared" si="41"/>
        <v>29</v>
      </c>
      <c r="BE30" s="495">
        <f t="shared" si="41"/>
        <v>830000</v>
      </c>
      <c r="BF30" s="495">
        <f t="shared" si="41"/>
        <v>29</v>
      </c>
      <c r="BG30" s="495">
        <f t="shared" si="41"/>
        <v>830000</v>
      </c>
      <c r="BH30" s="495">
        <f t="shared" si="41"/>
        <v>0</v>
      </c>
      <c r="BI30" s="495">
        <f t="shared" si="41"/>
        <v>0</v>
      </c>
      <c r="BJ30" s="495">
        <f t="shared" si="41"/>
        <v>495</v>
      </c>
      <c r="BK30" s="495">
        <f t="shared" si="41"/>
        <v>13790000</v>
      </c>
      <c r="BL30" s="495">
        <f t="shared" si="41"/>
        <v>0</v>
      </c>
      <c r="BM30" s="495">
        <f t="shared" si="41"/>
        <v>0</v>
      </c>
      <c r="BN30" s="495">
        <f t="shared" si="41"/>
        <v>0</v>
      </c>
      <c r="BO30" s="495">
        <f t="shared" si="41"/>
        <v>0</v>
      </c>
      <c r="BP30" s="495">
        <f t="shared" si="41"/>
        <v>810000</v>
      </c>
      <c r="BQ30" s="495">
        <f t="shared" si="41"/>
        <v>0</v>
      </c>
      <c r="BR30" s="495">
        <f t="shared" si="41"/>
        <v>810000</v>
      </c>
      <c r="BS30" s="495">
        <f>SUM(BS18:BS29)</f>
        <v>0</v>
      </c>
      <c r="BT30" s="495">
        <f>SUM(BT18:BT29)</f>
        <v>12980000</v>
      </c>
      <c r="BU30" s="495">
        <f>SUM(BU18:BU29)</f>
        <v>12980000</v>
      </c>
      <c r="BV30" s="495">
        <f>SUM(BV18:BV29)</f>
        <v>13790000</v>
      </c>
    </row>
    <row r="31" spans="1:74" x14ac:dyDescent="0.25">
      <c r="A31" s="883"/>
      <c r="B31" s="586" t="s">
        <v>1134</v>
      </c>
      <c r="C31" s="169" t="s">
        <v>320</v>
      </c>
      <c r="D31" s="169" t="s">
        <v>336</v>
      </c>
      <c r="E31" s="494"/>
      <c r="F31" s="48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8"/>
      <c r="S31" s="8"/>
      <c r="T31" s="8"/>
      <c r="U31" s="8"/>
      <c r="V31" s="464"/>
      <c r="W31" s="464"/>
      <c r="X31" s="464"/>
      <c r="Y31" s="464"/>
      <c r="Z31" s="8"/>
      <c r="AA31" s="8"/>
      <c r="AB31" s="8"/>
      <c r="AC31" s="167"/>
      <c r="AD31" s="8"/>
      <c r="AE31" s="167"/>
      <c r="AF31" s="8"/>
      <c r="AG31" s="167"/>
      <c r="AH31" s="8"/>
      <c r="AI31" s="167"/>
      <c r="AJ31" s="8"/>
      <c r="AK31" s="167"/>
      <c r="AL31" s="8"/>
      <c r="AM31" s="167"/>
      <c r="AN31" s="8"/>
      <c r="AO31" s="167"/>
      <c r="AP31" s="8"/>
      <c r="AQ31" s="167"/>
      <c r="AR31" s="8"/>
      <c r="AS31" s="167"/>
      <c r="AT31" s="8"/>
      <c r="AU31" s="167"/>
      <c r="AV31" s="8"/>
      <c r="AW31" s="167"/>
      <c r="AX31" s="8"/>
      <c r="AY31" s="167"/>
      <c r="AZ31" s="8"/>
      <c r="BA31" s="167"/>
      <c r="BB31" s="8"/>
      <c r="BC31" s="167"/>
      <c r="BD31" s="8"/>
      <c r="BE31" s="167"/>
      <c r="BF31" s="8"/>
      <c r="BG31" s="167"/>
      <c r="BH31" s="8"/>
      <c r="BI31" s="167"/>
      <c r="BJ31" s="8"/>
      <c r="BK31" s="443"/>
      <c r="BL31" s="479"/>
      <c r="BN31" s="190"/>
      <c r="BO31" s="190"/>
      <c r="BP31" s="206">
        <f>G31</f>
        <v>0</v>
      </c>
      <c r="BQ31" s="190"/>
      <c r="BR31" s="190">
        <f t="shared" ref="BR31:BR47" si="42">BN31+BO31+BP31+BQ31</f>
        <v>0</v>
      </c>
      <c r="BS31" s="190"/>
      <c r="BT31" s="190"/>
      <c r="BU31" s="444">
        <f t="shared" ref="BU31:BU54" si="43">BS31+BT31</f>
        <v>0</v>
      </c>
      <c r="BV31" s="167">
        <f t="shared" si="3"/>
        <v>0</v>
      </c>
    </row>
    <row r="32" spans="1:74" x14ac:dyDescent="0.25">
      <c r="A32" s="883"/>
      <c r="B32" s="586" t="s">
        <v>1135</v>
      </c>
      <c r="C32" s="169" t="s">
        <v>321</v>
      </c>
      <c r="D32" s="169" t="s">
        <v>336</v>
      </c>
      <c r="E32" s="494"/>
      <c r="F32" s="486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8"/>
      <c r="S32" s="8"/>
      <c r="T32" s="8"/>
      <c r="U32" s="8"/>
      <c r="V32" s="464"/>
      <c r="W32" s="464"/>
      <c r="X32" s="464"/>
      <c r="Y32" s="464"/>
      <c r="Z32" s="8"/>
      <c r="AA32" s="8"/>
      <c r="AB32" s="8"/>
      <c r="AC32" s="167"/>
      <c r="AD32" s="8"/>
      <c r="AE32" s="167"/>
      <c r="AF32" s="8"/>
      <c r="AG32" s="167"/>
      <c r="AH32" s="8"/>
      <c r="AI32" s="167"/>
      <c r="AJ32" s="8"/>
      <c r="AK32" s="167"/>
      <c r="AL32" s="8"/>
      <c r="AM32" s="167"/>
      <c r="AN32" s="8"/>
      <c r="AO32" s="167"/>
      <c r="AP32" s="8"/>
      <c r="AQ32" s="167"/>
      <c r="AR32" s="8"/>
      <c r="AS32" s="167"/>
      <c r="AT32" s="8"/>
      <c r="AU32" s="167"/>
      <c r="AV32" s="8"/>
      <c r="AW32" s="167"/>
      <c r="AX32" s="8"/>
      <c r="AY32" s="167"/>
      <c r="AZ32" s="8"/>
      <c r="BA32" s="167"/>
      <c r="BB32" s="8"/>
      <c r="BC32" s="167"/>
      <c r="BD32" s="8"/>
      <c r="BE32" s="167"/>
      <c r="BF32" s="8"/>
      <c r="BG32" s="167"/>
      <c r="BH32" s="8"/>
      <c r="BI32" s="167"/>
      <c r="BJ32" s="8"/>
      <c r="BK32" s="443"/>
      <c r="BL32" s="479"/>
      <c r="BN32" s="190"/>
      <c r="BO32" s="190"/>
      <c r="BP32" s="206">
        <f>G32</f>
        <v>0</v>
      </c>
      <c r="BQ32" s="190"/>
      <c r="BR32" s="190">
        <f t="shared" si="42"/>
        <v>0</v>
      </c>
      <c r="BS32" s="190"/>
      <c r="BT32" s="190"/>
      <c r="BU32" s="444">
        <f t="shared" si="43"/>
        <v>0</v>
      </c>
      <c r="BV32" s="167">
        <f t="shared" si="3"/>
        <v>0</v>
      </c>
    </row>
    <row r="33" spans="1:74" x14ac:dyDescent="0.25">
      <c r="A33" s="883"/>
      <c r="B33" s="586" t="s">
        <v>1136</v>
      </c>
      <c r="C33" s="169" t="s">
        <v>322</v>
      </c>
      <c r="D33" s="169" t="s">
        <v>336</v>
      </c>
      <c r="E33" s="494"/>
      <c r="F33" s="486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8"/>
      <c r="S33" s="8"/>
      <c r="T33" s="8"/>
      <c r="U33" s="8"/>
      <c r="V33" s="464"/>
      <c r="W33" s="464"/>
      <c r="X33" s="464"/>
      <c r="Y33" s="464"/>
      <c r="Z33" s="8"/>
      <c r="AA33" s="8"/>
      <c r="AB33" s="8"/>
      <c r="AC33" s="167"/>
      <c r="AD33" s="8"/>
      <c r="AE33" s="167"/>
      <c r="AF33" s="8"/>
      <c r="AG33" s="167"/>
      <c r="AH33" s="8"/>
      <c r="AI33" s="167"/>
      <c r="AJ33" s="8"/>
      <c r="AK33" s="167"/>
      <c r="AL33" s="8"/>
      <c r="AM33" s="167"/>
      <c r="AN33" s="8"/>
      <c r="AO33" s="167"/>
      <c r="AP33" s="8"/>
      <c r="AQ33" s="167"/>
      <c r="AR33" s="8"/>
      <c r="AS33" s="167"/>
      <c r="AT33" s="8"/>
      <c r="AU33" s="167"/>
      <c r="AV33" s="8"/>
      <c r="AW33" s="167"/>
      <c r="AX33" s="8"/>
      <c r="AY33" s="167"/>
      <c r="AZ33" s="8"/>
      <c r="BA33" s="167"/>
      <c r="BB33" s="8"/>
      <c r="BC33" s="167"/>
      <c r="BD33" s="8"/>
      <c r="BE33" s="167"/>
      <c r="BF33" s="8"/>
      <c r="BG33" s="167"/>
      <c r="BH33" s="8"/>
      <c r="BI33" s="167"/>
      <c r="BJ33" s="8"/>
      <c r="BK33" s="443"/>
      <c r="BL33" s="479"/>
      <c r="BN33" s="190"/>
      <c r="BO33" s="190"/>
      <c r="BP33" s="206">
        <f>G33</f>
        <v>0</v>
      </c>
      <c r="BQ33" s="190"/>
      <c r="BR33" s="190">
        <f t="shared" si="42"/>
        <v>0</v>
      </c>
      <c r="BS33" s="190"/>
      <c r="BT33" s="190"/>
      <c r="BU33" s="444">
        <f t="shared" si="43"/>
        <v>0</v>
      </c>
      <c r="BV33" s="167">
        <f t="shared" si="3"/>
        <v>0</v>
      </c>
    </row>
    <row r="34" spans="1:74" x14ac:dyDescent="0.25">
      <c r="A34" s="883"/>
      <c r="B34" s="586" t="s">
        <v>1137</v>
      </c>
      <c r="C34" s="192" t="s">
        <v>323</v>
      </c>
      <c r="D34" s="169" t="s">
        <v>336</v>
      </c>
      <c r="E34" s="193">
        <v>50000</v>
      </c>
      <c r="F34" s="486">
        <f>BJ34</f>
        <v>204</v>
      </c>
      <c r="G34" s="7">
        <f>F34*E34</f>
        <v>10200000</v>
      </c>
      <c r="H34" s="7">
        <f>G34*0.5</f>
        <v>5100000</v>
      </c>
      <c r="I34" s="7">
        <f>G34*0.5</f>
        <v>5100000</v>
      </c>
      <c r="J34" s="7"/>
      <c r="K34" s="7"/>
      <c r="L34" s="7"/>
      <c r="M34" s="7"/>
      <c r="N34" s="7"/>
      <c r="O34" s="7"/>
      <c r="P34" s="7"/>
      <c r="Q34" s="7"/>
      <c r="R34" s="8">
        <f>F34*0.25</f>
        <v>51</v>
      </c>
      <c r="S34" s="8">
        <f>F34*0.25</f>
        <v>51</v>
      </c>
      <c r="T34" s="8">
        <f>F34*0.25</f>
        <v>51</v>
      </c>
      <c r="U34" s="8">
        <f>F34*0.25</f>
        <v>51</v>
      </c>
      <c r="V34" s="464">
        <f t="shared" si="37"/>
        <v>2550000</v>
      </c>
      <c r="W34" s="464">
        <f t="shared" si="38"/>
        <v>2550000</v>
      </c>
      <c r="X34" s="464">
        <f t="shared" si="39"/>
        <v>2550000</v>
      </c>
      <c r="Y34" s="464">
        <f t="shared" si="40"/>
        <v>2550000</v>
      </c>
      <c r="Z34" s="8">
        <v>12</v>
      </c>
      <c r="AA34" s="8">
        <f t="shared" ref="AA34:AA47" si="44">Z34*E34</f>
        <v>600000</v>
      </c>
      <c r="AB34" s="8">
        <v>12</v>
      </c>
      <c r="AC34" s="167">
        <f t="shared" ref="AC34:AC47" si="45">AB34*E34</f>
        <v>600000</v>
      </c>
      <c r="AD34" s="8">
        <v>12</v>
      </c>
      <c r="AE34" s="167">
        <f t="shared" ref="AE34:AE47" si="46">AD34*E34</f>
        <v>600000</v>
      </c>
      <c r="AF34" s="8">
        <v>12</v>
      </c>
      <c r="AG34" s="167">
        <f t="shared" ref="AG34:AG47" si="47">AF34*E34</f>
        <v>600000</v>
      </c>
      <c r="AH34" s="8">
        <v>12</v>
      </c>
      <c r="AI34" s="167">
        <f t="shared" ref="AI34:AI47" si="48">AH34*E34</f>
        <v>600000</v>
      </c>
      <c r="AJ34" s="8">
        <v>12</v>
      </c>
      <c r="AK34" s="167">
        <f>AJ34*E34</f>
        <v>600000</v>
      </c>
      <c r="AL34" s="8">
        <v>12</v>
      </c>
      <c r="AM34" s="167">
        <f t="shared" ref="AM34:AM47" si="49">AL34*E34</f>
        <v>600000</v>
      </c>
      <c r="AN34" s="8">
        <v>12</v>
      </c>
      <c r="AO34" s="167">
        <f>AN34*E34</f>
        <v>600000</v>
      </c>
      <c r="AP34" s="8">
        <v>12</v>
      </c>
      <c r="AQ34" s="167">
        <f t="shared" ref="AQ34:AQ47" si="50">AP34*E34</f>
        <v>600000</v>
      </c>
      <c r="AR34" s="8">
        <v>12</v>
      </c>
      <c r="AS34" s="167">
        <f t="shared" ref="AS34:AS47" si="51">AR34*E34</f>
        <v>600000</v>
      </c>
      <c r="AT34" s="8">
        <v>12</v>
      </c>
      <c r="AU34" s="167">
        <f>AT34*E34</f>
        <v>600000</v>
      </c>
      <c r="AV34" s="8">
        <v>12</v>
      </c>
      <c r="AW34" s="167">
        <f>AV34*E34</f>
        <v>600000</v>
      </c>
      <c r="AX34" s="8">
        <v>12</v>
      </c>
      <c r="AY34" s="167">
        <f>AX34*E34</f>
        <v>600000</v>
      </c>
      <c r="AZ34" s="8">
        <v>12</v>
      </c>
      <c r="BA34" s="167">
        <f>AZ34*E34</f>
        <v>600000</v>
      </c>
      <c r="BB34" s="8">
        <v>12</v>
      </c>
      <c r="BC34" s="167">
        <f t="shared" ref="BC34:BC47" si="52">BB34*E34</f>
        <v>600000</v>
      </c>
      <c r="BD34" s="8">
        <v>12</v>
      </c>
      <c r="BE34" s="167">
        <f t="shared" ref="BE34:BE47" si="53">BD34*E34</f>
        <v>600000</v>
      </c>
      <c r="BF34" s="8">
        <v>12</v>
      </c>
      <c r="BG34" s="167">
        <f t="shared" ref="BG34:BG47" si="54">BF34*E34</f>
        <v>600000</v>
      </c>
      <c r="BH34" s="8"/>
      <c r="BI34" s="167">
        <f t="shared" ref="BI34:BI47" si="55">BH34*E34</f>
        <v>0</v>
      </c>
      <c r="BJ34" s="8">
        <f t="shared" ref="BJ34:BK47" si="56">BH34+BF34+BD34+BB34+AZ34+AX34+AV34+AT34+AR34+AP34+AN34+AL34+AJ34+AH34+AF34+AD34+AB34+Z34</f>
        <v>204</v>
      </c>
      <c r="BK34" s="8">
        <f t="shared" si="56"/>
        <v>10200000</v>
      </c>
      <c r="BL34" s="479" t="s">
        <v>212</v>
      </c>
      <c r="BN34" s="190"/>
      <c r="BO34" s="190"/>
      <c r="BP34" s="206"/>
      <c r="BQ34" s="190"/>
      <c r="BR34" s="190">
        <f t="shared" si="42"/>
        <v>0</v>
      </c>
      <c r="BS34" s="190">
        <f>G34</f>
        <v>10200000</v>
      </c>
      <c r="BT34" s="190"/>
      <c r="BU34" s="444">
        <f t="shared" si="43"/>
        <v>10200000</v>
      </c>
      <c r="BV34" s="167">
        <f t="shared" si="3"/>
        <v>10200000</v>
      </c>
    </row>
    <row r="35" spans="1:74" x14ac:dyDescent="0.25">
      <c r="A35" s="883"/>
      <c r="B35" s="586" t="s">
        <v>1138</v>
      </c>
      <c r="C35" s="192" t="s">
        <v>132</v>
      </c>
      <c r="D35" s="169" t="s">
        <v>336</v>
      </c>
      <c r="E35" s="193">
        <v>50000</v>
      </c>
      <c r="F35" s="486">
        <f t="shared" ref="F35:F47" si="57">BJ35</f>
        <v>204</v>
      </c>
      <c r="G35" s="7">
        <f t="shared" ref="G35:G47" si="58">F35*E35</f>
        <v>10200000</v>
      </c>
      <c r="H35" s="7">
        <f t="shared" ref="H35:H46" si="59">G35*0.5</f>
        <v>5100000</v>
      </c>
      <c r="I35" s="7">
        <f t="shared" ref="I35:I46" si="60">G35*0.5</f>
        <v>5100000</v>
      </c>
      <c r="J35" s="7"/>
      <c r="K35" s="7"/>
      <c r="L35" s="7"/>
      <c r="M35" s="7"/>
      <c r="N35" s="7"/>
      <c r="O35" s="7"/>
      <c r="P35" s="7"/>
      <c r="Q35" s="7"/>
      <c r="R35" s="8">
        <f t="shared" ref="R35:R47" si="61">F35*0.25</f>
        <v>51</v>
      </c>
      <c r="S35" s="8">
        <f t="shared" ref="S35:S47" si="62">F35*0.25</f>
        <v>51</v>
      </c>
      <c r="T35" s="8">
        <f t="shared" ref="T35:T47" si="63">F35*0.25</f>
        <v>51</v>
      </c>
      <c r="U35" s="8">
        <f t="shared" ref="U35:U47" si="64">F35*0.25</f>
        <v>51</v>
      </c>
      <c r="V35" s="464">
        <f t="shared" si="37"/>
        <v>2550000</v>
      </c>
      <c r="W35" s="464">
        <f t="shared" si="38"/>
        <v>2550000</v>
      </c>
      <c r="X35" s="464">
        <f t="shared" si="39"/>
        <v>2550000</v>
      </c>
      <c r="Y35" s="464">
        <f t="shared" si="40"/>
        <v>2550000</v>
      </c>
      <c r="Z35" s="8">
        <v>12</v>
      </c>
      <c r="AA35" s="8">
        <f t="shared" si="44"/>
        <v>600000</v>
      </c>
      <c r="AB35" s="8">
        <v>12</v>
      </c>
      <c r="AC35" s="167">
        <f t="shared" si="45"/>
        <v>600000</v>
      </c>
      <c r="AD35" s="8">
        <v>12</v>
      </c>
      <c r="AE35" s="167">
        <f t="shared" si="46"/>
        <v>600000</v>
      </c>
      <c r="AF35" s="8">
        <v>12</v>
      </c>
      <c r="AG35" s="167">
        <f t="shared" si="47"/>
        <v>600000</v>
      </c>
      <c r="AH35" s="8">
        <v>12</v>
      </c>
      <c r="AI35" s="167">
        <f t="shared" si="48"/>
        <v>600000</v>
      </c>
      <c r="AJ35" s="8">
        <v>12</v>
      </c>
      <c r="AK35" s="167">
        <f t="shared" ref="AK35:AK47" si="65">AJ35*E35</f>
        <v>600000</v>
      </c>
      <c r="AL35" s="8">
        <v>12</v>
      </c>
      <c r="AM35" s="167">
        <f t="shared" si="49"/>
        <v>600000</v>
      </c>
      <c r="AN35" s="8">
        <v>12</v>
      </c>
      <c r="AO35" s="167">
        <f t="shared" ref="AO35:AO47" si="66">AN35*E35</f>
        <v>600000</v>
      </c>
      <c r="AP35" s="8">
        <v>12</v>
      </c>
      <c r="AQ35" s="167">
        <f t="shared" si="50"/>
        <v>600000</v>
      </c>
      <c r="AR35" s="8">
        <v>12</v>
      </c>
      <c r="AS35" s="167">
        <f t="shared" si="51"/>
        <v>600000</v>
      </c>
      <c r="AT35" s="8">
        <v>12</v>
      </c>
      <c r="AU35" s="167">
        <f t="shared" ref="AU35:AU47" si="67">AT35*E35</f>
        <v>600000</v>
      </c>
      <c r="AV35" s="8">
        <v>12</v>
      </c>
      <c r="AW35" s="167">
        <f t="shared" ref="AW35:AW47" si="68">AV35*E35</f>
        <v>600000</v>
      </c>
      <c r="AX35" s="8">
        <v>12</v>
      </c>
      <c r="AY35" s="167">
        <f t="shared" ref="AY35:AY47" si="69">AX35*E35</f>
        <v>600000</v>
      </c>
      <c r="AZ35" s="8">
        <v>12</v>
      </c>
      <c r="BA35" s="167">
        <f t="shared" ref="BA35:BA47" si="70">AZ35*E35</f>
        <v>600000</v>
      </c>
      <c r="BB35" s="8">
        <v>12</v>
      </c>
      <c r="BC35" s="167">
        <f t="shared" si="52"/>
        <v>600000</v>
      </c>
      <c r="BD35" s="8">
        <v>12</v>
      </c>
      <c r="BE35" s="167">
        <f t="shared" si="53"/>
        <v>600000</v>
      </c>
      <c r="BF35" s="8">
        <v>12</v>
      </c>
      <c r="BG35" s="167">
        <f t="shared" si="54"/>
        <v>600000</v>
      </c>
      <c r="BH35" s="8"/>
      <c r="BI35" s="167">
        <f t="shared" si="55"/>
        <v>0</v>
      </c>
      <c r="BJ35" s="8">
        <f t="shared" si="56"/>
        <v>204</v>
      </c>
      <c r="BK35" s="8">
        <f t="shared" si="56"/>
        <v>10200000</v>
      </c>
      <c r="BL35" s="479" t="s">
        <v>212</v>
      </c>
      <c r="BN35" s="190"/>
      <c r="BO35" s="190"/>
      <c r="BP35" s="206"/>
      <c r="BQ35" s="190"/>
      <c r="BR35" s="190">
        <f t="shared" si="42"/>
        <v>0</v>
      </c>
      <c r="BS35" s="190">
        <f t="shared" ref="BS35:BS47" si="71">G35</f>
        <v>10200000</v>
      </c>
      <c r="BT35" s="190"/>
      <c r="BU35" s="444">
        <f t="shared" si="43"/>
        <v>10200000</v>
      </c>
      <c r="BV35" s="167">
        <f t="shared" si="3"/>
        <v>10200000</v>
      </c>
    </row>
    <row r="36" spans="1:74" x14ac:dyDescent="0.25">
      <c r="A36" s="883"/>
      <c r="B36" s="586" t="s">
        <v>1139</v>
      </c>
      <c r="C36" s="192" t="s">
        <v>324</v>
      </c>
      <c r="D36" s="169" t="s">
        <v>336</v>
      </c>
      <c r="E36" s="193">
        <v>0</v>
      </c>
      <c r="F36" s="486">
        <f t="shared" si="57"/>
        <v>168</v>
      </c>
      <c r="G36" s="7">
        <f t="shared" si="58"/>
        <v>0</v>
      </c>
      <c r="H36" s="7">
        <f t="shared" si="59"/>
        <v>0</v>
      </c>
      <c r="I36" s="7">
        <f t="shared" si="60"/>
        <v>0</v>
      </c>
      <c r="J36" s="7"/>
      <c r="K36" s="7"/>
      <c r="L36" s="7"/>
      <c r="M36" s="7"/>
      <c r="N36" s="7"/>
      <c r="O36" s="7"/>
      <c r="P36" s="7"/>
      <c r="Q36" s="7"/>
      <c r="R36" s="8">
        <f t="shared" si="61"/>
        <v>42</v>
      </c>
      <c r="S36" s="8">
        <f t="shared" si="62"/>
        <v>42</v>
      </c>
      <c r="T36" s="8">
        <f t="shared" si="63"/>
        <v>42</v>
      </c>
      <c r="U36" s="8">
        <f t="shared" si="64"/>
        <v>42</v>
      </c>
      <c r="V36" s="464">
        <f t="shared" si="37"/>
        <v>0</v>
      </c>
      <c r="W36" s="464">
        <f t="shared" si="38"/>
        <v>0</v>
      </c>
      <c r="X36" s="464">
        <f t="shared" si="39"/>
        <v>0</v>
      </c>
      <c r="Y36" s="464">
        <f t="shared" si="40"/>
        <v>0</v>
      </c>
      <c r="Z36" s="8">
        <v>10</v>
      </c>
      <c r="AA36" s="8">
        <f t="shared" si="44"/>
        <v>0</v>
      </c>
      <c r="AB36" s="8">
        <v>10</v>
      </c>
      <c r="AC36" s="167">
        <f t="shared" si="45"/>
        <v>0</v>
      </c>
      <c r="AD36" s="8">
        <v>11</v>
      </c>
      <c r="AE36" s="167">
        <f t="shared" si="46"/>
        <v>0</v>
      </c>
      <c r="AF36" s="8">
        <v>10</v>
      </c>
      <c r="AG36" s="167">
        <f t="shared" si="47"/>
        <v>0</v>
      </c>
      <c r="AH36" s="8">
        <v>11</v>
      </c>
      <c r="AI36" s="167">
        <f t="shared" si="48"/>
        <v>0</v>
      </c>
      <c r="AJ36" s="8">
        <v>11</v>
      </c>
      <c r="AK36" s="167">
        <f t="shared" si="65"/>
        <v>0</v>
      </c>
      <c r="AL36" s="8">
        <v>11</v>
      </c>
      <c r="AM36" s="167">
        <f t="shared" si="49"/>
        <v>0</v>
      </c>
      <c r="AN36" s="8">
        <v>11</v>
      </c>
      <c r="AO36" s="167">
        <f t="shared" si="66"/>
        <v>0</v>
      </c>
      <c r="AP36" s="8">
        <v>0</v>
      </c>
      <c r="AQ36" s="167">
        <f t="shared" si="50"/>
        <v>0</v>
      </c>
      <c r="AR36" s="8">
        <v>10</v>
      </c>
      <c r="AS36" s="167">
        <f t="shared" si="51"/>
        <v>0</v>
      </c>
      <c r="AT36" s="8">
        <v>11</v>
      </c>
      <c r="AU36" s="167">
        <f t="shared" si="67"/>
        <v>0</v>
      </c>
      <c r="AV36" s="8">
        <v>10</v>
      </c>
      <c r="AW36" s="167">
        <f t="shared" si="68"/>
        <v>0</v>
      </c>
      <c r="AX36" s="8">
        <v>10</v>
      </c>
      <c r="AY36" s="167">
        <f t="shared" si="69"/>
        <v>0</v>
      </c>
      <c r="AZ36" s="8">
        <v>11</v>
      </c>
      <c r="BA36" s="167">
        <f t="shared" si="70"/>
        <v>0</v>
      </c>
      <c r="BB36" s="8">
        <v>11</v>
      </c>
      <c r="BC36" s="167">
        <f t="shared" si="52"/>
        <v>0</v>
      </c>
      <c r="BD36" s="8">
        <v>10</v>
      </c>
      <c r="BE36" s="167">
        <f t="shared" si="53"/>
        <v>0</v>
      </c>
      <c r="BF36" s="8">
        <v>10</v>
      </c>
      <c r="BG36" s="167">
        <f t="shared" si="54"/>
        <v>0</v>
      </c>
      <c r="BH36" s="8"/>
      <c r="BI36" s="167">
        <f t="shared" si="55"/>
        <v>0</v>
      </c>
      <c r="BJ36" s="8">
        <f t="shared" si="56"/>
        <v>168</v>
      </c>
      <c r="BK36" s="8">
        <f t="shared" si="56"/>
        <v>0</v>
      </c>
      <c r="BL36" s="479" t="s">
        <v>212</v>
      </c>
      <c r="BN36" s="190"/>
      <c r="BO36" s="190"/>
      <c r="BP36" s="206"/>
      <c r="BQ36" s="190"/>
      <c r="BR36" s="190">
        <f t="shared" si="42"/>
        <v>0</v>
      </c>
      <c r="BS36" s="190">
        <f t="shared" si="71"/>
        <v>0</v>
      </c>
      <c r="BT36" s="190"/>
      <c r="BU36" s="444">
        <f t="shared" si="43"/>
        <v>0</v>
      </c>
      <c r="BV36" s="167">
        <f t="shared" si="3"/>
        <v>0</v>
      </c>
    </row>
    <row r="37" spans="1:74" x14ac:dyDescent="0.25">
      <c r="A37" s="883"/>
      <c r="B37" s="586" t="s">
        <v>1140</v>
      </c>
      <c r="C37" s="192" t="s">
        <v>325</v>
      </c>
      <c r="D37" s="169" t="s">
        <v>336</v>
      </c>
      <c r="E37" s="193">
        <v>50000</v>
      </c>
      <c r="F37" s="486">
        <f t="shared" si="57"/>
        <v>0</v>
      </c>
      <c r="G37" s="7">
        <f t="shared" si="58"/>
        <v>0</v>
      </c>
      <c r="H37" s="7">
        <f t="shared" si="59"/>
        <v>0</v>
      </c>
      <c r="I37" s="7">
        <f t="shared" si="60"/>
        <v>0</v>
      </c>
      <c r="J37" s="7"/>
      <c r="K37" s="7"/>
      <c r="L37" s="7"/>
      <c r="M37" s="7"/>
      <c r="N37" s="7"/>
      <c r="O37" s="7"/>
      <c r="P37" s="7"/>
      <c r="Q37" s="7"/>
      <c r="R37" s="8">
        <f t="shared" si="61"/>
        <v>0</v>
      </c>
      <c r="S37" s="8">
        <f t="shared" si="62"/>
        <v>0</v>
      </c>
      <c r="T37" s="8">
        <f t="shared" si="63"/>
        <v>0</v>
      </c>
      <c r="U37" s="8">
        <f t="shared" si="64"/>
        <v>0</v>
      </c>
      <c r="V37" s="464">
        <f t="shared" si="37"/>
        <v>0</v>
      </c>
      <c r="W37" s="464">
        <f t="shared" si="38"/>
        <v>0</v>
      </c>
      <c r="X37" s="464">
        <f t="shared" si="39"/>
        <v>0</v>
      </c>
      <c r="Y37" s="464">
        <f t="shared" si="40"/>
        <v>0</v>
      </c>
      <c r="Z37" s="8">
        <v>0</v>
      </c>
      <c r="AA37" s="8">
        <f t="shared" si="44"/>
        <v>0</v>
      </c>
      <c r="AB37" s="8">
        <v>0</v>
      </c>
      <c r="AC37" s="167">
        <f t="shared" si="45"/>
        <v>0</v>
      </c>
      <c r="AD37" s="8">
        <v>0</v>
      </c>
      <c r="AE37" s="167">
        <f t="shared" si="46"/>
        <v>0</v>
      </c>
      <c r="AF37" s="8">
        <v>0</v>
      </c>
      <c r="AG37" s="167">
        <f t="shared" si="47"/>
        <v>0</v>
      </c>
      <c r="AH37" s="8">
        <v>0</v>
      </c>
      <c r="AI37" s="167">
        <f t="shared" si="48"/>
        <v>0</v>
      </c>
      <c r="AJ37" s="8">
        <v>0</v>
      </c>
      <c r="AK37" s="167">
        <f t="shared" si="65"/>
        <v>0</v>
      </c>
      <c r="AL37" s="8">
        <v>0</v>
      </c>
      <c r="AM37" s="167">
        <f t="shared" si="49"/>
        <v>0</v>
      </c>
      <c r="AN37" s="8">
        <v>0</v>
      </c>
      <c r="AO37" s="167">
        <f t="shared" si="66"/>
        <v>0</v>
      </c>
      <c r="AP37" s="8">
        <v>0</v>
      </c>
      <c r="AQ37" s="167">
        <f t="shared" si="50"/>
        <v>0</v>
      </c>
      <c r="AR37" s="8">
        <v>0</v>
      </c>
      <c r="AS37" s="167">
        <f t="shared" si="51"/>
        <v>0</v>
      </c>
      <c r="AT37" s="8">
        <v>0</v>
      </c>
      <c r="AU37" s="167">
        <f t="shared" si="67"/>
        <v>0</v>
      </c>
      <c r="AV37" s="8">
        <v>0</v>
      </c>
      <c r="AW37" s="167">
        <f t="shared" si="68"/>
        <v>0</v>
      </c>
      <c r="AX37" s="8">
        <v>0</v>
      </c>
      <c r="AY37" s="167">
        <f t="shared" si="69"/>
        <v>0</v>
      </c>
      <c r="AZ37" s="8">
        <v>0</v>
      </c>
      <c r="BA37" s="167">
        <f t="shared" si="70"/>
        <v>0</v>
      </c>
      <c r="BB37" s="8">
        <v>0</v>
      </c>
      <c r="BC37" s="167">
        <f t="shared" si="52"/>
        <v>0</v>
      </c>
      <c r="BD37" s="8">
        <v>0</v>
      </c>
      <c r="BE37" s="167">
        <f t="shared" si="53"/>
        <v>0</v>
      </c>
      <c r="BF37" s="8">
        <v>0</v>
      </c>
      <c r="BG37" s="167">
        <f t="shared" si="54"/>
        <v>0</v>
      </c>
      <c r="BH37" s="8"/>
      <c r="BI37" s="167">
        <f t="shared" si="55"/>
        <v>0</v>
      </c>
      <c r="BJ37" s="8">
        <f t="shared" si="56"/>
        <v>0</v>
      </c>
      <c r="BK37" s="8">
        <f t="shared" si="56"/>
        <v>0</v>
      </c>
      <c r="BL37" s="479" t="s">
        <v>212</v>
      </c>
      <c r="BN37" s="190"/>
      <c r="BO37" s="190"/>
      <c r="BP37" s="206"/>
      <c r="BQ37" s="190"/>
      <c r="BR37" s="190">
        <f t="shared" si="42"/>
        <v>0</v>
      </c>
      <c r="BS37" s="190">
        <f t="shared" si="71"/>
        <v>0</v>
      </c>
      <c r="BT37" s="190"/>
      <c r="BU37" s="444">
        <f t="shared" si="43"/>
        <v>0</v>
      </c>
      <c r="BV37" s="167">
        <f t="shared" si="3"/>
        <v>0</v>
      </c>
    </row>
    <row r="38" spans="1:74" x14ac:dyDescent="0.25">
      <c r="A38" s="883"/>
      <c r="B38" s="586" t="s">
        <v>1141</v>
      </c>
      <c r="C38" s="192" t="s">
        <v>516</v>
      </c>
      <c r="D38" s="169" t="s">
        <v>336</v>
      </c>
      <c r="E38" s="193">
        <v>15000</v>
      </c>
      <c r="F38" s="486">
        <f t="shared" si="57"/>
        <v>0</v>
      </c>
      <c r="G38" s="7">
        <f t="shared" si="58"/>
        <v>0</v>
      </c>
      <c r="H38" s="7">
        <f t="shared" si="59"/>
        <v>0</v>
      </c>
      <c r="I38" s="7">
        <f t="shared" si="60"/>
        <v>0</v>
      </c>
      <c r="J38" s="7"/>
      <c r="K38" s="7"/>
      <c r="L38" s="7"/>
      <c r="M38" s="7"/>
      <c r="N38" s="7"/>
      <c r="O38" s="7"/>
      <c r="P38" s="7"/>
      <c r="Q38" s="7"/>
      <c r="R38" s="8">
        <f t="shared" si="61"/>
        <v>0</v>
      </c>
      <c r="S38" s="8">
        <f t="shared" si="62"/>
        <v>0</v>
      </c>
      <c r="T38" s="8">
        <f t="shared" si="63"/>
        <v>0</v>
      </c>
      <c r="U38" s="8">
        <f t="shared" si="64"/>
        <v>0</v>
      </c>
      <c r="V38" s="464">
        <f t="shared" si="37"/>
        <v>0</v>
      </c>
      <c r="W38" s="464">
        <f t="shared" si="38"/>
        <v>0</v>
      </c>
      <c r="X38" s="464">
        <f t="shared" si="39"/>
        <v>0</v>
      </c>
      <c r="Y38" s="464">
        <f t="shared" si="40"/>
        <v>0</v>
      </c>
      <c r="Z38" s="8">
        <v>0</v>
      </c>
      <c r="AA38" s="8">
        <f t="shared" si="44"/>
        <v>0</v>
      </c>
      <c r="AB38" s="8">
        <v>0</v>
      </c>
      <c r="AC38" s="167">
        <f t="shared" si="45"/>
        <v>0</v>
      </c>
      <c r="AD38" s="8">
        <v>0</v>
      </c>
      <c r="AE38" s="167">
        <f t="shared" si="46"/>
        <v>0</v>
      </c>
      <c r="AF38" s="8">
        <v>0</v>
      </c>
      <c r="AG38" s="167">
        <f t="shared" si="47"/>
        <v>0</v>
      </c>
      <c r="AH38" s="8">
        <v>0</v>
      </c>
      <c r="AI38" s="167">
        <f t="shared" si="48"/>
        <v>0</v>
      </c>
      <c r="AJ38" s="8">
        <v>0</v>
      </c>
      <c r="AK38" s="167">
        <f t="shared" si="65"/>
        <v>0</v>
      </c>
      <c r="AL38" s="8">
        <v>0</v>
      </c>
      <c r="AM38" s="167">
        <f t="shared" si="49"/>
        <v>0</v>
      </c>
      <c r="AN38" s="8">
        <v>0</v>
      </c>
      <c r="AO38" s="167">
        <f t="shared" si="66"/>
        <v>0</v>
      </c>
      <c r="AP38" s="8">
        <v>0</v>
      </c>
      <c r="AQ38" s="167">
        <f t="shared" si="50"/>
        <v>0</v>
      </c>
      <c r="AR38" s="8">
        <v>0</v>
      </c>
      <c r="AS38" s="167">
        <f t="shared" si="51"/>
        <v>0</v>
      </c>
      <c r="AT38" s="8">
        <v>0</v>
      </c>
      <c r="AU38" s="167">
        <f t="shared" si="67"/>
        <v>0</v>
      </c>
      <c r="AV38" s="8">
        <v>0</v>
      </c>
      <c r="AW38" s="167">
        <f t="shared" si="68"/>
        <v>0</v>
      </c>
      <c r="AX38" s="8">
        <v>0</v>
      </c>
      <c r="AY38" s="167">
        <f t="shared" si="69"/>
        <v>0</v>
      </c>
      <c r="AZ38" s="8">
        <v>0</v>
      </c>
      <c r="BA38" s="167">
        <f t="shared" si="70"/>
        <v>0</v>
      </c>
      <c r="BB38" s="8">
        <v>0</v>
      </c>
      <c r="BC38" s="167">
        <f t="shared" si="52"/>
        <v>0</v>
      </c>
      <c r="BD38" s="8">
        <v>0</v>
      </c>
      <c r="BE38" s="167">
        <f t="shared" si="53"/>
        <v>0</v>
      </c>
      <c r="BF38" s="8">
        <v>0</v>
      </c>
      <c r="BG38" s="167">
        <f t="shared" si="54"/>
        <v>0</v>
      </c>
      <c r="BH38" s="8"/>
      <c r="BI38" s="167">
        <f t="shared" si="55"/>
        <v>0</v>
      </c>
      <c r="BJ38" s="8">
        <f t="shared" si="56"/>
        <v>0</v>
      </c>
      <c r="BK38" s="8">
        <f t="shared" si="56"/>
        <v>0</v>
      </c>
      <c r="BL38" s="479" t="s">
        <v>212</v>
      </c>
      <c r="BN38" s="190"/>
      <c r="BO38" s="190"/>
      <c r="BP38" s="206"/>
      <c r="BQ38" s="190"/>
      <c r="BR38" s="190">
        <f t="shared" si="42"/>
        <v>0</v>
      </c>
      <c r="BS38" s="190">
        <f t="shared" si="71"/>
        <v>0</v>
      </c>
      <c r="BT38" s="190"/>
      <c r="BU38" s="444">
        <f t="shared" si="43"/>
        <v>0</v>
      </c>
      <c r="BV38" s="167">
        <f t="shared" si="3"/>
        <v>0</v>
      </c>
    </row>
    <row r="39" spans="1:74" s="180" customFormat="1" x14ac:dyDescent="0.25">
      <c r="A39" s="883"/>
      <c r="B39" s="586" t="s">
        <v>1142</v>
      </c>
      <c r="C39" s="192" t="s">
        <v>326</v>
      </c>
      <c r="D39" s="169" t="s">
        <v>336</v>
      </c>
      <c r="E39" s="193">
        <v>35000</v>
      </c>
      <c r="F39" s="486">
        <f t="shared" si="57"/>
        <v>204</v>
      </c>
      <c r="G39" s="7">
        <f t="shared" si="58"/>
        <v>7140000</v>
      </c>
      <c r="H39" s="7">
        <f t="shared" si="59"/>
        <v>3570000</v>
      </c>
      <c r="I39" s="7">
        <f t="shared" si="60"/>
        <v>3570000</v>
      </c>
      <c r="J39" s="7"/>
      <c r="K39" s="7"/>
      <c r="L39" s="7"/>
      <c r="M39" s="7"/>
      <c r="N39" s="7"/>
      <c r="O39" s="7"/>
      <c r="P39" s="7"/>
      <c r="Q39" s="7"/>
      <c r="R39" s="8">
        <f t="shared" si="61"/>
        <v>51</v>
      </c>
      <c r="S39" s="8">
        <f t="shared" si="62"/>
        <v>51</v>
      </c>
      <c r="T39" s="8">
        <f t="shared" si="63"/>
        <v>51</v>
      </c>
      <c r="U39" s="8">
        <f t="shared" si="64"/>
        <v>51</v>
      </c>
      <c r="V39" s="464">
        <f t="shared" si="37"/>
        <v>1785000</v>
      </c>
      <c r="W39" s="464">
        <f t="shared" si="38"/>
        <v>1785000</v>
      </c>
      <c r="X39" s="464">
        <f t="shared" si="39"/>
        <v>1785000</v>
      </c>
      <c r="Y39" s="464">
        <f t="shared" si="40"/>
        <v>1785000</v>
      </c>
      <c r="Z39" s="8">
        <v>12</v>
      </c>
      <c r="AA39" s="8">
        <f t="shared" si="44"/>
        <v>420000</v>
      </c>
      <c r="AB39" s="8">
        <v>12</v>
      </c>
      <c r="AC39" s="167">
        <f t="shared" si="45"/>
        <v>420000</v>
      </c>
      <c r="AD39" s="8">
        <v>12</v>
      </c>
      <c r="AE39" s="167">
        <f t="shared" si="46"/>
        <v>420000</v>
      </c>
      <c r="AF39" s="8">
        <v>12</v>
      </c>
      <c r="AG39" s="167">
        <f t="shared" si="47"/>
        <v>420000</v>
      </c>
      <c r="AH39" s="8">
        <v>12</v>
      </c>
      <c r="AI39" s="167">
        <f t="shared" si="48"/>
        <v>420000</v>
      </c>
      <c r="AJ39" s="8">
        <v>12</v>
      </c>
      <c r="AK39" s="167">
        <f t="shared" si="65"/>
        <v>420000</v>
      </c>
      <c r="AL39" s="8">
        <v>12</v>
      </c>
      <c r="AM39" s="167">
        <f t="shared" si="49"/>
        <v>420000</v>
      </c>
      <c r="AN39" s="8">
        <v>12</v>
      </c>
      <c r="AO39" s="167">
        <f t="shared" si="66"/>
        <v>420000</v>
      </c>
      <c r="AP39" s="8">
        <v>12</v>
      </c>
      <c r="AQ39" s="167">
        <f t="shared" si="50"/>
        <v>420000</v>
      </c>
      <c r="AR39" s="8">
        <v>12</v>
      </c>
      <c r="AS39" s="167">
        <f t="shared" si="51"/>
        <v>420000</v>
      </c>
      <c r="AT39" s="8">
        <v>12</v>
      </c>
      <c r="AU39" s="167">
        <f t="shared" si="67"/>
        <v>420000</v>
      </c>
      <c r="AV39" s="8">
        <v>12</v>
      </c>
      <c r="AW39" s="167">
        <f t="shared" si="68"/>
        <v>420000</v>
      </c>
      <c r="AX39" s="8">
        <v>12</v>
      </c>
      <c r="AY39" s="167">
        <f t="shared" si="69"/>
        <v>420000</v>
      </c>
      <c r="AZ39" s="8">
        <v>12</v>
      </c>
      <c r="BA39" s="167">
        <f t="shared" si="70"/>
        <v>420000</v>
      </c>
      <c r="BB39" s="8">
        <v>12</v>
      </c>
      <c r="BC39" s="167">
        <f t="shared" si="52"/>
        <v>420000</v>
      </c>
      <c r="BD39" s="8">
        <v>12</v>
      </c>
      <c r="BE39" s="167">
        <f t="shared" si="53"/>
        <v>420000</v>
      </c>
      <c r="BF39" s="8">
        <v>12</v>
      </c>
      <c r="BG39" s="167">
        <f t="shared" si="54"/>
        <v>420000</v>
      </c>
      <c r="BH39" s="8"/>
      <c r="BI39" s="167">
        <f t="shared" si="55"/>
        <v>0</v>
      </c>
      <c r="BJ39" s="8">
        <f t="shared" si="56"/>
        <v>204</v>
      </c>
      <c r="BK39" s="8">
        <f t="shared" si="56"/>
        <v>7140000</v>
      </c>
      <c r="BL39" s="479" t="s">
        <v>212</v>
      </c>
      <c r="BN39" s="206"/>
      <c r="BO39" s="206"/>
      <c r="BP39" s="206"/>
      <c r="BQ39" s="206"/>
      <c r="BR39" s="190">
        <f t="shared" si="42"/>
        <v>0</v>
      </c>
      <c r="BS39" s="190">
        <f t="shared" si="71"/>
        <v>7140000</v>
      </c>
      <c r="BT39" s="206"/>
      <c r="BU39" s="444">
        <f t="shared" si="43"/>
        <v>7140000</v>
      </c>
      <c r="BV39" s="167">
        <f t="shared" si="3"/>
        <v>7140000</v>
      </c>
    </row>
    <row r="40" spans="1:74" x14ac:dyDescent="0.25">
      <c r="A40" s="883"/>
      <c r="B40" s="586" t="s">
        <v>1143</v>
      </c>
      <c r="C40" s="192" t="s">
        <v>327</v>
      </c>
      <c r="D40" s="169" t="s">
        <v>336</v>
      </c>
      <c r="E40" s="193">
        <v>10000</v>
      </c>
      <c r="F40" s="486">
        <f t="shared" si="57"/>
        <v>0</v>
      </c>
      <c r="G40" s="7">
        <f t="shared" si="58"/>
        <v>0</v>
      </c>
      <c r="H40" s="7">
        <f t="shared" si="59"/>
        <v>0</v>
      </c>
      <c r="I40" s="7">
        <f t="shared" si="60"/>
        <v>0</v>
      </c>
      <c r="J40" s="7"/>
      <c r="K40" s="7"/>
      <c r="L40" s="7"/>
      <c r="M40" s="7"/>
      <c r="N40" s="7"/>
      <c r="O40" s="7"/>
      <c r="P40" s="7"/>
      <c r="Q40" s="7"/>
      <c r="R40" s="8">
        <f t="shared" si="61"/>
        <v>0</v>
      </c>
      <c r="S40" s="8">
        <f t="shared" si="62"/>
        <v>0</v>
      </c>
      <c r="T40" s="8">
        <f t="shared" si="63"/>
        <v>0</v>
      </c>
      <c r="U40" s="8">
        <f t="shared" si="64"/>
        <v>0</v>
      </c>
      <c r="V40" s="464">
        <f t="shared" si="37"/>
        <v>0</v>
      </c>
      <c r="W40" s="464">
        <f t="shared" si="38"/>
        <v>0</v>
      </c>
      <c r="X40" s="464">
        <f t="shared" si="39"/>
        <v>0</v>
      </c>
      <c r="Y40" s="464">
        <f t="shared" si="40"/>
        <v>0</v>
      </c>
      <c r="Z40" s="8">
        <v>0</v>
      </c>
      <c r="AA40" s="8">
        <f t="shared" si="44"/>
        <v>0</v>
      </c>
      <c r="AB40" s="8">
        <v>0</v>
      </c>
      <c r="AC40" s="167">
        <f t="shared" si="45"/>
        <v>0</v>
      </c>
      <c r="AD40" s="8">
        <v>0</v>
      </c>
      <c r="AE40" s="167">
        <f t="shared" si="46"/>
        <v>0</v>
      </c>
      <c r="AF40" s="8">
        <v>0</v>
      </c>
      <c r="AG40" s="167">
        <f t="shared" si="47"/>
        <v>0</v>
      </c>
      <c r="AH40" s="8">
        <v>0</v>
      </c>
      <c r="AI40" s="167">
        <f t="shared" si="48"/>
        <v>0</v>
      </c>
      <c r="AJ40" s="8">
        <v>0</v>
      </c>
      <c r="AK40" s="167">
        <f t="shared" si="65"/>
        <v>0</v>
      </c>
      <c r="AL40" s="8">
        <v>0</v>
      </c>
      <c r="AM40" s="167">
        <f t="shared" si="49"/>
        <v>0</v>
      </c>
      <c r="AN40" s="8">
        <v>0</v>
      </c>
      <c r="AO40" s="167">
        <f t="shared" si="66"/>
        <v>0</v>
      </c>
      <c r="AP40" s="8">
        <v>0</v>
      </c>
      <c r="AQ40" s="167">
        <f t="shared" si="50"/>
        <v>0</v>
      </c>
      <c r="AR40" s="8">
        <v>0</v>
      </c>
      <c r="AS40" s="167">
        <f t="shared" si="51"/>
        <v>0</v>
      </c>
      <c r="AT40" s="8">
        <v>0</v>
      </c>
      <c r="AU40" s="167">
        <f t="shared" si="67"/>
        <v>0</v>
      </c>
      <c r="AV40" s="8">
        <v>0</v>
      </c>
      <c r="AW40" s="167">
        <f t="shared" si="68"/>
        <v>0</v>
      </c>
      <c r="AX40" s="8">
        <v>0</v>
      </c>
      <c r="AY40" s="167">
        <f t="shared" si="69"/>
        <v>0</v>
      </c>
      <c r="AZ40" s="8">
        <v>0</v>
      </c>
      <c r="BA40" s="167">
        <f t="shared" si="70"/>
        <v>0</v>
      </c>
      <c r="BB40" s="8">
        <v>0</v>
      </c>
      <c r="BC40" s="167">
        <f t="shared" si="52"/>
        <v>0</v>
      </c>
      <c r="BD40" s="8">
        <v>0</v>
      </c>
      <c r="BE40" s="167">
        <f t="shared" si="53"/>
        <v>0</v>
      </c>
      <c r="BF40" s="8">
        <v>0</v>
      </c>
      <c r="BG40" s="167">
        <f t="shared" si="54"/>
        <v>0</v>
      </c>
      <c r="BH40" s="8"/>
      <c r="BI40" s="167">
        <f t="shared" si="55"/>
        <v>0</v>
      </c>
      <c r="BJ40" s="8">
        <f t="shared" si="56"/>
        <v>0</v>
      </c>
      <c r="BK40" s="8">
        <f t="shared" si="56"/>
        <v>0</v>
      </c>
      <c r="BL40" s="479" t="s">
        <v>212</v>
      </c>
      <c r="BN40" s="190"/>
      <c r="BO40" s="190"/>
      <c r="BP40" s="206"/>
      <c r="BQ40" s="190"/>
      <c r="BR40" s="190">
        <f t="shared" si="42"/>
        <v>0</v>
      </c>
      <c r="BS40" s="190">
        <f t="shared" si="71"/>
        <v>0</v>
      </c>
      <c r="BT40" s="190"/>
      <c r="BU40" s="444">
        <f t="shared" si="43"/>
        <v>0</v>
      </c>
      <c r="BV40" s="167">
        <f t="shared" si="3"/>
        <v>0</v>
      </c>
    </row>
    <row r="41" spans="1:74" x14ac:dyDescent="0.25">
      <c r="A41" s="883"/>
      <c r="B41" s="586" t="s">
        <v>1144</v>
      </c>
      <c r="C41" s="192" t="s">
        <v>328</v>
      </c>
      <c r="D41" s="169" t="s">
        <v>336</v>
      </c>
      <c r="E41" s="193">
        <v>8000</v>
      </c>
      <c r="F41" s="486">
        <f t="shared" si="57"/>
        <v>204</v>
      </c>
      <c r="G41" s="7">
        <f t="shared" si="58"/>
        <v>1632000</v>
      </c>
      <c r="H41" s="7">
        <f t="shared" si="59"/>
        <v>816000</v>
      </c>
      <c r="I41" s="7">
        <f t="shared" si="60"/>
        <v>816000</v>
      </c>
      <c r="J41" s="7"/>
      <c r="K41" s="7"/>
      <c r="L41" s="7"/>
      <c r="M41" s="7"/>
      <c r="N41" s="7"/>
      <c r="O41" s="7"/>
      <c r="P41" s="7"/>
      <c r="Q41" s="7"/>
      <c r="R41" s="8">
        <f t="shared" si="61"/>
        <v>51</v>
      </c>
      <c r="S41" s="8">
        <f t="shared" si="62"/>
        <v>51</v>
      </c>
      <c r="T41" s="8">
        <f t="shared" si="63"/>
        <v>51</v>
      </c>
      <c r="U41" s="8">
        <f t="shared" si="64"/>
        <v>51</v>
      </c>
      <c r="V41" s="464">
        <f t="shared" si="37"/>
        <v>408000</v>
      </c>
      <c r="W41" s="464">
        <f t="shared" si="38"/>
        <v>408000</v>
      </c>
      <c r="X41" s="464">
        <f t="shared" si="39"/>
        <v>408000</v>
      </c>
      <c r="Y41" s="464">
        <f t="shared" si="40"/>
        <v>408000</v>
      </c>
      <c r="Z41" s="8">
        <v>12</v>
      </c>
      <c r="AA41" s="8">
        <f t="shared" si="44"/>
        <v>96000</v>
      </c>
      <c r="AB41" s="8">
        <v>12</v>
      </c>
      <c r="AC41" s="167">
        <f t="shared" si="45"/>
        <v>96000</v>
      </c>
      <c r="AD41" s="8">
        <v>12</v>
      </c>
      <c r="AE41" s="167">
        <f t="shared" si="46"/>
        <v>96000</v>
      </c>
      <c r="AF41" s="8">
        <v>12</v>
      </c>
      <c r="AG41" s="167">
        <f t="shared" si="47"/>
        <v>96000</v>
      </c>
      <c r="AH41" s="8">
        <v>12</v>
      </c>
      <c r="AI41" s="167">
        <f t="shared" si="48"/>
        <v>96000</v>
      </c>
      <c r="AJ41" s="8">
        <v>12</v>
      </c>
      <c r="AK41" s="167">
        <f t="shared" si="65"/>
        <v>96000</v>
      </c>
      <c r="AL41" s="8">
        <v>12</v>
      </c>
      <c r="AM41" s="167">
        <f t="shared" si="49"/>
        <v>96000</v>
      </c>
      <c r="AN41" s="8">
        <v>12</v>
      </c>
      <c r="AO41" s="167">
        <f t="shared" si="66"/>
        <v>96000</v>
      </c>
      <c r="AP41" s="8">
        <v>12</v>
      </c>
      <c r="AQ41" s="167">
        <f t="shared" si="50"/>
        <v>96000</v>
      </c>
      <c r="AR41" s="8">
        <v>12</v>
      </c>
      <c r="AS41" s="167">
        <f t="shared" si="51"/>
        <v>96000</v>
      </c>
      <c r="AT41" s="8">
        <v>12</v>
      </c>
      <c r="AU41" s="167">
        <f t="shared" si="67"/>
        <v>96000</v>
      </c>
      <c r="AV41" s="8">
        <v>12</v>
      </c>
      <c r="AW41" s="167">
        <f t="shared" si="68"/>
        <v>96000</v>
      </c>
      <c r="AX41" s="8">
        <v>12</v>
      </c>
      <c r="AY41" s="167">
        <f t="shared" si="69"/>
        <v>96000</v>
      </c>
      <c r="AZ41" s="8">
        <v>12</v>
      </c>
      <c r="BA41" s="167">
        <f t="shared" si="70"/>
        <v>96000</v>
      </c>
      <c r="BB41" s="8">
        <v>12</v>
      </c>
      <c r="BC41" s="167">
        <f t="shared" si="52"/>
        <v>96000</v>
      </c>
      <c r="BD41" s="8">
        <v>12</v>
      </c>
      <c r="BE41" s="167">
        <f t="shared" si="53"/>
        <v>96000</v>
      </c>
      <c r="BF41" s="8">
        <v>12</v>
      </c>
      <c r="BG41" s="167">
        <f t="shared" si="54"/>
        <v>96000</v>
      </c>
      <c r="BH41" s="8"/>
      <c r="BI41" s="167">
        <f t="shared" si="55"/>
        <v>0</v>
      </c>
      <c r="BJ41" s="8">
        <f t="shared" si="56"/>
        <v>204</v>
      </c>
      <c r="BK41" s="8">
        <f t="shared" si="56"/>
        <v>1632000</v>
      </c>
      <c r="BL41" s="479" t="s">
        <v>212</v>
      </c>
      <c r="BN41" s="190"/>
      <c r="BO41" s="190"/>
      <c r="BP41" s="206"/>
      <c r="BQ41" s="190"/>
      <c r="BR41" s="190">
        <f t="shared" si="42"/>
        <v>0</v>
      </c>
      <c r="BS41" s="190">
        <f t="shared" si="71"/>
        <v>1632000</v>
      </c>
      <c r="BT41" s="190"/>
      <c r="BU41" s="444">
        <f t="shared" si="43"/>
        <v>1632000</v>
      </c>
      <c r="BV41" s="167">
        <f t="shared" si="3"/>
        <v>1632000</v>
      </c>
    </row>
    <row r="42" spans="1:74" x14ac:dyDescent="0.25">
      <c r="A42" s="883"/>
      <c r="B42" s="586" t="s">
        <v>1145</v>
      </c>
      <c r="C42" s="192" t="s">
        <v>123</v>
      </c>
      <c r="D42" s="169" t="s">
        <v>336</v>
      </c>
      <c r="E42" s="193">
        <v>6500</v>
      </c>
      <c r="F42" s="486">
        <f t="shared" si="57"/>
        <v>204</v>
      </c>
      <c r="G42" s="7">
        <f t="shared" si="58"/>
        <v>1326000</v>
      </c>
      <c r="H42" s="7">
        <f t="shared" si="59"/>
        <v>663000</v>
      </c>
      <c r="I42" s="7">
        <f t="shared" si="60"/>
        <v>663000</v>
      </c>
      <c r="J42" s="7"/>
      <c r="K42" s="7"/>
      <c r="L42" s="7"/>
      <c r="M42" s="7"/>
      <c r="N42" s="7"/>
      <c r="O42" s="7"/>
      <c r="P42" s="7"/>
      <c r="Q42" s="7"/>
      <c r="R42" s="8">
        <f t="shared" si="61"/>
        <v>51</v>
      </c>
      <c r="S42" s="8">
        <f t="shared" si="62"/>
        <v>51</v>
      </c>
      <c r="T42" s="8">
        <f t="shared" si="63"/>
        <v>51</v>
      </c>
      <c r="U42" s="8">
        <f t="shared" si="64"/>
        <v>51</v>
      </c>
      <c r="V42" s="464">
        <f t="shared" si="37"/>
        <v>331500</v>
      </c>
      <c r="W42" s="464">
        <f t="shared" si="38"/>
        <v>331500</v>
      </c>
      <c r="X42" s="464">
        <f t="shared" si="39"/>
        <v>331500</v>
      </c>
      <c r="Y42" s="464">
        <f t="shared" si="40"/>
        <v>331500</v>
      </c>
      <c r="Z42" s="8">
        <v>12</v>
      </c>
      <c r="AA42" s="8">
        <f t="shared" si="44"/>
        <v>78000</v>
      </c>
      <c r="AB42" s="8">
        <v>12</v>
      </c>
      <c r="AC42" s="167">
        <f t="shared" si="45"/>
        <v>78000</v>
      </c>
      <c r="AD42" s="8">
        <v>12</v>
      </c>
      <c r="AE42" s="167">
        <f t="shared" si="46"/>
        <v>78000</v>
      </c>
      <c r="AF42" s="8">
        <v>12</v>
      </c>
      <c r="AG42" s="167">
        <f t="shared" si="47"/>
        <v>78000</v>
      </c>
      <c r="AH42" s="8">
        <v>12</v>
      </c>
      <c r="AI42" s="167">
        <f t="shared" si="48"/>
        <v>78000</v>
      </c>
      <c r="AJ42" s="8">
        <v>12</v>
      </c>
      <c r="AK42" s="167">
        <f t="shared" si="65"/>
        <v>78000</v>
      </c>
      <c r="AL42" s="8">
        <v>12</v>
      </c>
      <c r="AM42" s="167">
        <f t="shared" si="49"/>
        <v>78000</v>
      </c>
      <c r="AN42" s="8">
        <v>12</v>
      </c>
      <c r="AO42" s="167">
        <f t="shared" si="66"/>
        <v>78000</v>
      </c>
      <c r="AP42" s="8">
        <v>12</v>
      </c>
      <c r="AQ42" s="167">
        <f t="shared" si="50"/>
        <v>78000</v>
      </c>
      <c r="AR42" s="8">
        <v>12</v>
      </c>
      <c r="AS42" s="167">
        <f t="shared" si="51"/>
        <v>78000</v>
      </c>
      <c r="AT42" s="8">
        <v>12</v>
      </c>
      <c r="AU42" s="167">
        <f t="shared" si="67"/>
        <v>78000</v>
      </c>
      <c r="AV42" s="8">
        <v>12</v>
      </c>
      <c r="AW42" s="167">
        <f t="shared" si="68"/>
        <v>78000</v>
      </c>
      <c r="AX42" s="8">
        <v>12</v>
      </c>
      <c r="AY42" s="167">
        <f t="shared" si="69"/>
        <v>78000</v>
      </c>
      <c r="AZ42" s="8">
        <v>12</v>
      </c>
      <c r="BA42" s="167">
        <f t="shared" si="70"/>
        <v>78000</v>
      </c>
      <c r="BB42" s="8">
        <v>12</v>
      </c>
      <c r="BC42" s="167">
        <f t="shared" si="52"/>
        <v>78000</v>
      </c>
      <c r="BD42" s="8">
        <v>12</v>
      </c>
      <c r="BE42" s="167">
        <f t="shared" si="53"/>
        <v>78000</v>
      </c>
      <c r="BF42" s="8">
        <v>12</v>
      </c>
      <c r="BG42" s="167">
        <f t="shared" si="54"/>
        <v>78000</v>
      </c>
      <c r="BH42" s="8"/>
      <c r="BI42" s="167">
        <f t="shared" si="55"/>
        <v>0</v>
      </c>
      <c r="BJ42" s="8">
        <f t="shared" si="56"/>
        <v>204</v>
      </c>
      <c r="BK42" s="8">
        <f t="shared" si="56"/>
        <v>1326000</v>
      </c>
      <c r="BL42" s="479" t="s">
        <v>212</v>
      </c>
      <c r="BN42" s="190"/>
      <c r="BO42" s="190"/>
      <c r="BP42" s="206"/>
      <c r="BQ42" s="190"/>
      <c r="BR42" s="190">
        <f t="shared" si="42"/>
        <v>0</v>
      </c>
      <c r="BS42" s="190">
        <f t="shared" si="71"/>
        <v>1326000</v>
      </c>
      <c r="BT42" s="190"/>
      <c r="BU42" s="444">
        <f t="shared" si="43"/>
        <v>1326000</v>
      </c>
      <c r="BV42" s="167">
        <f t="shared" si="3"/>
        <v>1326000</v>
      </c>
    </row>
    <row r="43" spans="1:74" x14ac:dyDescent="0.25">
      <c r="A43" s="883"/>
      <c r="B43" s="586" t="s">
        <v>1146</v>
      </c>
      <c r="C43" s="192" t="s">
        <v>124</v>
      </c>
      <c r="D43" s="169" t="s">
        <v>336</v>
      </c>
      <c r="E43" s="193">
        <v>3000</v>
      </c>
      <c r="F43" s="486">
        <f t="shared" si="57"/>
        <v>204</v>
      </c>
      <c r="G43" s="7">
        <f t="shared" si="58"/>
        <v>612000</v>
      </c>
      <c r="H43" s="7">
        <f t="shared" si="59"/>
        <v>306000</v>
      </c>
      <c r="I43" s="7">
        <f t="shared" si="60"/>
        <v>306000</v>
      </c>
      <c r="J43" s="7"/>
      <c r="K43" s="7"/>
      <c r="L43" s="7"/>
      <c r="M43" s="7"/>
      <c r="N43" s="7"/>
      <c r="O43" s="7"/>
      <c r="P43" s="7"/>
      <c r="Q43" s="7"/>
      <c r="R43" s="8">
        <f t="shared" si="61"/>
        <v>51</v>
      </c>
      <c r="S43" s="8">
        <f t="shared" si="62"/>
        <v>51</v>
      </c>
      <c r="T43" s="8">
        <f t="shared" si="63"/>
        <v>51</v>
      </c>
      <c r="U43" s="8">
        <f t="shared" si="64"/>
        <v>51</v>
      </c>
      <c r="V43" s="464">
        <f t="shared" si="37"/>
        <v>153000</v>
      </c>
      <c r="W43" s="464">
        <f t="shared" si="38"/>
        <v>153000</v>
      </c>
      <c r="X43" s="464">
        <f t="shared" si="39"/>
        <v>153000</v>
      </c>
      <c r="Y43" s="464">
        <f t="shared" si="40"/>
        <v>153000</v>
      </c>
      <c r="Z43" s="8">
        <v>12</v>
      </c>
      <c r="AA43" s="8">
        <f t="shared" si="44"/>
        <v>36000</v>
      </c>
      <c r="AB43" s="8">
        <v>12</v>
      </c>
      <c r="AC43" s="167">
        <f t="shared" si="45"/>
        <v>36000</v>
      </c>
      <c r="AD43" s="8">
        <v>12</v>
      </c>
      <c r="AE43" s="167">
        <f t="shared" si="46"/>
        <v>36000</v>
      </c>
      <c r="AF43" s="8">
        <v>12</v>
      </c>
      <c r="AG43" s="167">
        <f t="shared" si="47"/>
        <v>36000</v>
      </c>
      <c r="AH43" s="8">
        <v>12</v>
      </c>
      <c r="AI43" s="167">
        <f t="shared" si="48"/>
        <v>36000</v>
      </c>
      <c r="AJ43" s="8">
        <v>12</v>
      </c>
      <c r="AK43" s="167">
        <f t="shared" si="65"/>
        <v>36000</v>
      </c>
      <c r="AL43" s="8">
        <v>12</v>
      </c>
      <c r="AM43" s="167">
        <f t="shared" si="49"/>
        <v>36000</v>
      </c>
      <c r="AN43" s="8">
        <v>12</v>
      </c>
      <c r="AO43" s="167">
        <f t="shared" si="66"/>
        <v>36000</v>
      </c>
      <c r="AP43" s="8">
        <v>12</v>
      </c>
      <c r="AQ43" s="167">
        <f t="shared" si="50"/>
        <v>36000</v>
      </c>
      <c r="AR43" s="8">
        <v>12</v>
      </c>
      <c r="AS43" s="167">
        <f t="shared" si="51"/>
        <v>36000</v>
      </c>
      <c r="AT43" s="8">
        <v>12</v>
      </c>
      <c r="AU43" s="167">
        <f t="shared" si="67"/>
        <v>36000</v>
      </c>
      <c r="AV43" s="8">
        <v>12</v>
      </c>
      <c r="AW43" s="167">
        <f t="shared" si="68"/>
        <v>36000</v>
      </c>
      <c r="AX43" s="8">
        <v>12</v>
      </c>
      <c r="AY43" s="167">
        <f t="shared" si="69"/>
        <v>36000</v>
      </c>
      <c r="AZ43" s="8">
        <v>12</v>
      </c>
      <c r="BA43" s="167">
        <f t="shared" si="70"/>
        <v>36000</v>
      </c>
      <c r="BB43" s="8">
        <v>12</v>
      </c>
      <c r="BC43" s="167">
        <f t="shared" si="52"/>
        <v>36000</v>
      </c>
      <c r="BD43" s="8">
        <v>12</v>
      </c>
      <c r="BE43" s="167">
        <f t="shared" si="53"/>
        <v>36000</v>
      </c>
      <c r="BF43" s="8">
        <v>12</v>
      </c>
      <c r="BG43" s="167">
        <f t="shared" si="54"/>
        <v>36000</v>
      </c>
      <c r="BH43" s="8"/>
      <c r="BI43" s="167">
        <f t="shared" si="55"/>
        <v>0</v>
      </c>
      <c r="BJ43" s="8">
        <f t="shared" si="56"/>
        <v>204</v>
      </c>
      <c r="BK43" s="8">
        <f t="shared" si="56"/>
        <v>612000</v>
      </c>
      <c r="BL43" s="479" t="s">
        <v>212</v>
      </c>
      <c r="BN43" s="190"/>
      <c r="BO43" s="190"/>
      <c r="BP43" s="206"/>
      <c r="BQ43" s="190"/>
      <c r="BR43" s="190">
        <f t="shared" si="42"/>
        <v>0</v>
      </c>
      <c r="BS43" s="190">
        <f t="shared" si="71"/>
        <v>612000</v>
      </c>
      <c r="BT43" s="190"/>
      <c r="BU43" s="444">
        <f t="shared" si="43"/>
        <v>612000</v>
      </c>
      <c r="BV43" s="167">
        <f t="shared" si="3"/>
        <v>612000</v>
      </c>
    </row>
    <row r="44" spans="1:74" x14ac:dyDescent="0.25">
      <c r="A44" s="883"/>
      <c r="B44" s="586" t="s">
        <v>1147</v>
      </c>
      <c r="C44" s="192" t="s">
        <v>125</v>
      </c>
      <c r="D44" s="169" t="s">
        <v>336</v>
      </c>
      <c r="E44" s="193">
        <f>750*3</f>
        <v>2250</v>
      </c>
      <c r="F44" s="486">
        <f t="shared" si="57"/>
        <v>204</v>
      </c>
      <c r="G44" s="7">
        <f t="shared" si="58"/>
        <v>459000</v>
      </c>
      <c r="H44" s="7">
        <f t="shared" si="59"/>
        <v>229500</v>
      </c>
      <c r="I44" s="7">
        <f t="shared" si="60"/>
        <v>229500</v>
      </c>
      <c r="J44" s="7"/>
      <c r="K44" s="7"/>
      <c r="L44" s="7"/>
      <c r="M44" s="7"/>
      <c r="N44" s="7"/>
      <c r="O44" s="7"/>
      <c r="P44" s="7"/>
      <c r="Q44" s="7"/>
      <c r="R44" s="8">
        <f t="shared" si="61"/>
        <v>51</v>
      </c>
      <c r="S44" s="8">
        <f t="shared" si="62"/>
        <v>51</v>
      </c>
      <c r="T44" s="8">
        <f t="shared" si="63"/>
        <v>51</v>
      </c>
      <c r="U44" s="8">
        <f t="shared" si="64"/>
        <v>51</v>
      </c>
      <c r="V44" s="464">
        <f t="shared" si="37"/>
        <v>114750</v>
      </c>
      <c r="W44" s="464">
        <f t="shared" si="38"/>
        <v>114750</v>
      </c>
      <c r="X44" s="464">
        <f t="shared" si="39"/>
        <v>114750</v>
      </c>
      <c r="Y44" s="464">
        <f t="shared" si="40"/>
        <v>114750</v>
      </c>
      <c r="Z44" s="8">
        <v>12</v>
      </c>
      <c r="AA44" s="8">
        <f t="shared" si="44"/>
        <v>27000</v>
      </c>
      <c r="AB44" s="8">
        <v>12</v>
      </c>
      <c r="AC44" s="167">
        <f t="shared" si="45"/>
        <v>27000</v>
      </c>
      <c r="AD44" s="8">
        <v>12</v>
      </c>
      <c r="AE44" s="167">
        <f t="shared" si="46"/>
        <v>27000</v>
      </c>
      <c r="AF44" s="8">
        <v>12</v>
      </c>
      <c r="AG44" s="167">
        <f t="shared" si="47"/>
        <v>27000</v>
      </c>
      <c r="AH44" s="8">
        <v>12</v>
      </c>
      <c r="AI44" s="167">
        <f t="shared" si="48"/>
        <v>27000</v>
      </c>
      <c r="AJ44" s="8">
        <v>12</v>
      </c>
      <c r="AK44" s="167">
        <f t="shared" si="65"/>
        <v>27000</v>
      </c>
      <c r="AL44" s="8">
        <v>12</v>
      </c>
      <c r="AM44" s="167">
        <f t="shared" si="49"/>
        <v>27000</v>
      </c>
      <c r="AN44" s="8">
        <v>12</v>
      </c>
      <c r="AO44" s="167">
        <f t="shared" si="66"/>
        <v>27000</v>
      </c>
      <c r="AP44" s="8">
        <v>12</v>
      </c>
      <c r="AQ44" s="167">
        <f t="shared" si="50"/>
        <v>27000</v>
      </c>
      <c r="AR44" s="8">
        <v>12</v>
      </c>
      <c r="AS44" s="167">
        <f t="shared" si="51"/>
        <v>27000</v>
      </c>
      <c r="AT44" s="8">
        <v>12</v>
      </c>
      <c r="AU44" s="167">
        <f t="shared" si="67"/>
        <v>27000</v>
      </c>
      <c r="AV44" s="8">
        <v>12</v>
      </c>
      <c r="AW44" s="167">
        <f t="shared" si="68"/>
        <v>27000</v>
      </c>
      <c r="AX44" s="8">
        <v>12</v>
      </c>
      <c r="AY44" s="167">
        <f t="shared" si="69"/>
        <v>27000</v>
      </c>
      <c r="AZ44" s="8">
        <v>12</v>
      </c>
      <c r="BA44" s="167">
        <f t="shared" si="70"/>
        <v>27000</v>
      </c>
      <c r="BB44" s="8">
        <v>12</v>
      </c>
      <c r="BC44" s="167">
        <f t="shared" si="52"/>
        <v>27000</v>
      </c>
      <c r="BD44" s="8">
        <v>12</v>
      </c>
      <c r="BE44" s="167">
        <f t="shared" si="53"/>
        <v>27000</v>
      </c>
      <c r="BF44" s="8">
        <v>12</v>
      </c>
      <c r="BG44" s="167">
        <f t="shared" si="54"/>
        <v>27000</v>
      </c>
      <c r="BH44" s="8"/>
      <c r="BI44" s="167">
        <f t="shared" si="55"/>
        <v>0</v>
      </c>
      <c r="BJ44" s="8">
        <f t="shared" si="56"/>
        <v>204</v>
      </c>
      <c r="BK44" s="8">
        <f t="shared" si="56"/>
        <v>459000</v>
      </c>
      <c r="BL44" s="479" t="s">
        <v>212</v>
      </c>
      <c r="BN44" s="190"/>
      <c r="BO44" s="190"/>
      <c r="BP44" s="206"/>
      <c r="BQ44" s="190"/>
      <c r="BR44" s="190">
        <f t="shared" si="42"/>
        <v>0</v>
      </c>
      <c r="BS44" s="190">
        <f t="shared" si="71"/>
        <v>459000</v>
      </c>
      <c r="BT44" s="190"/>
      <c r="BU44" s="444">
        <f t="shared" si="43"/>
        <v>459000</v>
      </c>
      <c r="BV44" s="167">
        <f t="shared" si="3"/>
        <v>459000</v>
      </c>
    </row>
    <row r="45" spans="1:74" x14ac:dyDescent="0.25">
      <c r="A45" s="883"/>
      <c r="B45" s="586" t="s">
        <v>1148</v>
      </c>
      <c r="C45" s="192" t="s">
        <v>126</v>
      </c>
      <c r="D45" s="169" t="s">
        <v>336</v>
      </c>
      <c r="E45" s="193" t="s">
        <v>349</v>
      </c>
      <c r="F45" s="486">
        <f t="shared" si="57"/>
        <v>0</v>
      </c>
      <c r="G45" s="7">
        <f t="shared" si="58"/>
        <v>0</v>
      </c>
      <c r="H45" s="7">
        <f t="shared" si="59"/>
        <v>0</v>
      </c>
      <c r="I45" s="7">
        <f t="shared" si="60"/>
        <v>0</v>
      </c>
      <c r="J45" s="7"/>
      <c r="K45" s="7"/>
      <c r="L45" s="7"/>
      <c r="M45" s="7"/>
      <c r="N45" s="7"/>
      <c r="O45" s="7"/>
      <c r="P45" s="7"/>
      <c r="Q45" s="7"/>
      <c r="R45" s="8">
        <f t="shared" si="61"/>
        <v>0</v>
      </c>
      <c r="S45" s="8">
        <f t="shared" si="62"/>
        <v>0</v>
      </c>
      <c r="T45" s="8">
        <f t="shared" si="63"/>
        <v>0</v>
      </c>
      <c r="U45" s="8">
        <f t="shared" si="64"/>
        <v>0</v>
      </c>
      <c r="V45" s="464">
        <f t="shared" si="37"/>
        <v>0</v>
      </c>
      <c r="W45" s="464">
        <f t="shared" si="38"/>
        <v>0</v>
      </c>
      <c r="X45" s="464">
        <f t="shared" si="39"/>
        <v>0</v>
      </c>
      <c r="Y45" s="464">
        <f t="shared" si="40"/>
        <v>0</v>
      </c>
      <c r="Z45" s="8">
        <v>0</v>
      </c>
      <c r="AA45" s="8">
        <f t="shared" si="44"/>
        <v>0</v>
      </c>
      <c r="AB45" s="8">
        <v>0</v>
      </c>
      <c r="AC45" s="167">
        <f t="shared" si="45"/>
        <v>0</v>
      </c>
      <c r="AD45" s="8">
        <v>0</v>
      </c>
      <c r="AE45" s="167">
        <f t="shared" si="46"/>
        <v>0</v>
      </c>
      <c r="AF45" s="8">
        <v>0</v>
      </c>
      <c r="AG45" s="167">
        <f t="shared" si="47"/>
        <v>0</v>
      </c>
      <c r="AH45" s="8">
        <v>0</v>
      </c>
      <c r="AI45" s="167">
        <f t="shared" si="48"/>
        <v>0</v>
      </c>
      <c r="AJ45" s="8">
        <v>0</v>
      </c>
      <c r="AK45" s="167">
        <f t="shared" si="65"/>
        <v>0</v>
      </c>
      <c r="AL45" s="8">
        <v>0</v>
      </c>
      <c r="AM45" s="167">
        <f t="shared" si="49"/>
        <v>0</v>
      </c>
      <c r="AN45" s="8">
        <v>0</v>
      </c>
      <c r="AO45" s="167">
        <f t="shared" si="66"/>
        <v>0</v>
      </c>
      <c r="AP45" s="8">
        <v>0</v>
      </c>
      <c r="AQ45" s="167">
        <f t="shared" si="50"/>
        <v>0</v>
      </c>
      <c r="AR45" s="8">
        <v>0</v>
      </c>
      <c r="AS45" s="167">
        <f t="shared" si="51"/>
        <v>0</v>
      </c>
      <c r="AT45" s="8">
        <v>0</v>
      </c>
      <c r="AU45" s="167">
        <f t="shared" si="67"/>
        <v>0</v>
      </c>
      <c r="AV45" s="8">
        <v>0</v>
      </c>
      <c r="AW45" s="167">
        <f t="shared" si="68"/>
        <v>0</v>
      </c>
      <c r="AX45" s="8">
        <v>0</v>
      </c>
      <c r="AY45" s="167">
        <f t="shared" si="69"/>
        <v>0</v>
      </c>
      <c r="AZ45" s="8">
        <v>0</v>
      </c>
      <c r="BA45" s="167">
        <f t="shared" si="70"/>
        <v>0</v>
      </c>
      <c r="BB45" s="8">
        <v>0</v>
      </c>
      <c r="BC45" s="167">
        <f t="shared" si="52"/>
        <v>0</v>
      </c>
      <c r="BD45" s="8">
        <v>0</v>
      </c>
      <c r="BE45" s="167">
        <f t="shared" si="53"/>
        <v>0</v>
      </c>
      <c r="BF45" s="8">
        <v>0</v>
      </c>
      <c r="BG45" s="167">
        <f t="shared" si="54"/>
        <v>0</v>
      </c>
      <c r="BH45" s="8"/>
      <c r="BI45" s="167">
        <f t="shared" si="55"/>
        <v>0</v>
      </c>
      <c r="BJ45" s="8">
        <f t="shared" si="56"/>
        <v>0</v>
      </c>
      <c r="BK45" s="8">
        <f t="shared" si="56"/>
        <v>0</v>
      </c>
      <c r="BL45" s="479" t="s">
        <v>212</v>
      </c>
      <c r="BN45" s="190"/>
      <c r="BO45" s="190"/>
      <c r="BP45" s="206"/>
      <c r="BQ45" s="190"/>
      <c r="BR45" s="190">
        <f t="shared" si="42"/>
        <v>0</v>
      </c>
      <c r="BS45" s="190">
        <f t="shared" si="71"/>
        <v>0</v>
      </c>
      <c r="BT45" s="190"/>
      <c r="BU45" s="444">
        <f t="shared" si="43"/>
        <v>0</v>
      </c>
      <c r="BV45" s="167">
        <f t="shared" si="3"/>
        <v>0</v>
      </c>
    </row>
    <row r="46" spans="1:74" ht="63" x14ac:dyDescent="0.25">
      <c r="A46" s="883"/>
      <c r="B46" s="586" t="s">
        <v>1149</v>
      </c>
      <c r="C46" s="199" t="s">
        <v>912</v>
      </c>
      <c r="D46" s="169" t="s">
        <v>16</v>
      </c>
      <c r="E46" s="193">
        <v>60000</v>
      </c>
      <c r="F46" s="486">
        <f t="shared" si="57"/>
        <v>204</v>
      </c>
      <c r="G46" s="7">
        <f t="shared" si="58"/>
        <v>12240000</v>
      </c>
      <c r="H46" s="7">
        <f t="shared" si="59"/>
        <v>6120000</v>
      </c>
      <c r="I46" s="7">
        <f t="shared" si="60"/>
        <v>6120000</v>
      </c>
      <c r="J46" s="7"/>
      <c r="K46" s="7"/>
      <c r="L46" s="7"/>
      <c r="M46" s="7"/>
      <c r="N46" s="7"/>
      <c r="O46" s="7"/>
      <c r="P46" s="7"/>
      <c r="Q46" s="7"/>
      <c r="R46" s="8">
        <f t="shared" si="61"/>
        <v>51</v>
      </c>
      <c r="S46" s="8">
        <f t="shared" si="62"/>
        <v>51</v>
      </c>
      <c r="T46" s="8">
        <f t="shared" si="63"/>
        <v>51</v>
      </c>
      <c r="U46" s="8">
        <f t="shared" si="64"/>
        <v>51</v>
      </c>
      <c r="V46" s="464">
        <f t="shared" si="37"/>
        <v>3060000</v>
      </c>
      <c r="W46" s="464">
        <f t="shared" si="38"/>
        <v>3060000</v>
      </c>
      <c r="X46" s="464">
        <f t="shared" si="39"/>
        <v>3060000</v>
      </c>
      <c r="Y46" s="464">
        <f t="shared" si="40"/>
        <v>3060000</v>
      </c>
      <c r="Z46" s="8">
        <v>12</v>
      </c>
      <c r="AA46" s="8">
        <f t="shared" si="44"/>
        <v>720000</v>
      </c>
      <c r="AB46" s="8">
        <v>12</v>
      </c>
      <c r="AC46" s="167">
        <f t="shared" si="45"/>
        <v>720000</v>
      </c>
      <c r="AD46" s="8">
        <v>12</v>
      </c>
      <c r="AE46" s="167">
        <f t="shared" si="46"/>
        <v>720000</v>
      </c>
      <c r="AF46" s="8">
        <v>12</v>
      </c>
      <c r="AG46" s="167">
        <f t="shared" si="47"/>
        <v>720000</v>
      </c>
      <c r="AH46" s="8">
        <v>12</v>
      </c>
      <c r="AI46" s="167">
        <f t="shared" si="48"/>
        <v>720000</v>
      </c>
      <c r="AJ46" s="8">
        <v>12</v>
      </c>
      <c r="AK46" s="167">
        <f t="shared" si="65"/>
        <v>720000</v>
      </c>
      <c r="AL46" s="8">
        <v>12</v>
      </c>
      <c r="AM46" s="167">
        <f t="shared" si="49"/>
        <v>720000</v>
      </c>
      <c r="AN46" s="8">
        <v>12</v>
      </c>
      <c r="AO46" s="167">
        <f t="shared" si="66"/>
        <v>720000</v>
      </c>
      <c r="AP46" s="8">
        <v>12</v>
      </c>
      <c r="AQ46" s="167">
        <f t="shared" si="50"/>
        <v>720000</v>
      </c>
      <c r="AR46" s="8">
        <v>12</v>
      </c>
      <c r="AS46" s="167">
        <f t="shared" si="51"/>
        <v>720000</v>
      </c>
      <c r="AT46" s="8">
        <v>12</v>
      </c>
      <c r="AU46" s="167">
        <f t="shared" si="67"/>
        <v>720000</v>
      </c>
      <c r="AV46" s="8">
        <v>12</v>
      </c>
      <c r="AW46" s="167">
        <f t="shared" si="68"/>
        <v>720000</v>
      </c>
      <c r="AX46" s="8">
        <v>12</v>
      </c>
      <c r="AY46" s="167">
        <f t="shared" si="69"/>
        <v>720000</v>
      </c>
      <c r="AZ46" s="8">
        <v>12</v>
      </c>
      <c r="BA46" s="167">
        <f t="shared" si="70"/>
        <v>720000</v>
      </c>
      <c r="BB46" s="8">
        <v>12</v>
      </c>
      <c r="BC46" s="167">
        <f t="shared" si="52"/>
        <v>720000</v>
      </c>
      <c r="BD46" s="8">
        <v>12</v>
      </c>
      <c r="BE46" s="167">
        <f t="shared" si="53"/>
        <v>720000</v>
      </c>
      <c r="BF46" s="8">
        <v>12</v>
      </c>
      <c r="BG46" s="167">
        <f t="shared" si="54"/>
        <v>720000</v>
      </c>
      <c r="BH46" s="8"/>
      <c r="BI46" s="167">
        <f t="shared" si="55"/>
        <v>0</v>
      </c>
      <c r="BJ46" s="8">
        <f t="shared" si="56"/>
        <v>204</v>
      </c>
      <c r="BK46" s="8">
        <f t="shared" si="56"/>
        <v>12240000</v>
      </c>
      <c r="BL46" s="479" t="s">
        <v>212</v>
      </c>
      <c r="BN46" s="190"/>
      <c r="BO46" s="190"/>
      <c r="BP46" s="206"/>
      <c r="BQ46" s="190"/>
      <c r="BR46" s="190">
        <f t="shared" si="42"/>
        <v>0</v>
      </c>
      <c r="BS46" s="190">
        <f t="shared" si="71"/>
        <v>12240000</v>
      </c>
      <c r="BT46" s="190"/>
      <c r="BU46" s="444">
        <f t="shared" si="43"/>
        <v>12240000</v>
      </c>
      <c r="BV46" s="167">
        <f t="shared" si="3"/>
        <v>12240000</v>
      </c>
    </row>
    <row r="47" spans="1:74" x14ac:dyDescent="0.25">
      <c r="A47" s="883"/>
      <c r="B47" s="586" t="s">
        <v>1150</v>
      </c>
      <c r="C47" s="192" t="s">
        <v>329</v>
      </c>
      <c r="D47" s="169" t="s">
        <v>336</v>
      </c>
      <c r="E47" s="193" t="s">
        <v>307</v>
      </c>
      <c r="F47" s="486">
        <f t="shared" si="57"/>
        <v>0</v>
      </c>
      <c r="G47" s="7">
        <f t="shared" si="58"/>
        <v>0</v>
      </c>
      <c r="H47" s="7">
        <f>G47*0</f>
        <v>0</v>
      </c>
      <c r="I47" s="7">
        <f>G47</f>
        <v>0</v>
      </c>
      <c r="J47" s="7"/>
      <c r="K47" s="7"/>
      <c r="L47" s="7"/>
      <c r="M47" s="7"/>
      <c r="N47" s="7"/>
      <c r="O47" s="7"/>
      <c r="P47" s="7"/>
      <c r="Q47" s="7"/>
      <c r="R47" s="8">
        <f t="shared" si="61"/>
        <v>0</v>
      </c>
      <c r="S47" s="8">
        <f t="shared" si="62"/>
        <v>0</v>
      </c>
      <c r="T47" s="8">
        <f t="shared" si="63"/>
        <v>0</v>
      </c>
      <c r="U47" s="8">
        <f t="shared" si="64"/>
        <v>0</v>
      </c>
      <c r="V47" s="464">
        <f t="shared" si="37"/>
        <v>0</v>
      </c>
      <c r="W47" s="464">
        <f t="shared" si="38"/>
        <v>0</v>
      </c>
      <c r="X47" s="464">
        <f t="shared" si="39"/>
        <v>0</v>
      </c>
      <c r="Y47" s="464">
        <f t="shared" si="40"/>
        <v>0</v>
      </c>
      <c r="Z47" s="8">
        <v>0</v>
      </c>
      <c r="AA47" s="8">
        <f t="shared" si="44"/>
        <v>0</v>
      </c>
      <c r="AB47" s="8">
        <v>0</v>
      </c>
      <c r="AC47" s="167">
        <f t="shared" si="45"/>
        <v>0</v>
      </c>
      <c r="AD47" s="8">
        <v>0</v>
      </c>
      <c r="AE47" s="167">
        <f t="shared" si="46"/>
        <v>0</v>
      </c>
      <c r="AF47" s="8">
        <v>0</v>
      </c>
      <c r="AG47" s="167">
        <f t="shared" si="47"/>
        <v>0</v>
      </c>
      <c r="AH47" s="8">
        <v>0</v>
      </c>
      <c r="AI47" s="167">
        <f t="shared" si="48"/>
        <v>0</v>
      </c>
      <c r="AJ47" s="8">
        <v>0</v>
      </c>
      <c r="AK47" s="167">
        <f t="shared" si="65"/>
        <v>0</v>
      </c>
      <c r="AL47" s="8">
        <v>0</v>
      </c>
      <c r="AM47" s="167">
        <f t="shared" si="49"/>
        <v>0</v>
      </c>
      <c r="AN47" s="8">
        <v>0</v>
      </c>
      <c r="AO47" s="167">
        <f t="shared" si="66"/>
        <v>0</v>
      </c>
      <c r="AP47" s="8">
        <v>0</v>
      </c>
      <c r="AQ47" s="167">
        <f t="shared" si="50"/>
        <v>0</v>
      </c>
      <c r="AR47" s="8">
        <v>0</v>
      </c>
      <c r="AS47" s="167">
        <f t="shared" si="51"/>
        <v>0</v>
      </c>
      <c r="AT47" s="8">
        <v>0</v>
      </c>
      <c r="AU47" s="167">
        <f t="shared" si="67"/>
        <v>0</v>
      </c>
      <c r="AV47" s="8">
        <v>0</v>
      </c>
      <c r="AW47" s="167">
        <f t="shared" si="68"/>
        <v>0</v>
      </c>
      <c r="AX47" s="8">
        <v>0</v>
      </c>
      <c r="AY47" s="167">
        <f t="shared" si="69"/>
        <v>0</v>
      </c>
      <c r="AZ47" s="8">
        <v>0</v>
      </c>
      <c r="BA47" s="167">
        <f t="shared" si="70"/>
        <v>0</v>
      </c>
      <c r="BB47" s="8">
        <v>0</v>
      </c>
      <c r="BC47" s="167">
        <f t="shared" si="52"/>
        <v>0</v>
      </c>
      <c r="BD47" s="8">
        <v>0</v>
      </c>
      <c r="BE47" s="167">
        <f t="shared" si="53"/>
        <v>0</v>
      </c>
      <c r="BF47" s="8">
        <v>0</v>
      </c>
      <c r="BG47" s="167">
        <f t="shared" si="54"/>
        <v>0</v>
      </c>
      <c r="BH47" s="8"/>
      <c r="BI47" s="167">
        <f t="shared" si="55"/>
        <v>0</v>
      </c>
      <c r="BJ47" s="8">
        <f t="shared" si="56"/>
        <v>0</v>
      </c>
      <c r="BK47" s="8">
        <f t="shared" si="56"/>
        <v>0</v>
      </c>
      <c r="BL47" s="479" t="s">
        <v>211</v>
      </c>
      <c r="BN47" s="190"/>
      <c r="BO47" s="190"/>
      <c r="BP47" s="206"/>
      <c r="BQ47" s="190"/>
      <c r="BR47" s="190">
        <f t="shared" si="42"/>
        <v>0</v>
      </c>
      <c r="BS47" s="190">
        <f t="shared" si="71"/>
        <v>0</v>
      </c>
      <c r="BT47" s="190"/>
      <c r="BU47" s="444">
        <f t="shared" si="43"/>
        <v>0</v>
      </c>
      <c r="BV47" s="167">
        <f t="shared" si="3"/>
        <v>0</v>
      </c>
    </row>
    <row r="48" spans="1:74" s="180" customFormat="1" ht="31.5" x14ac:dyDescent="0.25">
      <c r="A48" s="883"/>
      <c r="B48" s="207"/>
      <c r="C48" s="223" t="s">
        <v>330</v>
      </c>
      <c r="D48" s="207" t="s">
        <v>336</v>
      </c>
      <c r="E48" s="492"/>
      <c r="F48" s="495">
        <f>SUM(F34:F47)</f>
        <v>1800</v>
      </c>
      <c r="G48" s="495">
        <f t="shared" ref="G48:BR48" si="72">SUM(G34:G47)</f>
        <v>43809000</v>
      </c>
      <c r="H48" s="495">
        <f t="shared" si="72"/>
        <v>21904500</v>
      </c>
      <c r="I48" s="495">
        <f t="shared" si="72"/>
        <v>21904500</v>
      </c>
      <c r="J48" s="495">
        <f t="shared" si="72"/>
        <v>0</v>
      </c>
      <c r="K48" s="495">
        <f t="shared" si="72"/>
        <v>0</v>
      </c>
      <c r="L48" s="495">
        <f t="shared" si="72"/>
        <v>0</v>
      </c>
      <c r="M48" s="495">
        <f t="shared" si="72"/>
        <v>0</v>
      </c>
      <c r="N48" s="495">
        <f t="shared" si="72"/>
        <v>0</v>
      </c>
      <c r="O48" s="495">
        <f t="shared" si="72"/>
        <v>0</v>
      </c>
      <c r="P48" s="495">
        <f t="shared" si="72"/>
        <v>0</v>
      </c>
      <c r="Q48" s="495">
        <f t="shared" si="72"/>
        <v>0</v>
      </c>
      <c r="R48" s="495">
        <f t="shared" si="72"/>
        <v>450</v>
      </c>
      <c r="S48" s="495">
        <f t="shared" si="72"/>
        <v>450</v>
      </c>
      <c r="T48" s="495">
        <f t="shared" si="72"/>
        <v>450</v>
      </c>
      <c r="U48" s="495">
        <f t="shared" si="72"/>
        <v>450</v>
      </c>
      <c r="V48" s="495">
        <f t="shared" si="72"/>
        <v>10952250</v>
      </c>
      <c r="W48" s="495">
        <f t="shared" si="72"/>
        <v>10952250</v>
      </c>
      <c r="X48" s="495">
        <f t="shared" si="72"/>
        <v>10952250</v>
      </c>
      <c r="Y48" s="495">
        <f t="shared" si="72"/>
        <v>10952250</v>
      </c>
      <c r="Z48" s="495">
        <f t="shared" si="72"/>
        <v>106</v>
      </c>
      <c r="AA48" s="495">
        <f t="shared" si="72"/>
        <v>2577000</v>
      </c>
      <c r="AB48" s="495">
        <f t="shared" si="72"/>
        <v>106</v>
      </c>
      <c r="AC48" s="495">
        <f t="shared" si="72"/>
        <v>2577000</v>
      </c>
      <c r="AD48" s="495">
        <f t="shared" si="72"/>
        <v>107</v>
      </c>
      <c r="AE48" s="495">
        <f t="shared" si="72"/>
        <v>2577000</v>
      </c>
      <c r="AF48" s="495">
        <f t="shared" si="72"/>
        <v>106</v>
      </c>
      <c r="AG48" s="495">
        <f t="shared" si="72"/>
        <v>2577000</v>
      </c>
      <c r="AH48" s="495">
        <f t="shared" si="72"/>
        <v>107</v>
      </c>
      <c r="AI48" s="495">
        <f t="shared" si="72"/>
        <v>2577000</v>
      </c>
      <c r="AJ48" s="495">
        <f t="shared" si="72"/>
        <v>107</v>
      </c>
      <c r="AK48" s="495">
        <f t="shared" si="72"/>
        <v>2577000</v>
      </c>
      <c r="AL48" s="495">
        <f t="shared" si="72"/>
        <v>107</v>
      </c>
      <c r="AM48" s="495">
        <f t="shared" si="72"/>
        <v>2577000</v>
      </c>
      <c r="AN48" s="495">
        <f t="shared" si="72"/>
        <v>107</v>
      </c>
      <c r="AO48" s="495">
        <f t="shared" si="72"/>
        <v>2577000</v>
      </c>
      <c r="AP48" s="495">
        <f t="shared" si="72"/>
        <v>96</v>
      </c>
      <c r="AQ48" s="495">
        <f t="shared" si="72"/>
        <v>2577000</v>
      </c>
      <c r="AR48" s="495">
        <f t="shared" si="72"/>
        <v>106</v>
      </c>
      <c r="AS48" s="495">
        <f t="shared" si="72"/>
        <v>2577000</v>
      </c>
      <c r="AT48" s="495">
        <f t="shared" si="72"/>
        <v>107</v>
      </c>
      <c r="AU48" s="495">
        <f t="shared" si="72"/>
        <v>2577000</v>
      </c>
      <c r="AV48" s="495">
        <f t="shared" si="72"/>
        <v>106</v>
      </c>
      <c r="AW48" s="495">
        <f t="shared" si="72"/>
        <v>2577000</v>
      </c>
      <c r="AX48" s="495">
        <f t="shared" si="72"/>
        <v>106</v>
      </c>
      <c r="AY48" s="495">
        <f t="shared" si="72"/>
        <v>2577000</v>
      </c>
      <c r="AZ48" s="495">
        <f t="shared" si="72"/>
        <v>107</v>
      </c>
      <c r="BA48" s="495">
        <f t="shared" si="72"/>
        <v>2577000</v>
      </c>
      <c r="BB48" s="495">
        <f t="shared" si="72"/>
        <v>107</v>
      </c>
      <c r="BC48" s="495">
        <f t="shared" si="72"/>
        <v>2577000</v>
      </c>
      <c r="BD48" s="495">
        <f t="shared" si="72"/>
        <v>106</v>
      </c>
      <c r="BE48" s="495">
        <f t="shared" si="72"/>
        <v>2577000</v>
      </c>
      <c r="BF48" s="495">
        <f t="shared" si="72"/>
        <v>106</v>
      </c>
      <c r="BG48" s="495">
        <f t="shared" si="72"/>
        <v>2577000</v>
      </c>
      <c r="BH48" s="495">
        <f t="shared" si="72"/>
        <v>0</v>
      </c>
      <c r="BI48" s="495">
        <f t="shared" si="72"/>
        <v>0</v>
      </c>
      <c r="BJ48" s="495">
        <f t="shared" si="72"/>
        <v>1800</v>
      </c>
      <c r="BK48" s="495">
        <f t="shared" si="72"/>
        <v>43809000</v>
      </c>
      <c r="BL48" s="495">
        <f t="shared" si="72"/>
        <v>0</v>
      </c>
      <c r="BM48" s="495">
        <f t="shared" si="72"/>
        <v>0</v>
      </c>
      <c r="BN48" s="495">
        <f t="shared" si="72"/>
        <v>0</v>
      </c>
      <c r="BO48" s="495">
        <f t="shared" si="72"/>
        <v>0</v>
      </c>
      <c r="BP48" s="495">
        <f t="shared" si="72"/>
        <v>0</v>
      </c>
      <c r="BQ48" s="495">
        <f t="shared" si="72"/>
        <v>0</v>
      </c>
      <c r="BR48" s="495">
        <f t="shared" si="72"/>
        <v>0</v>
      </c>
      <c r="BS48" s="495">
        <f>SUM(BS34:BS47)</f>
        <v>43809000</v>
      </c>
      <c r="BT48" s="495">
        <f>SUM(BT34:BT47)</f>
        <v>0</v>
      </c>
      <c r="BU48" s="495">
        <f>SUM(BU34:BU47)</f>
        <v>43809000</v>
      </c>
      <c r="BV48" s="495">
        <f>SUM(BV34:BV47)</f>
        <v>43809000</v>
      </c>
    </row>
    <row r="49" spans="1:74" s="180" customFormat="1" ht="27.75" customHeight="1" x14ac:dyDescent="0.25">
      <c r="A49" s="883"/>
      <c r="B49" s="207"/>
      <c r="C49" s="556" t="s">
        <v>331</v>
      </c>
      <c r="D49" s="169" t="s">
        <v>336</v>
      </c>
      <c r="E49" s="557"/>
      <c r="F49" s="496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557"/>
      <c r="S49" s="557"/>
      <c r="T49" s="557"/>
      <c r="U49" s="557"/>
      <c r="V49" s="11"/>
      <c r="W49" s="11"/>
      <c r="X49" s="11"/>
      <c r="Y49" s="11"/>
      <c r="Z49" s="557"/>
      <c r="AA49" s="8"/>
      <c r="AB49" s="8"/>
      <c r="AC49" s="167"/>
      <c r="AD49" s="8"/>
      <c r="AE49" s="167"/>
      <c r="AF49" s="8"/>
      <c r="AG49" s="167"/>
      <c r="AH49" s="8"/>
      <c r="AI49" s="167"/>
      <c r="AJ49" s="8"/>
      <c r="AK49" s="167"/>
      <c r="AL49" s="8"/>
      <c r="AM49" s="167"/>
      <c r="AN49" s="8"/>
      <c r="AO49" s="167"/>
      <c r="AP49" s="8"/>
      <c r="AQ49" s="167"/>
      <c r="AR49" s="8"/>
      <c r="AS49" s="167"/>
      <c r="AT49" s="8"/>
      <c r="AU49" s="167"/>
      <c r="AV49" s="8"/>
      <c r="AW49" s="167"/>
      <c r="AX49" s="8"/>
      <c r="AY49" s="167"/>
      <c r="AZ49" s="8"/>
      <c r="BA49" s="167"/>
      <c r="BB49" s="8"/>
      <c r="BC49" s="167"/>
      <c r="BD49" s="8"/>
      <c r="BE49" s="167"/>
      <c r="BF49" s="8"/>
      <c r="BG49" s="167"/>
      <c r="BH49" s="8"/>
      <c r="BI49" s="167"/>
      <c r="BJ49" s="8"/>
      <c r="BK49" s="443"/>
      <c r="BL49" s="479"/>
      <c r="BN49" s="497"/>
      <c r="BO49" s="497"/>
      <c r="BP49" s="497"/>
      <c r="BQ49" s="497"/>
      <c r="BR49" s="497"/>
      <c r="BS49" s="497"/>
      <c r="BT49" s="497"/>
      <c r="BU49" s="497"/>
      <c r="BV49" s="468"/>
    </row>
    <row r="50" spans="1:74" ht="28.5" customHeight="1" x14ac:dyDescent="0.25">
      <c r="A50" s="883"/>
      <c r="B50" s="586" t="s">
        <v>1151</v>
      </c>
      <c r="C50" s="192" t="s">
        <v>133</v>
      </c>
      <c r="D50" s="169" t="s">
        <v>336</v>
      </c>
      <c r="E50" s="193">
        <v>40000</v>
      </c>
      <c r="F50" s="477">
        <f>BJ50</f>
        <v>204</v>
      </c>
      <c r="G50" s="7">
        <f>F50*E50</f>
        <v>8160000</v>
      </c>
      <c r="H50" s="7">
        <f>G50*0.5</f>
        <v>4080000</v>
      </c>
      <c r="I50" s="7">
        <f>G50*0.5</f>
        <v>4080000</v>
      </c>
      <c r="J50" s="7"/>
      <c r="K50" s="7"/>
      <c r="L50" s="7"/>
      <c r="M50" s="7"/>
      <c r="N50" s="7"/>
      <c r="O50" s="8"/>
      <c r="P50" s="8"/>
      <c r="Q50" s="8"/>
      <c r="R50" s="8">
        <f>F50*0.25</f>
        <v>51</v>
      </c>
      <c r="S50" s="8">
        <f>F50*0.25</f>
        <v>51</v>
      </c>
      <c r="T50" s="8">
        <f>F50*0.25</f>
        <v>51</v>
      </c>
      <c r="U50" s="8">
        <f>F50*0.25</f>
        <v>51</v>
      </c>
      <c r="V50" s="8">
        <f>R50*E50</f>
        <v>2040000</v>
      </c>
      <c r="W50" s="8">
        <f>S50*E50</f>
        <v>2040000</v>
      </c>
      <c r="X50" s="8">
        <f>T50*E50</f>
        <v>2040000</v>
      </c>
      <c r="Y50" s="8">
        <f>U50*E50</f>
        <v>2040000</v>
      </c>
      <c r="Z50" s="8">
        <v>12</v>
      </c>
      <c r="AA50" s="8">
        <f>Z50*E50</f>
        <v>480000</v>
      </c>
      <c r="AB50" s="8">
        <v>12</v>
      </c>
      <c r="AC50" s="167">
        <f>AB50*E50</f>
        <v>480000</v>
      </c>
      <c r="AD50" s="8">
        <v>12</v>
      </c>
      <c r="AE50" s="167">
        <f>AD50*E50</f>
        <v>480000</v>
      </c>
      <c r="AF50" s="8">
        <v>12</v>
      </c>
      <c r="AG50" s="167">
        <f>AF50*E50</f>
        <v>480000</v>
      </c>
      <c r="AH50" s="8">
        <v>12</v>
      </c>
      <c r="AI50" s="167">
        <f>AH50*E50</f>
        <v>480000</v>
      </c>
      <c r="AJ50" s="8">
        <v>12</v>
      </c>
      <c r="AK50" s="167">
        <f>AJ50*E50</f>
        <v>480000</v>
      </c>
      <c r="AL50" s="8">
        <v>12</v>
      </c>
      <c r="AM50" s="167">
        <f>AL50*E50</f>
        <v>480000</v>
      </c>
      <c r="AN50" s="8">
        <v>12</v>
      </c>
      <c r="AO50" s="167">
        <f>AN50*E50</f>
        <v>480000</v>
      </c>
      <c r="AP50" s="8">
        <v>12</v>
      </c>
      <c r="AQ50" s="167">
        <f>AP50*E50</f>
        <v>480000</v>
      </c>
      <c r="AR50" s="8">
        <v>12</v>
      </c>
      <c r="AS50" s="167">
        <f>AR50*E50</f>
        <v>480000</v>
      </c>
      <c r="AT50" s="8">
        <v>12</v>
      </c>
      <c r="AU50" s="167">
        <f>AT50*E50</f>
        <v>480000</v>
      </c>
      <c r="AV50" s="8">
        <v>12</v>
      </c>
      <c r="AW50" s="167">
        <f>AV50*E50</f>
        <v>480000</v>
      </c>
      <c r="AX50" s="8">
        <v>12</v>
      </c>
      <c r="AY50" s="167">
        <f>AX50*E50</f>
        <v>480000</v>
      </c>
      <c r="AZ50" s="8">
        <v>12</v>
      </c>
      <c r="BA50" s="167">
        <f>AZ50*E50</f>
        <v>480000</v>
      </c>
      <c r="BB50" s="8">
        <v>12</v>
      </c>
      <c r="BC50" s="167">
        <f>BB50*E50</f>
        <v>480000</v>
      </c>
      <c r="BD50" s="8">
        <v>12</v>
      </c>
      <c r="BE50" s="167">
        <f>BD50*E50</f>
        <v>480000</v>
      </c>
      <c r="BF50" s="8">
        <v>12</v>
      </c>
      <c r="BG50" s="167">
        <f>BF50*E50</f>
        <v>480000</v>
      </c>
      <c r="BH50" s="8"/>
      <c r="BI50" s="167">
        <f>BH50*E50</f>
        <v>0</v>
      </c>
      <c r="BJ50" s="8">
        <f t="shared" ref="BJ50:BK54" si="73">BH50+BF50+BD50+BB50+AZ50+AX50+AV50+AT50+AR50+AP50+AN50+AL50+AJ50+AH50+AF50+AD50+AB50+Z50</f>
        <v>204</v>
      </c>
      <c r="BK50" s="8">
        <f t="shared" si="73"/>
        <v>8160000</v>
      </c>
      <c r="BL50" s="479" t="s">
        <v>212</v>
      </c>
      <c r="BN50" s="190"/>
      <c r="BO50" s="190"/>
      <c r="BP50" s="190"/>
      <c r="BQ50" s="190"/>
      <c r="BR50" s="190"/>
      <c r="BS50" s="190"/>
      <c r="BT50" s="190">
        <f>G50</f>
        <v>8160000</v>
      </c>
      <c r="BU50" s="444">
        <f t="shared" si="43"/>
        <v>8160000</v>
      </c>
      <c r="BV50" s="167">
        <f t="shared" si="3"/>
        <v>8160000</v>
      </c>
    </row>
    <row r="51" spans="1:74" ht="33.75" customHeight="1" x14ac:dyDescent="0.25">
      <c r="A51" s="883"/>
      <c r="B51" s="586" t="s">
        <v>1152</v>
      </c>
      <c r="C51" s="199" t="s">
        <v>332</v>
      </c>
      <c r="D51" s="169" t="s">
        <v>336</v>
      </c>
      <c r="E51" s="193">
        <v>10000</v>
      </c>
      <c r="F51" s="477">
        <f>BJ51</f>
        <v>204</v>
      </c>
      <c r="G51" s="7">
        <f>F51*E51</f>
        <v>2040000</v>
      </c>
      <c r="H51" s="7">
        <f>G51*0.5</f>
        <v>1020000</v>
      </c>
      <c r="I51" s="7">
        <f>G51*0.5</f>
        <v>1020000</v>
      </c>
      <c r="J51" s="7"/>
      <c r="K51" s="7"/>
      <c r="L51" s="7"/>
      <c r="M51" s="7"/>
      <c r="N51" s="7"/>
      <c r="O51" s="8"/>
      <c r="P51" s="8"/>
      <c r="Q51" s="8"/>
      <c r="R51" s="8">
        <f>F51*0.25</f>
        <v>51</v>
      </c>
      <c r="S51" s="8">
        <f>F51*0.25</f>
        <v>51</v>
      </c>
      <c r="T51" s="8">
        <f>F51*0.25</f>
        <v>51</v>
      </c>
      <c r="U51" s="8">
        <f>F51*0.25</f>
        <v>51</v>
      </c>
      <c r="V51" s="8">
        <f>R51*E51</f>
        <v>510000</v>
      </c>
      <c r="W51" s="8">
        <f>S51*E51</f>
        <v>510000</v>
      </c>
      <c r="X51" s="8">
        <f>T51*E51</f>
        <v>510000</v>
      </c>
      <c r="Y51" s="8">
        <f>U51*E51</f>
        <v>510000</v>
      </c>
      <c r="Z51" s="8">
        <v>12</v>
      </c>
      <c r="AA51" s="8">
        <f>Z51*E51</f>
        <v>120000</v>
      </c>
      <c r="AB51" s="8">
        <v>12</v>
      </c>
      <c r="AC51" s="167">
        <f>AB51*E51</f>
        <v>120000</v>
      </c>
      <c r="AD51" s="8">
        <v>12</v>
      </c>
      <c r="AE51" s="167">
        <f>AD51*E51</f>
        <v>120000</v>
      </c>
      <c r="AF51" s="8">
        <v>12</v>
      </c>
      <c r="AG51" s="167">
        <f>AF51*E51</f>
        <v>120000</v>
      </c>
      <c r="AH51" s="8">
        <v>12</v>
      </c>
      <c r="AI51" s="167">
        <f>AH51*E51</f>
        <v>120000</v>
      </c>
      <c r="AJ51" s="8">
        <v>12</v>
      </c>
      <c r="AK51" s="167">
        <f>AJ51*E51</f>
        <v>120000</v>
      </c>
      <c r="AL51" s="8">
        <v>12</v>
      </c>
      <c r="AM51" s="167">
        <f>AL51*E51</f>
        <v>120000</v>
      </c>
      <c r="AN51" s="8">
        <v>12</v>
      </c>
      <c r="AO51" s="167">
        <f>AN51*E51</f>
        <v>120000</v>
      </c>
      <c r="AP51" s="8">
        <v>12</v>
      </c>
      <c r="AQ51" s="167">
        <f>AP51*E51</f>
        <v>120000</v>
      </c>
      <c r="AR51" s="8">
        <v>12</v>
      </c>
      <c r="AS51" s="167">
        <f>AR51*E51</f>
        <v>120000</v>
      </c>
      <c r="AT51" s="8">
        <v>12</v>
      </c>
      <c r="AU51" s="167">
        <f>AT51*E51</f>
        <v>120000</v>
      </c>
      <c r="AV51" s="8">
        <v>12</v>
      </c>
      <c r="AW51" s="167">
        <f>AV51*E51</f>
        <v>120000</v>
      </c>
      <c r="AX51" s="8">
        <v>12</v>
      </c>
      <c r="AY51" s="167">
        <f>AX51*E51</f>
        <v>120000</v>
      </c>
      <c r="AZ51" s="8">
        <v>12</v>
      </c>
      <c r="BA51" s="167">
        <f>AZ51*E51</f>
        <v>120000</v>
      </c>
      <c r="BB51" s="8">
        <v>12</v>
      </c>
      <c r="BC51" s="167">
        <f>BB51*E51</f>
        <v>120000</v>
      </c>
      <c r="BD51" s="8">
        <v>12</v>
      </c>
      <c r="BE51" s="167">
        <f>BD51*E51</f>
        <v>120000</v>
      </c>
      <c r="BF51" s="8">
        <v>12</v>
      </c>
      <c r="BG51" s="167">
        <f>BF51*E51</f>
        <v>120000</v>
      </c>
      <c r="BH51" s="8"/>
      <c r="BI51" s="167">
        <f>BH51*E51</f>
        <v>0</v>
      </c>
      <c r="BJ51" s="8">
        <f t="shared" si="73"/>
        <v>204</v>
      </c>
      <c r="BK51" s="8">
        <f t="shared" si="73"/>
        <v>2040000</v>
      </c>
      <c r="BL51" s="479" t="s">
        <v>212</v>
      </c>
      <c r="BN51" s="190"/>
      <c r="BO51" s="190"/>
      <c r="BP51" s="190"/>
      <c r="BQ51" s="190"/>
      <c r="BR51" s="190"/>
      <c r="BS51" s="190"/>
      <c r="BT51" s="190">
        <f>G51</f>
        <v>2040000</v>
      </c>
      <c r="BU51" s="444">
        <f t="shared" si="43"/>
        <v>2040000</v>
      </c>
      <c r="BV51" s="167">
        <f t="shared" si="3"/>
        <v>2040000</v>
      </c>
    </row>
    <row r="52" spans="1:74" ht="33.75" customHeight="1" x14ac:dyDescent="0.25">
      <c r="A52" s="883"/>
      <c r="B52" s="586" t="s">
        <v>1153</v>
      </c>
      <c r="C52" s="192" t="s">
        <v>127</v>
      </c>
      <c r="D52" s="169" t="s">
        <v>16</v>
      </c>
      <c r="E52" s="193">
        <v>10000</v>
      </c>
      <c r="F52" s="477">
        <f>BJ52</f>
        <v>17</v>
      </c>
      <c r="G52" s="7">
        <f>F52*E52</f>
        <v>170000</v>
      </c>
      <c r="H52" s="7">
        <f>G52*0.5</f>
        <v>85000</v>
      </c>
      <c r="I52" s="7">
        <f>G52*0.5</f>
        <v>85000</v>
      </c>
      <c r="J52" s="7"/>
      <c r="K52" s="7"/>
      <c r="L52" s="7"/>
      <c r="M52" s="7"/>
      <c r="N52" s="7"/>
      <c r="O52" s="7"/>
      <c r="P52" s="7"/>
      <c r="Q52" s="7"/>
      <c r="R52" s="8"/>
      <c r="S52" s="8">
        <f>F52</f>
        <v>17</v>
      </c>
      <c r="T52" s="8"/>
      <c r="U52" s="8"/>
      <c r="V52" s="8">
        <f>R52*E52</f>
        <v>0</v>
      </c>
      <c r="W52" s="8">
        <f>S52*E52</f>
        <v>170000</v>
      </c>
      <c r="X52" s="8">
        <f>T52*E52</f>
        <v>0</v>
      </c>
      <c r="Y52" s="8">
        <f>U52*E52</f>
        <v>0</v>
      </c>
      <c r="Z52" s="8">
        <v>1</v>
      </c>
      <c r="AA52" s="8">
        <f>Z52*E52</f>
        <v>10000</v>
      </c>
      <c r="AB52" s="8">
        <v>1</v>
      </c>
      <c r="AC52" s="167">
        <f>AB52*E52</f>
        <v>10000</v>
      </c>
      <c r="AD52" s="8">
        <v>1</v>
      </c>
      <c r="AE52" s="167">
        <f>AD52*E52</f>
        <v>10000</v>
      </c>
      <c r="AF52" s="8">
        <v>1</v>
      </c>
      <c r="AG52" s="167">
        <f>AF52*E52</f>
        <v>10000</v>
      </c>
      <c r="AH52" s="8">
        <v>1</v>
      </c>
      <c r="AI52" s="167">
        <f>AH52*E52</f>
        <v>10000</v>
      </c>
      <c r="AJ52" s="8">
        <v>1</v>
      </c>
      <c r="AK52" s="167">
        <f>AJ52*E52</f>
        <v>10000</v>
      </c>
      <c r="AL52" s="8">
        <v>1</v>
      </c>
      <c r="AM52" s="167">
        <f>AL52*E52</f>
        <v>10000</v>
      </c>
      <c r="AN52" s="8">
        <v>1</v>
      </c>
      <c r="AO52" s="167">
        <f>AN52*E52</f>
        <v>10000</v>
      </c>
      <c r="AP52" s="8">
        <v>1</v>
      </c>
      <c r="AQ52" s="167">
        <f>AP52*E52</f>
        <v>10000</v>
      </c>
      <c r="AR52" s="8">
        <v>1</v>
      </c>
      <c r="AS52" s="167">
        <f>AR52*E52</f>
        <v>10000</v>
      </c>
      <c r="AT52" s="8">
        <v>1</v>
      </c>
      <c r="AU52" s="167">
        <f>AT52*E52</f>
        <v>10000</v>
      </c>
      <c r="AV52" s="8">
        <v>1</v>
      </c>
      <c r="AW52" s="167">
        <f>AV52*E52</f>
        <v>10000</v>
      </c>
      <c r="AX52" s="8">
        <v>1</v>
      </c>
      <c r="AY52" s="167">
        <f>AX52*E52</f>
        <v>10000</v>
      </c>
      <c r="AZ52" s="8">
        <v>1</v>
      </c>
      <c r="BA52" s="167">
        <f>AZ52*E52</f>
        <v>10000</v>
      </c>
      <c r="BB52" s="8">
        <v>1</v>
      </c>
      <c r="BC52" s="167">
        <f>BB52*E52</f>
        <v>10000</v>
      </c>
      <c r="BD52" s="8">
        <v>1</v>
      </c>
      <c r="BE52" s="167">
        <f>BD52*E52</f>
        <v>10000</v>
      </c>
      <c r="BF52" s="8">
        <v>1</v>
      </c>
      <c r="BG52" s="167">
        <f>BF52*E52</f>
        <v>10000</v>
      </c>
      <c r="BH52" s="8"/>
      <c r="BI52" s="167">
        <f>BH52*E52</f>
        <v>0</v>
      </c>
      <c r="BJ52" s="8">
        <f t="shared" si="73"/>
        <v>17</v>
      </c>
      <c r="BK52" s="8">
        <f t="shared" si="73"/>
        <v>170000</v>
      </c>
      <c r="BL52" s="479" t="s">
        <v>212</v>
      </c>
      <c r="BN52" s="190"/>
      <c r="BO52" s="190"/>
      <c r="BP52" s="206"/>
      <c r="BQ52" s="190"/>
      <c r="BR52" s="190">
        <f>BN52+BO52+BP52+BQ52</f>
        <v>0</v>
      </c>
      <c r="BS52" s="190"/>
      <c r="BT52" s="190">
        <f>G52</f>
        <v>170000</v>
      </c>
      <c r="BU52" s="444">
        <f t="shared" si="43"/>
        <v>170000</v>
      </c>
      <c r="BV52" s="167">
        <f t="shared" si="3"/>
        <v>170000</v>
      </c>
    </row>
    <row r="53" spans="1:74" ht="33.75" customHeight="1" x14ac:dyDescent="0.25">
      <c r="A53" s="883"/>
      <c r="B53" s="586" t="s">
        <v>1154</v>
      </c>
      <c r="C53" s="199" t="s">
        <v>569</v>
      </c>
      <c r="D53" s="169" t="s">
        <v>336</v>
      </c>
      <c r="E53" s="193" t="s">
        <v>348</v>
      </c>
      <c r="F53" s="477">
        <f>BJ53</f>
        <v>204</v>
      </c>
      <c r="G53" s="7">
        <f>F53*E53</f>
        <v>5100000</v>
      </c>
      <c r="H53" s="7">
        <f>G53*0.5</f>
        <v>2550000</v>
      </c>
      <c r="I53" s="7">
        <f>G53*0.5</f>
        <v>2550000</v>
      </c>
      <c r="J53" s="7"/>
      <c r="K53" s="7"/>
      <c r="L53" s="7"/>
      <c r="M53" s="7"/>
      <c r="N53" s="7"/>
      <c r="O53" s="7"/>
      <c r="P53" s="7"/>
      <c r="Q53" s="7"/>
      <c r="R53" s="8">
        <f>F53*0.25</f>
        <v>51</v>
      </c>
      <c r="S53" s="8">
        <f>F53*0.25</f>
        <v>51</v>
      </c>
      <c r="T53" s="8">
        <f>F53*0.25</f>
        <v>51</v>
      </c>
      <c r="U53" s="8">
        <f>F53*0.25</f>
        <v>51</v>
      </c>
      <c r="V53" s="8">
        <f>R53*E53</f>
        <v>1275000</v>
      </c>
      <c r="W53" s="8">
        <f>S53*E53</f>
        <v>1275000</v>
      </c>
      <c r="X53" s="8">
        <f>T53*E53</f>
        <v>1275000</v>
      </c>
      <c r="Y53" s="8">
        <f>U53*E53</f>
        <v>1275000</v>
      </c>
      <c r="Z53" s="224">
        <v>12</v>
      </c>
      <c r="AA53" s="8">
        <f>Z53*E53</f>
        <v>300000</v>
      </c>
      <c r="AB53" s="224">
        <v>12</v>
      </c>
      <c r="AC53" s="167">
        <f>AB53*E53</f>
        <v>300000</v>
      </c>
      <c r="AD53" s="224">
        <v>12</v>
      </c>
      <c r="AE53" s="167">
        <f>AD53*E53</f>
        <v>300000</v>
      </c>
      <c r="AF53" s="224">
        <v>12</v>
      </c>
      <c r="AG53" s="167">
        <f>AF53*E53</f>
        <v>300000</v>
      </c>
      <c r="AH53" s="224">
        <v>12</v>
      </c>
      <c r="AI53" s="167">
        <f>AH53*E53</f>
        <v>300000</v>
      </c>
      <c r="AJ53" s="224">
        <v>12</v>
      </c>
      <c r="AK53" s="167">
        <f>AJ53*E53</f>
        <v>300000</v>
      </c>
      <c r="AL53" s="224">
        <v>12</v>
      </c>
      <c r="AM53" s="167">
        <f>AL53*E53</f>
        <v>300000</v>
      </c>
      <c r="AN53" s="224">
        <v>12</v>
      </c>
      <c r="AO53" s="167">
        <f>AN53*E53</f>
        <v>300000</v>
      </c>
      <c r="AP53" s="224">
        <v>12</v>
      </c>
      <c r="AQ53" s="167">
        <f>AP53*E53</f>
        <v>300000</v>
      </c>
      <c r="AR53" s="224">
        <v>12</v>
      </c>
      <c r="AS53" s="167">
        <f>AR53*E53</f>
        <v>300000</v>
      </c>
      <c r="AT53" s="224">
        <v>12</v>
      </c>
      <c r="AU53" s="167">
        <f>AT53*E53</f>
        <v>300000</v>
      </c>
      <c r="AV53" s="224">
        <v>12</v>
      </c>
      <c r="AW53" s="167">
        <f>AV53*E53</f>
        <v>300000</v>
      </c>
      <c r="AX53" s="224">
        <v>12</v>
      </c>
      <c r="AY53" s="167">
        <f>AX53*E53</f>
        <v>300000</v>
      </c>
      <c r="AZ53" s="224">
        <v>12</v>
      </c>
      <c r="BA53" s="167">
        <f>AZ53*E53</f>
        <v>300000</v>
      </c>
      <c r="BB53" s="224">
        <v>12</v>
      </c>
      <c r="BC53" s="167">
        <f>BB53*E53</f>
        <v>300000</v>
      </c>
      <c r="BD53" s="224">
        <v>12</v>
      </c>
      <c r="BE53" s="167">
        <f>BD53*E53</f>
        <v>300000</v>
      </c>
      <c r="BF53" s="224">
        <v>12</v>
      </c>
      <c r="BG53" s="167">
        <f>BF53*E53</f>
        <v>300000</v>
      </c>
      <c r="BH53" s="8"/>
      <c r="BI53" s="167">
        <f>BH53*E53</f>
        <v>0</v>
      </c>
      <c r="BJ53" s="8">
        <f t="shared" si="73"/>
        <v>204</v>
      </c>
      <c r="BK53" s="8">
        <f t="shared" si="73"/>
        <v>5100000</v>
      </c>
      <c r="BL53" s="479" t="s">
        <v>212</v>
      </c>
      <c r="BN53" s="439">
        <f t="shared" ref="BN53:BS53" si="74">SUM(BN52:BN52)</f>
        <v>0</v>
      </c>
      <c r="BO53" s="439">
        <f t="shared" si="74"/>
        <v>0</v>
      </c>
      <c r="BP53" s="439"/>
      <c r="BQ53" s="439">
        <f t="shared" si="74"/>
        <v>0</v>
      </c>
      <c r="BR53" s="439">
        <f t="shared" si="74"/>
        <v>0</v>
      </c>
      <c r="BS53" s="439">
        <f t="shared" si="74"/>
        <v>0</v>
      </c>
      <c r="BT53" s="190">
        <f>G53</f>
        <v>5100000</v>
      </c>
      <c r="BU53" s="444">
        <f t="shared" si="43"/>
        <v>5100000</v>
      </c>
      <c r="BV53" s="167">
        <f t="shared" si="3"/>
        <v>5100000</v>
      </c>
    </row>
    <row r="54" spans="1:74" ht="33.75" customHeight="1" x14ac:dyDescent="0.25">
      <c r="A54" s="883"/>
      <c r="B54" s="586" t="s">
        <v>1155</v>
      </c>
      <c r="C54" s="192" t="s">
        <v>568</v>
      </c>
      <c r="D54" s="169" t="s">
        <v>336</v>
      </c>
      <c r="E54" s="193">
        <v>4000</v>
      </c>
      <c r="F54" s="477">
        <f>BJ54</f>
        <v>276</v>
      </c>
      <c r="G54" s="7">
        <f>F54*E54</f>
        <v>1104000</v>
      </c>
      <c r="H54" s="7">
        <f>G54*0.5</f>
        <v>552000</v>
      </c>
      <c r="I54" s="7">
        <f>G54*0.5</f>
        <v>552000</v>
      </c>
      <c r="J54" s="7"/>
      <c r="K54" s="7"/>
      <c r="L54" s="7"/>
      <c r="M54" s="7"/>
      <c r="N54" s="7"/>
      <c r="O54" s="7"/>
      <c r="P54" s="7"/>
      <c r="Q54" s="7"/>
      <c r="R54" s="8">
        <f>F54*0.25</f>
        <v>69</v>
      </c>
      <c r="S54" s="8">
        <f>F54*0.25</f>
        <v>69</v>
      </c>
      <c r="T54" s="8">
        <f>F54*0.25</f>
        <v>69</v>
      </c>
      <c r="U54" s="8">
        <f>F54*0.25</f>
        <v>69</v>
      </c>
      <c r="V54" s="8">
        <f>R54*E54</f>
        <v>276000</v>
      </c>
      <c r="W54" s="8">
        <f>S54*E54</f>
        <v>276000</v>
      </c>
      <c r="X54" s="8">
        <f>T54*E54</f>
        <v>276000</v>
      </c>
      <c r="Y54" s="8">
        <f>U54*E54</f>
        <v>276000</v>
      </c>
      <c r="Z54" s="8">
        <v>12</v>
      </c>
      <c r="AA54" s="8">
        <f>Z54*E54</f>
        <v>48000</v>
      </c>
      <c r="AB54" s="8">
        <v>12</v>
      </c>
      <c r="AC54" s="167">
        <f>AB54*E54</f>
        <v>48000</v>
      </c>
      <c r="AD54" s="8">
        <v>12</v>
      </c>
      <c r="AE54" s="167">
        <f>AD54*E54</f>
        <v>48000</v>
      </c>
      <c r="AF54" s="8">
        <v>36</v>
      </c>
      <c r="AG54" s="167">
        <f>AF54*E54</f>
        <v>144000</v>
      </c>
      <c r="AH54" s="8">
        <v>12</v>
      </c>
      <c r="AI54" s="167">
        <f>AH54*E54</f>
        <v>48000</v>
      </c>
      <c r="AJ54" s="8">
        <v>12</v>
      </c>
      <c r="AK54" s="167">
        <f>AJ54*E54</f>
        <v>48000</v>
      </c>
      <c r="AL54" s="8">
        <v>12</v>
      </c>
      <c r="AM54" s="167">
        <f>AL54*E54</f>
        <v>48000</v>
      </c>
      <c r="AN54" s="8">
        <v>24</v>
      </c>
      <c r="AO54" s="167">
        <f>AN54*E54</f>
        <v>96000</v>
      </c>
      <c r="AP54" s="8">
        <v>12</v>
      </c>
      <c r="AQ54" s="167">
        <f>AP54*E54</f>
        <v>48000</v>
      </c>
      <c r="AR54" s="8">
        <v>12</v>
      </c>
      <c r="AS54" s="167">
        <f>AR54*E54</f>
        <v>48000</v>
      </c>
      <c r="AT54" s="8">
        <v>12</v>
      </c>
      <c r="AU54" s="167">
        <f>AT54*E54</f>
        <v>48000</v>
      </c>
      <c r="AV54" s="8">
        <v>12</v>
      </c>
      <c r="AW54" s="167">
        <f>AV54*E54</f>
        <v>48000</v>
      </c>
      <c r="AX54" s="8">
        <v>24</v>
      </c>
      <c r="AY54" s="167">
        <f>AX54*E54</f>
        <v>96000</v>
      </c>
      <c r="AZ54" s="8">
        <v>24</v>
      </c>
      <c r="BA54" s="167">
        <f>AZ54*E54</f>
        <v>96000</v>
      </c>
      <c r="BB54" s="8">
        <v>12</v>
      </c>
      <c r="BC54" s="167">
        <f>BB54*E54</f>
        <v>48000</v>
      </c>
      <c r="BD54" s="8">
        <f>12*2</f>
        <v>24</v>
      </c>
      <c r="BE54" s="167">
        <f>BD54*E54</f>
        <v>96000</v>
      </c>
      <c r="BF54" s="8">
        <v>12</v>
      </c>
      <c r="BG54" s="167">
        <f>BF54*E54</f>
        <v>48000</v>
      </c>
      <c r="BH54" s="8"/>
      <c r="BI54" s="167">
        <f>BH54*E54</f>
        <v>0</v>
      </c>
      <c r="BJ54" s="8">
        <f t="shared" si="73"/>
        <v>276</v>
      </c>
      <c r="BK54" s="8">
        <f t="shared" si="73"/>
        <v>1104000</v>
      </c>
      <c r="BL54" s="479" t="s">
        <v>212</v>
      </c>
      <c r="BN54" s="190"/>
      <c r="BO54" s="190"/>
      <c r="BP54" s="206"/>
      <c r="BQ54" s="190"/>
      <c r="BR54" s="190">
        <f>BN54+BO54+BP54+BQ54</f>
        <v>0</v>
      </c>
      <c r="BS54" s="190"/>
      <c r="BT54" s="190">
        <f>G54</f>
        <v>1104000</v>
      </c>
      <c r="BU54" s="444">
        <f t="shared" si="43"/>
        <v>1104000</v>
      </c>
      <c r="BV54" s="167">
        <f t="shared" si="3"/>
        <v>1104000</v>
      </c>
    </row>
    <row r="55" spans="1:74" s="180" customFormat="1" x14ac:dyDescent="0.25">
      <c r="A55" s="472"/>
      <c r="B55" s="207"/>
      <c r="C55" s="185" t="s">
        <v>352</v>
      </c>
      <c r="D55" s="207"/>
      <c r="E55" s="205"/>
      <c r="F55" s="557">
        <f t="shared" ref="F55:AK55" si="75">SUM(F50:F54)</f>
        <v>905</v>
      </c>
      <c r="G55" s="557">
        <f t="shared" si="75"/>
        <v>16574000</v>
      </c>
      <c r="H55" s="557">
        <f t="shared" si="75"/>
        <v>8287000</v>
      </c>
      <c r="I55" s="557">
        <f t="shared" si="75"/>
        <v>8287000</v>
      </c>
      <c r="J55" s="557">
        <f t="shared" si="75"/>
        <v>0</v>
      </c>
      <c r="K55" s="557">
        <f t="shared" si="75"/>
        <v>0</v>
      </c>
      <c r="L55" s="557">
        <f t="shared" si="75"/>
        <v>0</v>
      </c>
      <c r="M55" s="557">
        <f t="shared" si="75"/>
        <v>0</v>
      </c>
      <c r="N55" s="557">
        <f t="shared" si="75"/>
        <v>0</v>
      </c>
      <c r="O55" s="557">
        <f t="shared" si="75"/>
        <v>0</v>
      </c>
      <c r="P55" s="557">
        <f t="shared" si="75"/>
        <v>0</v>
      </c>
      <c r="Q55" s="557">
        <f t="shared" si="75"/>
        <v>0</v>
      </c>
      <c r="R55" s="557">
        <f t="shared" si="75"/>
        <v>222</v>
      </c>
      <c r="S55" s="557">
        <f t="shared" si="75"/>
        <v>239</v>
      </c>
      <c r="T55" s="557">
        <f t="shared" si="75"/>
        <v>222</v>
      </c>
      <c r="U55" s="557">
        <f t="shared" si="75"/>
        <v>222</v>
      </c>
      <c r="V55" s="557">
        <f t="shared" si="75"/>
        <v>4101000</v>
      </c>
      <c r="W55" s="557">
        <f t="shared" si="75"/>
        <v>4271000</v>
      </c>
      <c r="X55" s="557">
        <f t="shared" si="75"/>
        <v>4101000</v>
      </c>
      <c r="Y55" s="557">
        <f t="shared" si="75"/>
        <v>4101000</v>
      </c>
      <c r="Z55" s="557">
        <f t="shared" si="75"/>
        <v>49</v>
      </c>
      <c r="AA55" s="557">
        <f t="shared" si="75"/>
        <v>958000</v>
      </c>
      <c r="AB55" s="557">
        <f t="shared" si="75"/>
        <v>49</v>
      </c>
      <c r="AC55" s="557">
        <f t="shared" si="75"/>
        <v>958000</v>
      </c>
      <c r="AD55" s="557">
        <f t="shared" si="75"/>
        <v>49</v>
      </c>
      <c r="AE55" s="557">
        <f t="shared" si="75"/>
        <v>958000</v>
      </c>
      <c r="AF55" s="557">
        <f t="shared" si="75"/>
        <v>73</v>
      </c>
      <c r="AG55" s="557">
        <f t="shared" si="75"/>
        <v>1054000</v>
      </c>
      <c r="AH55" s="557">
        <f t="shared" si="75"/>
        <v>49</v>
      </c>
      <c r="AI55" s="557">
        <f t="shared" si="75"/>
        <v>958000</v>
      </c>
      <c r="AJ55" s="557">
        <f t="shared" si="75"/>
        <v>49</v>
      </c>
      <c r="AK55" s="557">
        <f t="shared" si="75"/>
        <v>958000</v>
      </c>
      <c r="AL55" s="557">
        <f t="shared" ref="AL55:AW55" si="76">SUM(AL50:AL54)</f>
        <v>49</v>
      </c>
      <c r="AM55" s="557">
        <f t="shared" si="76"/>
        <v>958000</v>
      </c>
      <c r="AN55" s="557">
        <f t="shared" si="76"/>
        <v>61</v>
      </c>
      <c r="AO55" s="557">
        <f t="shared" si="76"/>
        <v>1006000</v>
      </c>
      <c r="AP55" s="557">
        <f t="shared" si="76"/>
        <v>49</v>
      </c>
      <c r="AQ55" s="557">
        <f t="shared" si="76"/>
        <v>958000</v>
      </c>
      <c r="AR55" s="557">
        <f t="shared" si="76"/>
        <v>49</v>
      </c>
      <c r="AS55" s="557">
        <f t="shared" si="76"/>
        <v>958000</v>
      </c>
      <c r="AT55" s="557">
        <f t="shared" si="76"/>
        <v>49</v>
      </c>
      <c r="AU55" s="557">
        <f t="shared" si="76"/>
        <v>958000</v>
      </c>
      <c r="AV55" s="557">
        <f t="shared" si="76"/>
        <v>49</v>
      </c>
      <c r="AW55" s="557">
        <f t="shared" si="76"/>
        <v>958000</v>
      </c>
      <c r="AX55" s="557">
        <f t="shared" ref="AX55:BK55" si="77">SUM(AX50:AX54)</f>
        <v>61</v>
      </c>
      <c r="AY55" s="557">
        <f t="shared" si="77"/>
        <v>1006000</v>
      </c>
      <c r="AZ55" s="557">
        <f t="shared" si="77"/>
        <v>61</v>
      </c>
      <c r="BA55" s="557">
        <f t="shared" si="77"/>
        <v>1006000</v>
      </c>
      <c r="BB55" s="557">
        <f t="shared" si="77"/>
        <v>49</v>
      </c>
      <c r="BC55" s="557">
        <f t="shared" si="77"/>
        <v>958000</v>
      </c>
      <c r="BD55" s="557">
        <f t="shared" si="77"/>
        <v>61</v>
      </c>
      <c r="BE55" s="557">
        <f t="shared" si="77"/>
        <v>1006000</v>
      </c>
      <c r="BF55" s="557">
        <f t="shared" si="77"/>
        <v>49</v>
      </c>
      <c r="BG55" s="557">
        <f t="shared" si="77"/>
        <v>958000</v>
      </c>
      <c r="BH55" s="557">
        <f t="shared" si="77"/>
        <v>0</v>
      </c>
      <c r="BI55" s="557">
        <f t="shared" si="77"/>
        <v>0</v>
      </c>
      <c r="BJ55" s="557">
        <f t="shared" si="77"/>
        <v>905</v>
      </c>
      <c r="BK55" s="557">
        <f t="shared" si="77"/>
        <v>16574000</v>
      </c>
      <c r="BL55" s="557">
        <f t="shared" ref="BL55:BV55" si="78">SUM(BL50:BL54)</f>
        <v>0</v>
      </c>
      <c r="BM55" s="557">
        <f t="shared" si="78"/>
        <v>0</v>
      </c>
      <c r="BN55" s="557">
        <f t="shared" si="78"/>
        <v>0</v>
      </c>
      <c r="BO55" s="557">
        <f t="shared" si="78"/>
        <v>0</v>
      </c>
      <c r="BP55" s="557">
        <f t="shared" si="78"/>
        <v>0</v>
      </c>
      <c r="BQ55" s="557">
        <f t="shared" si="78"/>
        <v>0</v>
      </c>
      <c r="BR55" s="557">
        <f t="shared" si="78"/>
        <v>0</v>
      </c>
      <c r="BS55" s="557">
        <f t="shared" si="78"/>
        <v>0</v>
      </c>
      <c r="BT55" s="557">
        <f t="shared" si="78"/>
        <v>16574000</v>
      </c>
      <c r="BU55" s="557">
        <f t="shared" si="78"/>
        <v>16574000</v>
      </c>
      <c r="BV55" s="557">
        <f t="shared" si="78"/>
        <v>16574000</v>
      </c>
    </row>
    <row r="56" spans="1:74" s="180" customFormat="1" x14ac:dyDescent="0.25">
      <c r="B56" s="16"/>
      <c r="C56" s="16" t="s">
        <v>335</v>
      </c>
      <c r="D56" s="16"/>
      <c r="E56" s="498"/>
      <c r="F56" s="16">
        <f t="shared" ref="F56:AW56" si="79">F55+F48+F30+F16</f>
        <v>3200</v>
      </c>
      <c r="G56" s="16">
        <f t="shared" si="79"/>
        <v>74173000</v>
      </c>
      <c r="H56" s="16">
        <f t="shared" si="79"/>
        <v>36741500</v>
      </c>
      <c r="I56" s="16">
        <f t="shared" si="79"/>
        <v>37431500</v>
      </c>
      <c r="J56" s="16">
        <f t="shared" si="79"/>
        <v>0</v>
      </c>
      <c r="K56" s="16">
        <f t="shared" si="79"/>
        <v>0</v>
      </c>
      <c r="L56" s="16">
        <f t="shared" si="79"/>
        <v>0</v>
      </c>
      <c r="M56" s="16">
        <f t="shared" si="79"/>
        <v>0</v>
      </c>
      <c r="N56" s="16">
        <f t="shared" si="79"/>
        <v>0</v>
      </c>
      <c r="O56" s="16">
        <f t="shared" si="79"/>
        <v>0</v>
      </c>
      <c r="P56" s="16">
        <f t="shared" si="79"/>
        <v>0</v>
      </c>
      <c r="Q56" s="16">
        <f t="shared" si="79"/>
        <v>0</v>
      </c>
      <c r="R56" s="16">
        <f t="shared" si="79"/>
        <v>791</v>
      </c>
      <c r="S56" s="16">
        <f t="shared" si="79"/>
        <v>826</v>
      </c>
      <c r="T56" s="16">
        <f t="shared" si="79"/>
        <v>792</v>
      </c>
      <c r="U56" s="16">
        <f t="shared" si="79"/>
        <v>791</v>
      </c>
      <c r="V56" s="16">
        <f t="shared" si="79"/>
        <v>18453250</v>
      </c>
      <c r="W56" s="16">
        <f t="shared" si="79"/>
        <v>19203250</v>
      </c>
      <c r="X56" s="16">
        <f t="shared" si="79"/>
        <v>18483250</v>
      </c>
      <c r="Y56" s="16">
        <f t="shared" si="79"/>
        <v>18453250</v>
      </c>
      <c r="Z56" s="16">
        <f t="shared" si="79"/>
        <v>185</v>
      </c>
      <c r="AA56" s="16">
        <f t="shared" si="79"/>
        <v>4515000</v>
      </c>
      <c r="AB56" s="16">
        <f t="shared" si="79"/>
        <v>184</v>
      </c>
      <c r="AC56" s="16">
        <f t="shared" si="79"/>
        <v>4365000</v>
      </c>
      <c r="AD56" s="16">
        <f t="shared" si="79"/>
        <v>185</v>
      </c>
      <c r="AE56" s="16">
        <f t="shared" si="79"/>
        <v>4365000</v>
      </c>
      <c r="AF56" s="16">
        <f t="shared" si="79"/>
        <v>208</v>
      </c>
      <c r="AG56" s="16">
        <f t="shared" si="79"/>
        <v>4461000</v>
      </c>
      <c r="AH56" s="16">
        <f t="shared" si="79"/>
        <v>186</v>
      </c>
      <c r="AI56" s="16">
        <f t="shared" si="79"/>
        <v>4515000</v>
      </c>
      <c r="AJ56" s="16">
        <f t="shared" si="79"/>
        <v>185</v>
      </c>
      <c r="AK56" s="16">
        <f t="shared" si="79"/>
        <v>4365000</v>
      </c>
      <c r="AL56" s="16">
        <f t="shared" si="79"/>
        <v>185</v>
      </c>
      <c r="AM56" s="16">
        <f t="shared" si="79"/>
        <v>4245000</v>
      </c>
      <c r="AN56" s="16">
        <f t="shared" si="79"/>
        <v>197</v>
      </c>
      <c r="AO56" s="16">
        <f t="shared" si="79"/>
        <v>4293000</v>
      </c>
      <c r="AP56" s="16">
        <f t="shared" si="79"/>
        <v>174</v>
      </c>
      <c r="AQ56" s="16">
        <f t="shared" si="79"/>
        <v>4365000</v>
      </c>
      <c r="AR56" s="16">
        <f t="shared" si="79"/>
        <v>184</v>
      </c>
      <c r="AS56" s="16">
        <f t="shared" si="79"/>
        <v>4245000</v>
      </c>
      <c r="AT56" s="16">
        <f t="shared" si="79"/>
        <v>185</v>
      </c>
      <c r="AU56" s="16">
        <f t="shared" si="79"/>
        <v>4245000</v>
      </c>
      <c r="AV56" s="16">
        <f t="shared" si="79"/>
        <v>184</v>
      </c>
      <c r="AW56" s="16">
        <f t="shared" si="79"/>
        <v>4425000</v>
      </c>
      <c r="AX56" s="16">
        <f t="shared" ref="AX56:BQ56" si="80">AX55+AX48+AX30+AX16</f>
        <v>196</v>
      </c>
      <c r="AY56" s="16">
        <f t="shared" si="80"/>
        <v>4413000</v>
      </c>
      <c r="AZ56" s="16">
        <f t="shared" si="80"/>
        <v>197</v>
      </c>
      <c r="BA56" s="16">
        <f t="shared" si="80"/>
        <v>4213000</v>
      </c>
      <c r="BB56" s="16">
        <f t="shared" si="80"/>
        <v>185</v>
      </c>
      <c r="BC56" s="16">
        <f t="shared" si="80"/>
        <v>4365000</v>
      </c>
      <c r="BD56" s="16">
        <f t="shared" si="80"/>
        <v>196</v>
      </c>
      <c r="BE56" s="16">
        <f t="shared" si="80"/>
        <v>4413000</v>
      </c>
      <c r="BF56" s="16">
        <f t="shared" si="80"/>
        <v>184</v>
      </c>
      <c r="BG56" s="16">
        <f t="shared" si="80"/>
        <v>4365000</v>
      </c>
      <c r="BH56" s="16">
        <f t="shared" si="80"/>
        <v>0</v>
      </c>
      <c r="BI56" s="16">
        <f t="shared" si="80"/>
        <v>0</v>
      </c>
      <c r="BJ56" s="16">
        <f t="shared" si="80"/>
        <v>3200</v>
      </c>
      <c r="BK56" s="16">
        <f t="shared" si="80"/>
        <v>74173000</v>
      </c>
      <c r="BL56" s="16">
        <f t="shared" si="80"/>
        <v>0</v>
      </c>
      <c r="BM56" s="16">
        <f t="shared" si="80"/>
        <v>0</v>
      </c>
      <c r="BN56" s="16">
        <f t="shared" si="80"/>
        <v>0</v>
      </c>
      <c r="BO56" s="16">
        <f t="shared" si="80"/>
        <v>0</v>
      </c>
      <c r="BP56" s="16">
        <f t="shared" si="80"/>
        <v>810000</v>
      </c>
      <c r="BQ56" s="16">
        <f t="shared" si="80"/>
        <v>0</v>
      </c>
      <c r="BR56" s="16">
        <f>BR55+BR48+BR30+BR16</f>
        <v>810000</v>
      </c>
      <c r="BS56" s="16">
        <f>BS55+BS48+BS30+BS16</f>
        <v>43809000</v>
      </c>
      <c r="BT56" s="16">
        <f>BT55+BT48+BT30+BT16</f>
        <v>29554000</v>
      </c>
      <c r="BU56" s="16">
        <f>BU55+BU48+BU30+BU16</f>
        <v>73363000</v>
      </c>
      <c r="BV56" s="16">
        <f>BV55+BV48+BV30+BV16</f>
        <v>74173000</v>
      </c>
    </row>
    <row r="57" spans="1:74" x14ac:dyDescent="0.25">
      <c r="X57" s="196"/>
      <c r="AA57" s="176">
        <f>+AA56+AC56+AE56+AG56+AI56+AK56+AM56+AO56+AQ56+AS56+AU56+AW56+AY56+BA56+BC56+BE56+BG56+BI56</f>
        <v>74173000</v>
      </c>
      <c r="BS57" s="196"/>
    </row>
    <row r="59" spans="1:74" x14ac:dyDescent="0.25">
      <c r="AA59" s="176" t="e">
        <f>#REF!+#REF!+#REF!+AA49+AA21</f>
        <v>#REF!</v>
      </c>
    </row>
    <row r="60" spans="1:74" x14ac:dyDescent="0.25">
      <c r="BK60" s="176">
        <f>G56-BK56</f>
        <v>0</v>
      </c>
    </row>
  </sheetData>
  <mergeCells count="43">
    <mergeCell ref="BB7:BC8"/>
    <mergeCell ref="A10:A54"/>
    <mergeCell ref="BF7:BG8"/>
    <mergeCell ref="BH7:BI8"/>
    <mergeCell ref="BJ7:BK8"/>
    <mergeCell ref="C8:C9"/>
    <mergeCell ref="E8:E9"/>
    <mergeCell ref="F8:F9"/>
    <mergeCell ref="G8:G9"/>
    <mergeCell ref="AT7:AU8"/>
    <mergeCell ref="AV7:AW8"/>
    <mergeCell ref="AB7:AC8"/>
    <mergeCell ref="AD7:AE8"/>
    <mergeCell ref="AF7:AG8"/>
    <mergeCell ref="AX7:AY8"/>
    <mergeCell ref="AZ7:BA8"/>
    <mergeCell ref="BD7:BE8"/>
    <mergeCell ref="BL7:BL9"/>
    <mergeCell ref="BN8:BR8"/>
    <mergeCell ref="BS8:BU8"/>
    <mergeCell ref="BV8:BV9"/>
    <mergeCell ref="AP7:AQ8"/>
    <mergeCell ref="AR7:AS8"/>
    <mergeCell ref="A5:B5"/>
    <mergeCell ref="C5:Q5"/>
    <mergeCell ref="A6:B6"/>
    <mergeCell ref="C6:Q6"/>
    <mergeCell ref="Z7:AA8"/>
    <mergeCell ref="AH7:AI8"/>
    <mergeCell ref="AJ7:AK8"/>
    <mergeCell ref="AL7:AM8"/>
    <mergeCell ref="AN7:AO8"/>
    <mergeCell ref="A7:D7"/>
    <mergeCell ref="E7:G7"/>
    <mergeCell ref="H7:Q7"/>
    <mergeCell ref="R7:U8"/>
    <mergeCell ref="V7:Y8"/>
    <mergeCell ref="A2:B2"/>
    <mergeCell ref="C2:Q2"/>
    <mergeCell ref="A3:B3"/>
    <mergeCell ref="C3:Q3"/>
    <mergeCell ref="A4:B4"/>
    <mergeCell ref="C4:Q4"/>
  </mergeCells>
  <phoneticPr fontId="28" type="noConversion"/>
  <pageMargins left="0.4" right="0.7" top="0.32" bottom="0.17" header="0.3" footer="0.17"/>
  <pageSetup paperSize="9" scale="28" fitToHeight="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8">
    <pageSetUpPr fitToPage="1"/>
  </sheetPr>
  <dimension ref="A2:BW38"/>
  <sheetViews>
    <sheetView zoomScale="80" zoomScaleNormal="80" workbookViewId="0">
      <pane xSplit="8" ySplit="10" topLeftCell="BN23" activePane="bottomRight" state="frozen"/>
      <selection activeCell="C8" sqref="C8"/>
      <selection pane="topRight" activeCell="H8" sqref="H8"/>
      <selection pane="bottomLeft" activeCell="C11" sqref="C11"/>
      <selection pane="bottomRight" activeCell="C42" sqref="C42"/>
    </sheetView>
  </sheetViews>
  <sheetFormatPr defaultColWidth="9.140625" defaultRowHeight="15.75" x14ac:dyDescent="0.25"/>
  <cols>
    <col min="1" max="1" width="11.7109375" style="218" customWidth="1"/>
    <col min="2" max="2" width="14" style="218" customWidth="1"/>
    <col min="3" max="3" width="25.140625" style="218" customWidth="1"/>
    <col min="4" max="4" width="42" style="218" customWidth="1"/>
    <col min="5" max="5" width="11.42578125" style="218" customWidth="1"/>
    <col min="6" max="6" width="19.85546875" style="218" customWidth="1"/>
    <col min="7" max="7" width="8.42578125" style="218" customWidth="1"/>
    <col min="8" max="8" width="16.28515625" style="535" customWidth="1"/>
    <col min="9" max="9" width="13.140625" style="535" customWidth="1"/>
    <col min="10" max="10" width="17.28515625" style="535" customWidth="1"/>
    <col min="11" max="11" width="10.28515625" style="535" customWidth="1"/>
    <col min="12" max="12" width="13" style="535" customWidth="1"/>
    <col min="13" max="13" width="6.5703125" style="535" customWidth="1"/>
    <col min="14" max="14" width="12.140625" style="535" customWidth="1"/>
    <col min="15" max="15" width="5.5703125" style="535" customWidth="1"/>
    <col min="16" max="16" width="7.140625" style="535" customWidth="1"/>
    <col min="17" max="17" width="12" style="535" customWidth="1"/>
    <col min="18" max="18" width="8.28515625" style="218" customWidth="1"/>
    <col min="19" max="22" width="7.5703125" style="637" customWidth="1"/>
    <col min="23" max="26" width="15.42578125" style="535" customWidth="1"/>
    <col min="27" max="27" width="6.85546875" style="218" bestFit="1" customWidth="1"/>
    <col min="28" max="28" width="12.5703125" style="218" bestFit="1" customWidth="1"/>
    <col min="29" max="29" width="6.85546875" style="218" bestFit="1" customWidth="1"/>
    <col min="30" max="30" width="12.5703125" style="218" bestFit="1" customWidth="1"/>
    <col min="31" max="31" width="6.85546875" style="218" bestFit="1" customWidth="1"/>
    <col min="32" max="32" width="13.140625" style="218" customWidth="1"/>
    <col min="33" max="33" width="6.85546875" style="218" bestFit="1" customWidth="1"/>
    <col min="34" max="34" width="13.140625" style="218" customWidth="1"/>
    <col min="35" max="35" width="5.140625" style="218" customWidth="1"/>
    <col min="36" max="36" width="13.140625" style="218" customWidth="1"/>
    <col min="37" max="37" width="8.140625" style="218" bestFit="1" customWidth="1"/>
    <col min="38" max="38" width="13.85546875" style="218" bestFit="1" customWidth="1"/>
    <col min="39" max="39" width="6.7109375" style="218" bestFit="1" customWidth="1"/>
    <col min="40" max="40" width="13.140625" style="218" customWidth="1"/>
    <col min="41" max="41" width="6.7109375" style="218" bestFit="1" customWidth="1"/>
    <col min="42" max="42" width="13.140625" style="218" customWidth="1"/>
    <col min="43" max="43" width="7.85546875" style="218" customWidth="1"/>
    <col min="44" max="44" width="14.5703125" style="218" customWidth="1"/>
    <col min="45" max="45" width="6.42578125" style="218" customWidth="1"/>
    <col min="46" max="46" width="13.140625" style="218" customWidth="1"/>
    <col min="47" max="47" width="6.5703125" style="218" customWidth="1"/>
    <col min="48" max="48" width="13.140625" style="218" customWidth="1"/>
    <col min="49" max="49" width="7.7109375" style="218" customWidth="1"/>
    <col min="50" max="50" width="13.7109375" style="218" customWidth="1"/>
    <col min="51" max="51" width="6.85546875" style="218" bestFit="1" customWidth="1"/>
    <col min="52" max="52" width="13.140625" style="218" customWidth="1"/>
    <col min="53" max="53" width="6.85546875" style="218" bestFit="1" customWidth="1"/>
    <col min="54" max="54" width="13.140625" style="218" customWidth="1"/>
    <col min="55" max="55" width="6.7109375" style="218" bestFit="1" customWidth="1"/>
    <col min="56" max="56" width="13.140625" style="218" customWidth="1"/>
    <col min="57" max="57" width="6.85546875" style="218" bestFit="1" customWidth="1"/>
    <col min="58" max="58" width="13.140625" style="218" customWidth="1"/>
    <col min="59" max="59" width="5.140625" style="218" customWidth="1"/>
    <col min="60" max="60" width="13.140625" style="218" customWidth="1"/>
    <col min="61" max="61" width="5.140625" style="218" customWidth="1"/>
    <col min="62" max="62" width="17.28515625" style="218" customWidth="1"/>
    <col min="63" max="63" width="10.28515625" style="218" customWidth="1"/>
    <col min="64" max="64" width="15.42578125" style="218" customWidth="1"/>
    <col min="65" max="65" width="22.28515625" style="218" customWidth="1"/>
    <col min="66" max="66" width="9.140625" style="218" customWidth="1"/>
    <col min="67" max="67" width="6.85546875" style="218" bestFit="1" customWidth="1"/>
    <col min="68" max="68" width="18.85546875" style="218" bestFit="1" customWidth="1"/>
    <col min="69" max="69" width="14.42578125" style="218" bestFit="1" customWidth="1"/>
    <col min="70" max="70" width="9.28515625" style="218" bestFit="1" customWidth="1"/>
    <col min="71" max="71" width="15.7109375" style="218" bestFit="1" customWidth="1"/>
    <col min="72" max="74" width="9.28515625" style="218" bestFit="1" customWidth="1"/>
    <col min="75" max="75" width="14.42578125" style="218" bestFit="1" customWidth="1"/>
    <col min="76" max="16384" width="9.140625" style="218"/>
  </cols>
  <sheetData>
    <row r="2" spans="1:75" x14ac:dyDescent="0.25">
      <c r="A2" s="784" t="s">
        <v>159</v>
      </c>
      <c r="B2" s="784"/>
      <c r="C2" s="784" t="s">
        <v>153</v>
      </c>
      <c r="D2" s="784"/>
      <c r="E2" s="784"/>
      <c r="F2" s="784"/>
      <c r="G2" s="784"/>
      <c r="H2" s="784"/>
      <c r="I2" s="784"/>
      <c r="J2" s="784"/>
      <c r="K2" s="784"/>
      <c r="L2" s="784"/>
      <c r="M2" s="784"/>
      <c r="N2" s="784"/>
      <c r="O2" s="784"/>
      <c r="P2" s="784"/>
      <c r="Q2" s="784"/>
      <c r="R2" s="784"/>
      <c r="S2" s="626"/>
      <c r="T2" s="626"/>
      <c r="U2" s="626"/>
      <c r="V2" s="626"/>
      <c r="W2" s="540"/>
      <c r="X2" s="540"/>
      <c r="Y2" s="540"/>
      <c r="Z2" s="540"/>
    </row>
    <row r="3" spans="1:75" x14ac:dyDescent="0.25">
      <c r="A3" s="784" t="s">
        <v>161</v>
      </c>
      <c r="B3" s="784"/>
      <c r="C3" s="784" t="s">
        <v>154</v>
      </c>
      <c r="D3" s="784"/>
      <c r="E3" s="784"/>
      <c r="F3" s="784"/>
      <c r="G3" s="784"/>
      <c r="H3" s="784"/>
      <c r="I3" s="784"/>
      <c r="J3" s="784"/>
      <c r="K3" s="784"/>
      <c r="L3" s="784"/>
      <c r="M3" s="784"/>
      <c r="N3" s="784"/>
      <c r="O3" s="784"/>
      <c r="P3" s="784"/>
      <c r="Q3" s="784"/>
      <c r="R3" s="784"/>
      <c r="S3" s="626"/>
      <c r="T3" s="626"/>
      <c r="U3" s="626"/>
      <c r="V3" s="626"/>
      <c r="W3" s="540"/>
      <c r="X3" s="540"/>
      <c r="Y3" s="540"/>
      <c r="Z3" s="540"/>
    </row>
    <row r="4" spans="1:75" x14ac:dyDescent="0.25">
      <c r="A4" s="784" t="s">
        <v>156</v>
      </c>
      <c r="B4" s="784"/>
      <c r="C4" s="784" t="s">
        <v>950</v>
      </c>
      <c r="D4" s="784"/>
      <c r="E4" s="784"/>
      <c r="F4" s="784"/>
      <c r="G4" s="784"/>
      <c r="H4" s="784"/>
      <c r="I4" s="784"/>
      <c r="J4" s="784"/>
      <c r="K4" s="784"/>
      <c r="L4" s="784"/>
      <c r="M4" s="784"/>
      <c r="N4" s="784"/>
      <c r="O4" s="784"/>
      <c r="P4" s="784"/>
      <c r="Q4" s="784"/>
      <c r="R4" s="784"/>
      <c r="S4" s="626"/>
      <c r="T4" s="626"/>
      <c r="U4" s="626"/>
      <c r="V4" s="626"/>
      <c r="W4" s="540"/>
      <c r="X4" s="540"/>
      <c r="Y4" s="540"/>
      <c r="Z4" s="540"/>
    </row>
    <row r="5" spans="1:75" x14ac:dyDescent="0.25">
      <c r="A5" s="237" t="s">
        <v>896</v>
      </c>
      <c r="B5" s="237"/>
      <c r="C5" s="237" t="s">
        <v>160</v>
      </c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626"/>
      <c r="T5" s="626"/>
      <c r="U5" s="626"/>
      <c r="V5" s="626"/>
      <c r="W5" s="540"/>
      <c r="X5" s="540"/>
      <c r="Y5" s="540"/>
      <c r="Z5" s="540"/>
    </row>
    <row r="6" spans="1:75" x14ac:dyDescent="0.25">
      <c r="A6" s="627" t="s">
        <v>897</v>
      </c>
      <c r="B6" s="627"/>
      <c r="C6" s="627" t="s">
        <v>525</v>
      </c>
      <c r="D6" s="627"/>
      <c r="E6" s="627"/>
      <c r="F6" s="627"/>
      <c r="G6" s="627"/>
      <c r="H6" s="627"/>
      <c r="I6" s="627"/>
      <c r="J6" s="627"/>
      <c r="K6" s="627"/>
      <c r="L6" s="627"/>
      <c r="M6" s="627"/>
      <c r="N6" s="627"/>
      <c r="O6" s="627"/>
      <c r="P6" s="627"/>
      <c r="Q6" s="627"/>
      <c r="R6" s="627"/>
      <c r="S6" s="626"/>
      <c r="T6" s="626"/>
      <c r="U6" s="626"/>
      <c r="V6" s="626"/>
      <c r="W6" s="540"/>
      <c r="X6" s="540"/>
      <c r="Y6" s="540"/>
      <c r="Z6" s="540"/>
    </row>
    <row r="7" spans="1:75" x14ac:dyDescent="0.25">
      <c r="A7" s="873"/>
      <c r="B7" s="874"/>
      <c r="C7" s="875"/>
      <c r="D7" s="578"/>
      <c r="E7" s="578"/>
      <c r="F7" s="873" t="s">
        <v>21</v>
      </c>
      <c r="G7" s="874"/>
      <c r="H7" s="875"/>
      <c r="I7" s="761" t="s">
        <v>152</v>
      </c>
      <c r="J7" s="762"/>
      <c r="K7" s="762"/>
      <c r="L7" s="762"/>
      <c r="M7" s="762"/>
      <c r="N7" s="762"/>
      <c r="O7" s="762"/>
      <c r="P7" s="762"/>
      <c r="Q7" s="762"/>
      <c r="R7" s="763"/>
      <c r="S7" s="887" t="s">
        <v>60</v>
      </c>
      <c r="T7" s="888"/>
      <c r="U7" s="888"/>
      <c r="V7" s="889"/>
      <c r="W7" s="895" t="s">
        <v>6</v>
      </c>
      <c r="X7" s="896"/>
      <c r="Y7" s="896"/>
      <c r="Z7" s="897"/>
      <c r="AA7" s="770" t="s">
        <v>180</v>
      </c>
      <c r="AB7" s="770"/>
      <c r="AC7" s="770" t="s">
        <v>181</v>
      </c>
      <c r="AD7" s="770"/>
      <c r="AE7" s="770" t="s">
        <v>182</v>
      </c>
      <c r="AF7" s="770"/>
      <c r="AG7" s="770" t="s">
        <v>183</v>
      </c>
      <c r="AH7" s="770"/>
      <c r="AI7" s="770" t="s">
        <v>184</v>
      </c>
      <c r="AJ7" s="770"/>
      <c r="AK7" s="770" t="s">
        <v>185</v>
      </c>
      <c r="AL7" s="770"/>
      <c r="AM7" s="770" t="s">
        <v>186</v>
      </c>
      <c r="AN7" s="770"/>
      <c r="AO7" s="770" t="s">
        <v>187</v>
      </c>
      <c r="AP7" s="770"/>
      <c r="AQ7" s="770" t="s">
        <v>188</v>
      </c>
      <c r="AR7" s="770"/>
      <c r="AS7" s="770" t="s">
        <v>189</v>
      </c>
      <c r="AT7" s="770"/>
      <c r="AU7" s="770" t="s">
        <v>190</v>
      </c>
      <c r="AV7" s="770"/>
      <c r="AW7" s="770" t="s">
        <v>191</v>
      </c>
      <c r="AX7" s="770"/>
      <c r="AY7" s="770" t="s">
        <v>192</v>
      </c>
      <c r="AZ7" s="770"/>
      <c r="BA7" s="770" t="s">
        <v>193</v>
      </c>
      <c r="BB7" s="770"/>
      <c r="BC7" s="770" t="s">
        <v>194</v>
      </c>
      <c r="BD7" s="770"/>
      <c r="BE7" s="770" t="s">
        <v>195</v>
      </c>
      <c r="BF7" s="770"/>
      <c r="BG7" s="770" t="s">
        <v>196</v>
      </c>
      <c r="BH7" s="770"/>
      <c r="BI7" s="770" t="s">
        <v>197</v>
      </c>
      <c r="BJ7" s="770"/>
      <c r="BK7" s="770" t="s">
        <v>17</v>
      </c>
      <c r="BL7" s="770"/>
      <c r="BM7" s="740" t="s">
        <v>230</v>
      </c>
    </row>
    <row r="8" spans="1:75" x14ac:dyDescent="0.25">
      <c r="A8" s="771" t="s">
        <v>13</v>
      </c>
      <c r="B8" s="770"/>
      <c r="C8" s="555" t="s">
        <v>14</v>
      </c>
      <c r="D8" s="555"/>
      <c r="E8" s="555" t="s">
        <v>362</v>
      </c>
      <c r="F8" s="770" t="s">
        <v>28</v>
      </c>
      <c r="G8" s="771" t="s">
        <v>30</v>
      </c>
      <c r="H8" s="893" t="s">
        <v>31</v>
      </c>
      <c r="I8" s="16" t="s">
        <v>200</v>
      </c>
      <c r="J8" s="16" t="s">
        <v>201</v>
      </c>
      <c r="K8" s="16" t="s">
        <v>202</v>
      </c>
      <c r="L8" s="16" t="s">
        <v>203</v>
      </c>
      <c r="M8" s="16" t="s">
        <v>204</v>
      </c>
      <c r="N8" s="16" t="s">
        <v>205</v>
      </c>
      <c r="O8" s="16" t="s">
        <v>919</v>
      </c>
      <c r="P8" s="16" t="s">
        <v>206</v>
      </c>
      <c r="Q8" s="16" t="s">
        <v>207</v>
      </c>
      <c r="R8" s="16" t="s">
        <v>768</v>
      </c>
      <c r="S8" s="890"/>
      <c r="T8" s="891"/>
      <c r="U8" s="891"/>
      <c r="V8" s="892"/>
      <c r="W8" s="898"/>
      <c r="X8" s="899"/>
      <c r="Y8" s="899"/>
      <c r="Z8" s="900"/>
      <c r="AA8" s="770"/>
      <c r="AB8" s="770"/>
      <c r="AC8" s="770" t="s">
        <v>43</v>
      </c>
      <c r="AD8" s="770"/>
      <c r="AE8" s="770" t="s">
        <v>44</v>
      </c>
      <c r="AF8" s="770"/>
      <c r="AG8" s="770" t="s">
        <v>45</v>
      </c>
      <c r="AH8" s="770"/>
      <c r="AI8" s="770" t="s">
        <v>46</v>
      </c>
      <c r="AJ8" s="770"/>
      <c r="AK8" s="770" t="s">
        <v>47</v>
      </c>
      <c r="AL8" s="770"/>
      <c r="AM8" s="770" t="s">
        <v>48</v>
      </c>
      <c r="AN8" s="770"/>
      <c r="AO8" s="770" t="s">
        <v>49</v>
      </c>
      <c r="AP8" s="770"/>
      <c r="AQ8" s="770" t="s">
        <v>50</v>
      </c>
      <c r="AR8" s="770"/>
      <c r="AS8" s="770" t="s">
        <v>51</v>
      </c>
      <c r="AT8" s="770"/>
      <c r="AU8" s="770" t="s">
        <v>52</v>
      </c>
      <c r="AV8" s="770"/>
      <c r="AW8" s="770" t="s">
        <v>53</v>
      </c>
      <c r="AX8" s="770"/>
      <c r="AY8" s="770" t="s">
        <v>54</v>
      </c>
      <c r="AZ8" s="770"/>
      <c r="BA8" s="770" t="s">
        <v>55</v>
      </c>
      <c r="BB8" s="770"/>
      <c r="BC8" s="770" t="s">
        <v>40</v>
      </c>
      <c r="BD8" s="770"/>
      <c r="BE8" s="770" t="s">
        <v>37</v>
      </c>
      <c r="BF8" s="770"/>
      <c r="BG8" s="770"/>
      <c r="BH8" s="770"/>
      <c r="BI8" s="770"/>
      <c r="BJ8" s="770"/>
      <c r="BK8" s="770"/>
      <c r="BL8" s="770"/>
      <c r="BM8" s="740"/>
      <c r="BO8" s="746" t="s">
        <v>228</v>
      </c>
      <c r="BP8" s="746"/>
      <c r="BQ8" s="746"/>
      <c r="BR8" s="746"/>
      <c r="BS8" s="746"/>
      <c r="BT8" s="746" t="s">
        <v>229</v>
      </c>
      <c r="BU8" s="746"/>
      <c r="BV8" s="746"/>
      <c r="BW8" s="740" t="s">
        <v>17</v>
      </c>
    </row>
    <row r="9" spans="1:75" ht="47.25" x14ac:dyDescent="0.25">
      <c r="A9" s="772"/>
      <c r="B9" s="770"/>
      <c r="C9" s="555"/>
      <c r="D9" s="555"/>
      <c r="E9" s="555"/>
      <c r="F9" s="770"/>
      <c r="G9" s="772"/>
      <c r="H9" s="894"/>
      <c r="I9" s="421"/>
      <c r="J9" s="421"/>
      <c r="K9" s="421"/>
      <c r="L9" s="421"/>
      <c r="M9" s="421">
        <v>0</v>
      </c>
      <c r="N9" s="421">
        <v>0</v>
      </c>
      <c r="O9" s="421">
        <v>0</v>
      </c>
      <c r="P9" s="421">
        <v>0</v>
      </c>
      <c r="Q9" s="421">
        <v>0</v>
      </c>
      <c r="R9" s="421">
        <v>0</v>
      </c>
      <c r="S9" s="628" t="s">
        <v>7</v>
      </c>
      <c r="T9" s="628" t="s">
        <v>8</v>
      </c>
      <c r="U9" s="628" t="s">
        <v>9</v>
      </c>
      <c r="V9" s="628" t="s">
        <v>10</v>
      </c>
      <c r="W9" s="432" t="s">
        <v>7</v>
      </c>
      <c r="X9" s="432" t="s">
        <v>8</v>
      </c>
      <c r="Y9" s="432" t="s">
        <v>9</v>
      </c>
      <c r="Z9" s="432" t="s">
        <v>10</v>
      </c>
      <c r="AA9" s="423" t="s">
        <v>14</v>
      </c>
      <c r="AB9" s="424" t="s">
        <v>15</v>
      </c>
      <c r="AC9" s="425" t="s">
        <v>14</v>
      </c>
      <c r="AD9" s="425" t="s">
        <v>15</v>
      </c>
      <c r="AE9" s="425" t="s">
        <v>14</v>
      </c>
      <c r="AF9" s="425" t="s">
        <v>15</v>
      </c>
      <c r="AG9" s="425" t="s">
        <v>14</v>
      </c>
      <c r="AH9" s="425" t="s">
        <v>15</v>
      </c>
      <c r="AI9" s="425" t="s">
        <v>14</v>
      </c>
      <c r="AJ9" s="425" t="s">
        <v>15</v>
      </c>
      <c r="AK9" s="425" t="s">
        <v>14</v>
      </c>
      <c r="AL9" s="425" t="s">
        <v>15</v>
      </c>
      <c r="AM9" s="425" t="s">
        <v>14</v>
      </c>
      <c r="AN9" s="425" t="s">
        <v>15</v>
      </c>
      <c r="AO9" s="425" t="s">
        <v>14</v>
      </c>
      <c r="AP9" s="425" t="s">
        <v>15</v>
      </c>
      <c r="AQ9" s="425" t="s">
        <v>14</v>
      </c>
      <c r="AR9" s="425" t="s">
        <v>15</v>
      </c>
      <c r="AS9" s="425" t="s">
        <v>14</v>
      </c>
      <c r="AT9" s="425" t="s">
        <v>15</v>
      </c>
      <c r="AU9" s="425" t="s">
        <v>14</v>
      </c>
      <c r="AV9" s="425" t="s">
        <v>15</v>
      </c>
      <c r="AW9" s="425" t="s">
        <v>14</v>
      </c>
      <c r="AX9" s="425" t="s">
        <v>15</v>
      </c>
      <c r="AY9" s="425" t="s">
        <v>14</v>
      </c>
      <c r="AZ9" s="425" t="s">
        <v>15</v>
      </c>
      <c r="BA9" s="425" t="s">
        <v>14</v>
      </c>
      <c r="BB9" s="425" t="s">
        <v>15</v>
      </c>
      <c r="BC9" s="425" t="s">
        <v>14</v>
      </c>
      <c r="BD9" s="425" t="s">
        <v>15</v>
      </c>
      <c r="BE9" s="425" t="s">
        <v>14</v>
      </c>
      <c r="BF9" s="425" t="s">
        <v>15</v>
      </c>
      <c r="BG9" s="425" t="s">
        <v>14</v>
      </c>
      <c r="BH9" s="425" t="s">
        <v>15</v>
      </c>
      <c r="BI9" s="425" t="s">
        <v>14</v>
      </c>
      <c r="BJ9" s="425" t="s">
        <v>15</v>
      </c>
      <c r="BK9" s="425" t="s">
        <v>14</v>
      </c>
      <c r="BL9" s="425" t="s">
        <v>15</v>
      </c>
      <c r="BM9" s="740"/>
      <c r="BO9" s="16" t="s">
        <v>219</v>
      </c>
      <c r="BP9" s="28" t="s">
        <v>220</v>
      </c>
      <c r="BQ9" s="28" t="s">
        <v>221</v>
      </c>
      <c r="BR9" s="565" t="s">
        <v>222</v>
      </c>
      <c r="BS9" s="28" t="s">
        <v>223</v>
      </c>
      <c r="BT9" s="28" t="s">
        <v>224</v>
      </c>
      <c r="BU9" s="28" t="s">
        <v>225</v>
      </c>
      <c r="BV9" s="28" t="s">
        <v>226</v>
      </c>
      <c r="BW9" s="740"/>
    </row>
    <row r="10" spans="1:75" x14ac:dyDescent="0.25">
      <c r="A10" s="770" t="s">
        <v>29</v>
      </c>
      <c r="B10" s="228"/>
      <c r="C10" s="213"/>
      <c r="D10" s="185" t="s">
        <v>316</v>
      </c>
      <c r="E10" s="186"/>
      <c r="F10" s="193" t="s">
        <v>111</v>
      </c>
      <c r="G10" s="228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28"/>
      <c r="S10" s="281"/>
      <c r="T10" s="281"/>
      <c r="U10" s="281"/>
      <c r="V10" s="281"/>
      <c r="W10" s="233"/>
      <c r="X10" s="233"/>
      <c r="Y10" s="233"/>
      <c r="Z10" s="233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8"/>
      <c r="AU10" s="228"/>
      <c r="AV10" s="228"/>
      <c r="AW10" s="228"/>
      <c r="AX10" s="228"/>
      <c r="AY10" s="228"/>
      <c r="AZ10" s="228"/>
      <c r="BA10" s="228"/>
      <c r="BB10" s="228"/>
      <c r="BC10" s="228"/>
      <c r="BD10" s="228"/>
      <c r="BE10" s="228"/>
      <c r="BF10" s="228"/>
      <c r="BG10" s="228"/>
      <c r="BH10" s="228"/>
      <c r="BI10" s="228"/>
      <c r="BJ10" s="228"/>
      <c r="BK10" s="228"/>
      <c r="BL10" s="228"/>
      <c r="BM10" s="228"/>
      <c r="BO10" s="228"/>
      <c r="BP10" s="228"/>
      <c r="BQ10" s="228"/>
      <c r="BR10" s="228"/>
      <c r="BS10" s="233">
        <f t="shared" ref="BS10:BS15" si="0">BO10+BP10+BQ10+BR10</f>
        <v>0</v>
      </c>
      <c r="BT10" s="228"/>
      <c r="BU10" s="228"/>
      <c r="BV10" s="228">
        <f>BT10+BU10</f>
        <v>0</v>
      </c>
      <c r="BW10" s="233">
        <f>BS10+BV10</f>
        <v>0</v>
      </c>
    </row>
    <row r="11" spans="1:75" x14ac:dyDescent="0.25">
      <c r="A11" s="770"/>
      <c r="B11" s="586"/>
      <c r="C11" s="185" t="s">
        <v>353</v>
      </c>
      <c r="D11" s="213" t="s">
        <v>353</v>
      </c>
      <c r="E11" s="186"/>
      <c r="F11" s="186"/>
      <c r="G11" s="169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28"/>
      <c r="S11" s="281"/>
      <c r="T11" s="281"/>
      <c r="U11" s="281"/>
      <c r="V11" s="281"/>
      <c r="W11" s="233"/>
      <c r="X11" s="233"/>
      <c r="Y11" s="233"/>
      <c r="Z11" s="233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228"/>
      <c r="BK11" s="228"/>
      <c r="BL11" s="228"/>
      <c r="BM11" s="228"/>
      <c r="BO11" s="228"/>
      <c r="BP11" s="228"/>
      <c r="BQ11" s="228"/>
      <c r="BR11" s="228"/>
      <c r="BS11" s="233">
        <f t="shared" si="0"/>
        <v>0</v>
      </c>
      <c r="BT11" s="228"/>
      <c r="BU11" s="228"/>
      <c r="BV11" s="228">
        <f t="shared" ref="BV11:BV17" si="1">BT11+BU11</f>
        <v>0</v>
      </c>
      <c r="BW11" s="233">
        <f t="shared" ref="BW11:BW34" si="2">BS11+BV11</f>
        <v>0</v>
      </c>
    </row>
    <row r="12" spans="1:75" x14ac:dyDescent="0.25">
      <c r="A12" s="770"/>
      <c r="B12" s="586" t="s">
        <v>1156</v>
      </c>
      <c r="C12" s="213"/>
      <c r="D12" s="192" t="s">
        <v>138</v>
      </c>
      <c r="E12" s="186" t="s">
        <v>139</v>
      </c>
      <c r="F12" s="193">
        <v>15000</v>
      </c>
      <c r="G12" s="169">
        <f>BK12</f>
        <v>12</v>
      </c>
      <c r="H12" s="233">
        <f>G12*F12</f>
        <v>180000</v>
      </c>
      <c r="I12" s="233">
        <f>H12*0.2</f>
        <v>36000</v>
      </c>
      <c r="J12" s="233">
        <f>H12*0.8</f>
        <v>144000</v>
      </c>
      <c r="K12" s="233"/>
      <c r="L12" s="233"/>
      <c r="M12" s="233"/>
      <c r="N12" s="233"/>
      <c r="O12" s="233"/>
      <c r="P12" s="233"/>
      <c r="Q12" s="233"/>
      <c r="R12" s="233"/>
      <c r="S12" s="281">
        <f>G12*0.25</f>
        <v>3</v>
      </c>
      <c r="T12" s="281">
        <f>G12*0.25</f>
        <v>3</v>
      </c>
      <c r="U12" s="281">
        <f>G12*0.25</f>
        <v>3</v>
      </c>
      <c r="V12" s="281">
        <f>G12*0.25</f>
        <v>3</v>
      </c>
      <c r="W12" s="233">
        <f>S12*F12</f>
        <v>45000</v>
      </c>
      <c r="X12" s="233">
        <f>T12*F12</f>
        <v>45000</v>
      </c>
      <c r="Y12" s="233">
        <f>U12*F12</f>
        <v>45000</v>
      </c>
      <c r="Z12" s="233">
        <f>V12*F12</f>
        <v>45000</v>
      </c>
      <c r="AA12" s="228"/>
      <c r="AB12" s="226">
        <f>AA12*F12</f>
        <v>0</v>
      </c>
      <c r="AC12" s="228"/>
      <c r="AD12" s="226">
        <f>AC12*F12</f>
        <v>0</v>
      </c>
      <c r="AE12" s="228"/>
      <c r="AF12" s="226">
        <f>AE12*F12</f>
        <v>0</v>
      </c>
      <c r="AG12" s="228"/>
      <c r="AH12" s="226">
        <f>AG12*F12</f>
        <v>0</v>
      </c>
      <c r="AI12" s="228"/>
      <c r="AJ12" s="226">
        <f>AI12*F12</f>
        <v>0</v>
      </c>
      <c r="AK12" s="228"/>
      <c r="AL12" s="226"/>
      <c r="AM12" s="228"/>
      <c r="AN12" s="226">
        <f>AM12*F12</f>
        <v>0</v>
      </c>
      <c r="AO12" s="228"/>
      <c r="AP12" s="226"/>
      <c r="AQ12" s="228"/>
      <c r="AR12" s="226">
        <f>AQ12*F12</f>
        <v>0</v>
      </c>
      <c r="AS12" s="228"/>
      <c r="AT12" s="226">
        <f>AS12*F12</f>
        <v>0</v>
      </c>
      <c r="AU12" s="228"/>
      <c r="AV12" s="226"/>
      <c r="AW12" s="228"/>
      <c r="AX12" s="226"/>
      <c r="AY12" s="228"/>
      <c r="AZ12" s="226"/>
      <c r="BA12" s="228"/>
      <c r="BB12" s="226">
        <f>BA12*F12</f>
        <v>0</v>
      </c>
      <c r="BC12" s="228"/>
      <c r="BD12" s="226"/>
      <c r="BE12" s="228"/>
      <c r="BF12" s="226"/>
      <c r="BG12" s="228"/>
      <c r="BH12" s="226"/>
      <c r="BI12" s="228">
        <v>12</v>
      </c>
      <c r="BJ12" s="226">
        <f>BI12*F12</f>
        <v>180000</v>
      </c>
      <c r="BK12" s="7">
        <f>AA12+AC12+AE12+AG12+AI12+AK12+AM12+AO12+AQ12+AS12+AU12+AW12+AY12+BA12+BC12+BE12+BG12+BI12</f>
        <v>12</v>
      </c>
      <c r="BL12" s="7">
        <f>AB12+AD12+AF12+AH12+AJ12+AL12+AN12+AP12+AR12+AT12+AV12+AX12+AZ12+BB12+BD12+BF12+BH12+BJ12</f>
        <v>180000</v>
      </c>
      <c r="BM12" s="629" t="s">
        <v>210</v>
      </c>
      <c r="BO12" s="228"/>
      <c r="BP12" s="233">
        <f>BL12</f>
        <v>180000</v>
      </c>
      <c r="BQ12" s="228"/>
      <c r="BR12" s="228"/>
      <c r="BS12" s="233">
        <f t="shared" si="0"/>
        <v>180000</v>
      </c>
      <c r="BT12" s="228"/>
      <c r="BU12" s="228"/>
      <c r="BV12" s="228">
        <f t="shared" si="1"/>
        <v>0</v>
      </c>
      <c r="BW12" s="233">
        <f t="shared" si="2"/>
        <v>180000</v>
      </c>
    </row>
    <row r="13" spans="1:75" x14ac:dyDescent="0.25">
      <c r="A13" s="770"/>
      <c r="B13" s="586" t="s">
        <v>1157</v>
      </c>
      <c r="C13" s="213"/>
      <c r="D13" s="192" t="s">
        <v>140</v>
      </c>
      <c r="E13" s="186" t="s">
        <v>16</v>
      </c>
      <c r="F13" s="193">
        <v>4000</v>
      </c>
      <c r="G13" s="169">
        <f>BK13</f>
        <v>240</v>
      </c>
      <c r="H13" s="233">
        <f>BL13</f>
        <v>1050000</v>
      </c>
      <c r="I13" s="233">
        <f>H13*0.2</f>
        <v>210000</v>
      </c>
      <c r="J13" s="233">
        <f>H13*0.8</f>
        <v>840000</v>
      </c>
      <c r="K13" s="233"/>
      <c r="L13" s="233"/>
      <c r="M13" s="233"/>
      <c r="N13" s="233"/>
      <c r="O13" s="233"/>
      <c r="P13" s="233"/>
      <c r="Q13" s="233"/>
      <c r="R13" s="233"/>
      <c r="S13" s="281">
        <f>G13*0.25</f>
        <v>60</v>
      </c>
      <c r="T13" s="281">
        <f>G13*0.25</f>
        <v>60</v>
      </c>
      <c r="U13" s="281">
        <f>G13*0.25</f>
        <v>60</v>
      </c>
      <c r="V13" s="281">
        <f>G13*0.25</f>
        <v>60</v>
      </c>
      <c r="W13" s="233">
        <f>S13*F13</f>
        <v>240000</v>
      </c>
      <c r="X13" s="233">
        <f>T13*F13</f>
        <v>240000</v>
      </c>
      <c r="Y13" s="233">
        <f>U13*F13</f>
        <v>240000</v>
      </c>
      <c r="Z13" s="233">
        <f>V13*F13+33000</f>
        <v>273000</v>
      </c>
      <c r="AA13" s="228">
        <v>12</v>
      </c>
      <c r="AB13" s="226">
        <f t="shared" ref="AB13:AB33" si="3">AA13*F13</f>
        <v>48000</v>
      </c>
      <c r="AC13" s="228">
        <v>12</v>
      </c>
      <c r="AD13" s="226">
        <f t="shared" ref="AD13:AD33" si="4">AC13*F13</f>
        <v>48000</v>
      </c>
      <c r="AE13" s="228">
        <v>12</v>
      </c>
      <c r="AF13" s="226">
        <f t="shared" ref="AF13:AF33" si="5">AE13*F13</f>
        <v>48000</v>
      </c>
      <c r="AG13" s="228">
        <v>24</v>
      </c>
      <c r="AH13" s="226">
        <f>AG13*F13+18000</f>
        <v>114000</v>
      </c>
      <c r="AI13" s="228">
        <v>12</v>
      </c>
      <c r="AJ13" s="226">
        <f t="shared" ref="AJ13:AJ33" si="6">AI13*F13</f>
        <v>48000</v>
      </c>
      <c r="AK13" s="228">
        <v>12</v>
      </c>
      <c r="AL13" s="226">
        <f>AK13*F13</f>
        <v>48000</v>
      </c>
      <c r="AM13" s="228">
        <v>12</v>
      </c>
      <c r="AN13" s="226">
        <f t="shared" ref="AN13:AN33" si="7">AM13*F13</f>
        <v>48000</v>
      </c>
      <c r="AO13" s="228">
        <v>24</v>
      </c>
      <c r="AP13" s="226">
        <f>AO13*F13</f>
        <v>96000</v>
      </c>
      <c r="AQ13" s="228">
        <v>12</v>
      </c>
      <c r="AR13" s="226">
        <f>AQ13*F13/2</f>
        <v>24000</v>
      </c>
      <c r="AS13" s="228">
        <v>12</v>
      </c>
      <c r="AT13" s="226">
        <f t="shared" ref="AT13:AT33" si="8">AS13*F13</f>
        <v>48000</v>
      </c>
      <c r="AU13" s="228">
        <v>12</v>
      </c>
      <c r="AV13" s="226">
        <f>AU13*F13</f>
        <v>48000</v>
      </c>
      <c r="AW13" s="228">
        <v>12</v>
      </c>
      <c r="AX13" s="226">
        <f>AW13*F13</f>
        <v>48000</v>
      </c>
      <c r="AY13" s="228">
        <v>12</v>
      </c>
      <c r="AZ13" s="226">
        <f>AY13*F13</f>
        <v>48000</v>
      </c>
      <c r="BA13" s="228">
        <v>12</v>
      </c>
      <c r="BB13" s="226">
        <f t="shared" ref="BB13:BB33" si="9">BA13*F13</f>
        <v>48000</v>
      </c>
      <c r="BC13" s="228">
        <v>12</v>
      </c>
      <c r="BD13" s="226">
        <f>BC13*F13</f>
        <v>48000</v>
      </c>
      <c r="BE13" s="228">
        <v>24</v>
      </c>
      <c r="BF13" s="226">
        <f>BE13*F13*2</f>
        <v>192000</v>
      </c>
      <c r="BG13" s="228">
        <v>12</v>
      </c>
      <c r="BH13" s="226">
        <f>BG13*F13</f>
        <v>48000</v>
      </c>
      <c r="BI13" s="228">
        <v>0</v>
      </c>
      <c r="BJ13" s="226">
        <f>BI13*F13</f>
        <v>0</v>
      </c>
      <c r="BK13" s="7">
        <f>AA13+AC13+AE13+AG13+AI13+AK13+AM13+AO13+AQ13+AS13+AU13+AW13+AY13+BA13+BC13+BE13+BG13+BI13</f>
        <v>240</v>
      </c>
      <c r="BL13" s="7">
        <f>AB13+AD13+AF13+AH13+AJ13+AL13+AN13+AP13+AR13+AT13+AV13+AX13+AZ13+BB13+BD13+BF13+BH13+BJ13</f>
        <v>1050000</v>
      </c>
      <c r="BM13" s="629" t="s">
        <v>210</v>
      </c>
      <c r="BO13" s="228"/>
      <c r="BP13" s="233">
        <f>BL13</f>
        <v>1050000</v>
      </c>
      <c r="BQ13" s="228"/>
      <c r="BR13" s="228"/>
      <c r="BS13" s="233">
        <f t="shared" si="0"/>
        <v>1050000</v>
      </c>
      <c r="BT13" s="228"/>
      <c r="BU13" s="228"/>
      <c r="BV13" s="228">
        <f t="shared" si="1"/>
        <v>0</v>
      </c>
      <c r="BW13" s="233">
        <f t="shared" si="2"/>
        <v>1050000</v>
      </c>
    </row>
    <row r="14" spans="1:75" s="237" customFormat="1" x14ac:dyDescent="0.25">
      <c r="A14" s="770"/>
      <c r="B14" s="207"/>
      <c r="C14" s="185" t="s">
        <v>141</v>
      </c>
      <c r="D14" s="223" t="s">
        <v>141</v>
      </c>
      <c r="E14" s="186" t="s">
        <v>111</v>
      </c>
      <c r="F14" s="193"/>
      <c r="G14" s="270">
        <f t="shared" ref="G14:R14" si="10">SUM(G12:G13)</f>
        <v>252</v>
      </c>
      <c r="H14" s="270">
        <f t="shared" si="10"/>
        <v>1230000</v>
      </c>
      <c r="I14" s="270">
        <f t="shared" si="10"/>
        <v>246000</v>
      </c>
      <c r="J14" s="270">
        <f t="shared" si="10"/>
        <v>984000</v>
      </c>
      <c r="K14" s="270">
        <f t="shared" si="10"/>
        <v>0</v>
      </c>
      <c r="L14" s="270">
        <f t="shared" si="10"/>
        <v>0</v>
      </c>
      <c r="M14" s="270">
        <f t="shared" si="10"/>
        <v>0</v>
      </c>
      <c r="N14" s="270">
        <f t="shared" si="10"/>
        <v>0</v>
      </c>
      <c r="O14" s="270">
        <f t="shared" si="10"/>
        <v>0</v>
      </c>
      <c r="P14" s="270">
        <f t="shared" si="10"/>
        <v>0</v>
      </c>
      <c r="Q14" s="270">
        <f t="shared" si="10"/>
        <v>0</v>
      </c>
      <c r="R14" s="270">
        <f t="shared" si="10"/>
        <v>0</v>
      </c>
      <c r="S14" s="291">
        <f t="shared" ref="S14:Z14" si="11">SUM(S12:S13)</f>
        <v>63</v>
      </c>
      <c r="T14" s="291">
        <f t="shared" si="11"/>
        <v>63</v>
      </c>
      <c r="U14" s="291">
        <f t="shared" si="11"/>
        <v>63</v>
      </c>
      <c r="V14" s="291">
        <f t="shared" si="11"/>
        <v>63</v>
      </c>
      <c r="W14" s="270">
        <f t="shared" si="11"/>
        <v>285000</v>
      </c>
      <c r="X14" s="270">
        <f t="shared" si="11"/>
        <v>285000</v>
      </c>
      <c r="Y14" s="270">
        <f t="shared" si="11"/>
        <v>285000</v>
      </c>
      <c r="Z14" s="270">
        <f t="shared" si="11"/>
        <v>318000</v>
      </c>
      <c r="AA14" s="270">
        <f>SUM(AA12:AA13)</f>
        <v>12</v>
      </c>
      <c r="AB14" s="270">
        <f>SUM(AB12:AB13)</f>
        <v>48000</v>
      </c>
      <c r="AC14" s="270">
        <f t="shared" ref="AC14:BB14" si="12">SUM(AC12:AC13)</f>
        <v>12</v>
      </c>
      <c r="AD14" s="270">
        <f t="shared" si="12"/>
        <v>48000</v>
      </c>
      <c r="AE14" s="270">
        <f t="shared" si="12"/>
        <v>12</v>
      </c>
      <c r="AF14" s="270">
        <f t="shared" si="12"/>
        <v>48000</v>
      </c>
      <c r="AG14" s="270">
        <f t="shared" si="12"/>
        <v>24</v>
      </c>
      <c r="AH14" s="270">
        <f t="shared" si="12"/>
        <v>114000</v>
      </c>
      <c r="AI14" s="270">
        <f t="shared" si="12"/>
        <v>12</v>
      </c>
      <c r="AJ14" s="270">
        <f t="shared" si="12"/>
        <v>48000</v>
      </c>
      <c r="AK14" s="270">
        <f t="shared" si="12"/>
        <v>12</v>
      </c>
      <c r="AL14" s="270">
        <f t="shared" si="12"/>
        <v>48000</v>
      </c>
      <c r="AM14" s="270">
        <f t="shared" si="12"/>
        <v>12</v>
      </c>
      <c r="AN14" s="270">
        <f t="shared" si="12"/>
        <v>48000</v>
      </c>
      <c r="AO14" s="270">
        <f t="shared" si="12"/>
        <v>24</v>
      </c>
      <c r="AP14" s="270">
        <f t="shared" si="12"/>
        <v>96000</v>
      </c>
      <c r="AQ14" s="270">
        <f t="shared" si="12"/>
        <v>12</v>
      </c>
      <c r="AR14" s="270">
        <f t="shared" si="12"/>
        <v>24000</v>
      </c>
      <c r="AS14" s="270">
        <f t="shared" si="12"/>
        <v>12</v>
      </c>
      <c r="AT14" s="270">
        <f t="shared" si="12"/>
        <v>48000</v>
      </c>
      <c r="AU14" s="270">
        <f t="shared" si="12"/>
        <v>12</v>
      </c>
      <c r="AV14" s="270">
        <f t="shared" si="12"/>
        <v>48000</v>
      </c>
      <c r="AW14" s="270">
        <f t="shared" si="12"/>
        <v>12</v>
      </c>
      <c r="AX14" s="270">
        <f t="shared" si="12"/>
        <v>48000</v>
      </c>
      <c r="AY14" s="270">
        <f t="shared" si="12"/>
        <v>12</v>
      </c>
      <c r="AZ14" s="270">
        <f t="shared" si="12"/>
        <v>48000</v>
      </c>
      <c r="BA14" s="270">
        <f t="shared" si="12"/>
        <v>12</v>
      </c>
      <c r="BB14" s="270">
        <f t="shared" si="12"/>
        <v>48000</v>
      </c>
      <c r="BC14" s="270">
        <f t="shared" ref="BC14:BK14" si="13">SUM(BC12:BC13)</f>
        <v>12</v>
      </c>
      <c r="BD14" s="270">
        <f t="shared" si="13"/>
        <v>48000</v>
      </c>
      <c r="BE14" s="270">
        <f t="shared" si="13"/>
        <v>24</v>
      </c>
      <c r="BF14" s="270">
        <f t="shared" si="13"/>
        <v>192000</v>
      </c>
      <c r="BG14" s="270">
        <f t="shared" si="13"/>
        <v>12</v>
      </c>
      <c r="BH14" s="270">
        <f t="shared" si="13"/>
        <v>48000</v>
      </c>
      <c r="BI14" s="270">
        <f t="shared" si="13"/>
        <v>12</v>
      </c>
      <c r="BJ14" s="270">
        <f t="shared" si="13"/>
        <v>180000</v>
      </c>
      <c r="BK14" s="270">
        <f t="shared" si="13"/>
        <v>252</v>
      </c>
      <c r="BL14" s="270">
        <f t="shared" ref="BL14:BW14" si="14">SUM(BL12:BL13)</f>
        <v>1230000</v>
      </c>
      <c r="BM14" s="270"/>
      <c r="BN14" s="270">
        <f t="shared" si="14"/>
        <v>0</v>
      </c>
      <c r="BO14" s="270">
        <f t="shared" si="14"/>
        <v>0</v>
      </c>
      <c r="BP14" s="270">
        <f t="shared" si="14"/>
        <v>1230000</v>
      </c>
      <c r="BQ14" s="270">
        <f t="shared" si="14"/>
        <v>0</v>
      </c>
      <c r="BR14" s="270">
        <f t="shared" si="14"/>
        <v>0</v>
      </c>
      <c r="BS14" s="270">
        <f t="shared" si="14"/>
        <v>1230000</v>
      </c>
      <c r="BT14" s="270">
        <f t="shared" si="14"/>
        <v>0</v>
      </c>
      <c r="BU14" s="270">
        <f t="shared" si="14"/>
        <v>0</v>
      </c>
      <c r="BV14" s="270">
        <f t="shared" si="14"/>
        <v>0</v>
      </c>
      <c r="BW14" s="270">
        <f t="shared" si="14"/>
        <v>1230000</v>
      </c>
    </row>
    <row r="15" spans="1:75" x14ac:dyDescent="0.25">
      <c r="A15" s="770"/>
      <c r="B15" s="169"/>
      <c r="C15" s="185" t="s">
        <v>354</v>
      </c>
      <c r="D15" s="213" t="s">
        <v>354</v>
      </c>
      <c r="E15" s="186"/>
      <c r="F15" s="186"/>
      <c r="G15" s="169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28"/>
      <c r="S15" s="281"/>
      <c r="T15" s="281"/>
      <c r="U15" s="281"/>
      <c r="V15" s="281"/>
      <c r="W15" s="233"/>
      <c r="X15" s="233"/>
      <c r="Y15" s="233"/>
      <c r="Z15" s="233"/>
      <c r="AA15" s="228"/>
      <c r="AB15" s="226"/>
      <c r="AC15" s="228"/>
      <c r="AD15" s="226"/>
      <c r="AE15" s="228"/>
      <c r="AF15" s="226"/>
      <c r="AG15" s="228"/>
      <c r="AH15" s="226"/>
      <c r="AI15" s="228"/>
      <c r="AJ15" s="226"/>
      <c r="AK15" s="228"/>
      <c r="AL15" s="226"/>
      <c r="AM15" s="228"/>
      <c r="AN15" s="226"/>
      <c r="AO15" s="228"/>
      <c r="AP15" s="226"/>
      <c r="AQ15" s="228"/>
      <c r="AR15" s="226"/>
      <c r="AS15" s="228"/>
      <c r="AT15" s="226"/>
      <c r="AU15" s="228"/>
      <c r="AV15" s="226"/>
      <c r="AW15" s="228"/>
      <c r="AX15" s="226"/>
      <c r="AY15" s="228"/>
      <c r="AZ15" s="226"/>
      <c r="BA15" s="228"/>
      <c r="BB15" s="226"/>
      <c r="BC15" s="228"/>
      <c r="BD15" s="226"/>
      <c r="BE15" s="228"/>
      <c r="BF15" s="226"/>
      <c r="BG15" s="228"/>
      <c r="BH15" s="226"/>
      <c r="BI15" s="228"/>
      <c r="BJ15" s="226"/>
      <c r="BK15" s="8"/>
      <c r="BL15" s="7"/>
      <c r="BM15" s="228"/>
      <c r="BO15" s="228"/>
      <c r="BP15" s="228"/>
      <c r="BQ15" s="228"/>
      <c r="BR15" s="228"/>
      <c r="BS15" s="233">
        <f t="shared" si="0"/>
        <v>0</v>
      </c>
      <c r="BT15" s="228"/>
      <c r="BU15" s="228"/>
      <c r="BV15" s="228">
        <f t="shared" si="1"/>
        <v>0</v>
      </c>
      <c r="BW15" s="233">
        <f t="shared" si="2"/>
        <v>0</v>
      </c>
    </row>
    <row r="16" spans="1:75" x14ac:dyDescent="0.25">
      <c r="A16" s="770"/>
      <c r="B16" s="586" t="s">
        <v>1157</v>
      </c>
      <c r="C16" s="213"/>
      <c r="D16" s="192" t="s">
        <v>355</v>
      </c>
      <c r="E16" s="186" t="s">
        <v>93</v>
      </c>
      <c r="F16" s="193">
        <v>10000</v>
      </c>
      <c r="G16" s="169">
        <f>BK16</f>
        <v>34</v>
      </c>
      <c r="H16" s="233">
        <f>G16*F16</f>
        <v>340000</v>
      </c>
      <c r="I16" s="233">
        <f>H16*0.2</f>
        <v>68000</v>
      </c>
      <c r="J16" s="233">
        <f>H16*0.8</f>
        <v>272000</v>
      </c>
      <c r="K16" s="233"/>
      <c r="L16" s="233"/>
      <c r="M16" s="233"/>
      <c r="N16" s="233"/>
      <c r="O16" s="233"/>
      <c r="P16" s="233"/>
      <c r="Q16" s="233"/>
      <c r="R16" s="233"/>
      <c r="S16" s="281">
        <f>G16*0.25</f>
        <v>8.5</v>
      </c>
      <c r="T16" s="281">
        <f>G16*0.25</f>
        <v>8.5</v>
      </c>
      <c r="U16" s="281">
        <f>G16*0.25</f>
        <v>8.5</v>
      </c>
      <c r="V16" s="281">
        <f>G16*0.25</f>
        <v>8.5</v>
      </c>
      <c r="W16" s="233">
        <f>S16*F16</f>
        <v>85000</v>
      </c>
      <c r="X16" s="233">
        <f>T16*F16</f>
        <v>85000</v>
      </c>
      <c r="Y16" s="233">
        <f>U16*F16</f>
        <v>85000</v>
      </c>
      <c r="Z16" s="233">
        <f>V16*F16</f>
        <v>85000</v>
      </c>
      <c r="AA16" s="228">
        <v>2</v>
      </c>
      <c r="AB16" s="226">
        <f t="shared" si="3"/>
        <v>20000</v>
      </c>
      <c r="AC16" s="228">
        <v>2</v>
      </c>
      <c r="AD16" s="226">
        <f t="shared" si="4"/>
        <v>20000</v>
      </c>
      <c r="AE16" s="228">
        <v>2</v>
      </c>
      <c r="AF16" s="226">
        <f t="shared" si="5"/>
        <v>20000</v>
      </c>
      <c r="AG16" s="228">
        <v>2</v>
      </c>
      <c r="AH16" s="226">
        <f t="shared" ref="AH16:AH33" si="15">AG16*F16</f>
        <v>20000</v>
      </c>
      <c r="AI16" s="228">
        <v>2</v>
      </c>
      <c r="AJ16" s="226">
        <f t="shared" si="6"/>
        <v>20000</v>
      </c>
      <c r="AK16" s="228">
        <v>2</v>
      </c>
      <c r="AL16" s="226">
        <f>AK16*F16</f>
        <v>20000</v>
      </c>
      <c r="AM16" s="228">
        <v>2</v>
      </c>
      <c r="AN16" s="226">
        <f t="shared" si="7"/>
        <v>20000</v>
      </c>
      <c r="AO16" s="228">
        <v>2</v>
      </c>
      <c r="AP16" s="226">
        <f>AO16*F16</f>
        <v>20000</v>
      </c>
      <c r="AQ16" s="228">
        <v>2</v>
      </c>
      <c r="AR16" s="226">
        <f t="shared" ref="AR16:AR33" si="16">AQ16*F16</f>
        <v>20000</v>
      </c>
      <c r="AS16" s="228">
        <v>2</v>
      </c>
      <c r="AT16" s="226">
        <f t="shared" si="8"/>
        <v>20000</v>
      </c>
      <c r="AU16" s="228">
        <v>2</v>
      </c>
      <c r="AV16" s="226">
        <f>AU16*F16</f>
        <v>20000</v>
      </c>
      <c r="AW16" s="228">
        <v>2</v>
      </c>
      <c r="AX16" s="226">
        <f>AW16*F16</f>
        <v>20000</v>
      </c>
      <c r="AY16" s="228">
        <v>2</v>
      </c>
      <c r="AZ16" s="226">
        <f>AY16*F16</f>
        <v>20000</v>
      </c>
      <c r="BA16" s="228">
        <v>2</v>
      </c>
      <c r="BB16" s="226">
        <f t="shared" si="9"/>
        <v>20000</v>
      </c>
      <c r="BC16" s="228">
        <v>2</v>
      </c>
      <c r="BD16" s="226">
        <f>BC16*F16</f>
        <v>20000</v>
      </c>
      <c r="BE16" s="228">
        <v>2</v>
      </c>
      <c r="BF16" s="226">
        <f>BE16*F16</f>
        <v>20000</v>
      </c>
      <c r="BG16" s="228">
        <v>2</v>
      </c>
      <c r="BH16" s="226">
        <f>BG16*F16</f>
        <v>20000</v>
      </c>
      <c r="BI16" s="228">
        <v>0</v>
      </c>
      <c r="BJ16" s="226"/>
      <c r="BK16" s="7">
        <f>AA16+AC16+AE16+AG16+AI16+AK16+AM16+AO16+AQ16+AS16+AU16+AW16+AY16+BA16+BC16+BE16+BG16+BI16</f>
        <v>34</v>
      </c>
      <c r="BL16" s="7">
        <f>AB16+AD16+AF16+AH16+AJ16+AL16+AN16+AP16+AR16+AT16+AV16+AX16+AZ16+BB16+BD16+BF16+BH16+BJ16</f>
        <v>340000</v>
      </c>
      <c r="BM16" s="629" t="s">
        <v>210</v>
      </c>
      <c r="BO16" s="228"/>
      <c r="BP16" s="233">
        <f>H16</f>
        <v>340000</v>
      </c>
      <c r="BQ16" s="228"/>
      <c r="BR16" s="228"/>
      <c r="BS16" s="233">
        <f>BO16+BP16+BQ16+BR16</f>
        <v>340000</v>
      </c>
      <c r="BT16" s="228"/>
      <c r="BU16" s="228"/>
      <c r="BV16" s="228">
        <f t="shared" si="1"/>
        <v>0</v>
      </c>
      <c r="BW16" s="233">
        <f t="shared" si="2"/>
        <v>340000</v>
      </c>
    </row>
    <row r="17" spans="1:75" x14ac:dyDescent="0.25">
      <c r="A17" s="770"/>
      <c r="B17" s="586" t="s">
        <v>1158</v>
      </c>
      <c r="C17" s="213"/>
      <c r="D17" s="192" t="s">
        <v>356</v>
      </c>
      <c r="E17" s="186" t="s">
        <v>93</v>
      </c>
      <c r="F17" s="193" t="s">
        <v>339</v>
      </c>
      <c r="G17" s="169">
        <f>BK17</f>
        <v>1</v>
      </c>
      <c r="H17" s="233">
        <f>G17*F17</f>
        <v>500000</v>
      </c>
      <c r="I17" s="233">
        <f>H17*0.2</f>
        <v>100000</v>
      </c>
      <c r="J17" s="233">
        <f>H17*0.8</f>
        <v>400000</v>
      </c>
      <c r="K17" s="233"/>
      <c r="L17" s="233"/>
      <c r="M17" s="233"/>
      <c r="N17" s="233"/>
      <c r="O17" s="233"/>
      <c r="P17" s="233"/>
      <c r="Q17" s="233"/>
      <c r="R17" s="233"/>
      <c r="S17" s="281"/>
      <c r="T17" s="281"/>
      <c r="U17" s="281">
        <f>G17</f>
        <v>1</v>
      </c>
      <c r="V17" s="281"/>
      <c r="W17" s="233">
        <f>S17*F17</f>
        <v>0</v>
      </c>
      <c r="X17" s="233">
        <f>T17*F17</f>
        <v>0</v>
      </c>
      <c r="Y17" s="233">
        <f>U17*F17</f>
        <v>500000</v>
      </c>
      <c r="Z17" s="233">
        <f>V17*F17</f>
        <v>0</v>
      </c>
      <c r="AA17" s="228"/>
      <c r="AB17" s="226">
        <f t="shared" si="3"/>
        <v>0</v>
      </c>
      <c r="AC17" s="228"/>
      <c r="AD17" s="226">
        <f t="shared" si="4"/>
        <v>0</v>
      </c>
      <c r="AE17" s="228"/>
      <c r="AF17" s="226">
        <f t="shared" si="5"/>
        <v>0</v>
      </c>
      <c r="AG17" s="228"/>
      <c r="AH17" s="226">
        <f t="shared" si="15"/>
        <v>0</v>
      </c>
      <c r="AI17" s="228"/>
      <c r="AJ17" s="226">
        <f t="shared" si="6"/>
        <v>0</v>
      </c>
      <c r="AK17" s="228"/>
      <c r="AL17" s="226"/>
      <c r="AM17" s="228"/>
      <c r="AN17" s="226">
        <f t="shared" si="7"/>
        <v>0</v>
      </c>
      <c r="AO17" s="228"/>
      <c r="AP17" s="226"/>
      <c r="AQ17" s="228"/>
      <c r="AR17" s="226">
        <f t="shared" si="16"/>
        <v>0</v>
      </c>
      <c r="AS17" s="228"/>
      <c r="AT17" s="226">
        <f t="shared" si="8"/>
        <v>0</v>
      </c>
      <c r="AU17" s="228"/>
      <c r="AV17" s="226"/>
      <c r="AW17" s="228"/>
      <c r="AX17" s="226"/>
      <c r="AY17" s="228"/>
      <c r="AZ17" s="226"/>
      <c r="BA17" s="228"/>
      <c r="BB17" s="226">
        <f t="shared" si="9"/>
        <v>0</v>
      </c>
      <c r="BC17" s="228"/>
      <c r="BD17" s="226"/>
      <c r="BE17" s="228"/>
      <c r="BF17" s="226"/>
      <c r="BG17" s="228"/>
      <c r="BH17" s="226"/>
      <c r="BI17" s="228">
        <v>1</v>
      </c>
      <c r="BJ17" s="226">
        <f>BI17*F17</f>
        <v>500000</v>
      </c>
      <c r="BK17" s="7">
        <f>AA17+AC17+AE17+AG17+AI17+AK17+AM17+AO17+AQ17+AS17+AU17+AW17+AY17+BA17+BC17+BE17+BG17+BI17</f>
        <v>1</v>
      </c>
      <c r="BL17" s="7">
        <f>AB17+AD17+AF17+AH17+AJ17+AL17+AN17+AP17+AR17+AT17+AV17+AX17+AZ17+BB17+BD17+BF17+BH17+BJ17</f>
        <v>500000</v>
      </c>
      <c r="BM17" s="629" t="s">
        <v>210</v>
      </c>
      <c r="BO17" s="228"/>
      <c r="BP17" s="233">
        <f>H17</f>
        <v>500000</v>
      </c>
      <c r="BQ17" s="228"/>
      <c r="BR17" s="228"/>
      <c r="BS17" s="233">
        <f>BO17+BP17+BQ17+BR17</f>
        <v>500000</v>
      </c>
      <c r="BT17" s="228"/>
      <c r="BU17" s="228"/>
      <c r="BV17" s="228">
        <f t="shared" si="1"/>
        <v>0</v>
      </c>
      <c r="BW17" s="233">
        <f t="shared" si="2"/>
        <v>500000</v>
      </c>
    </row>
    <row r="18" spans="1:75" s="237" customFormat="1" x14ac:dyDescent="0.25">
      <c r="A18" s="770"/>
      <c r="B18" s="207"/>
      <c r="C18" s="185" t="s">
        <v>142</v>
      </c>
      <c r="D18" s="223" t="s">
        <v>142</v>
      </c>
      <c r="E18" s="186" t="s">
        <v>111</v>
      </c>
      <c r="F18" s="193"/>
      <c r="G18" s="270">
        <f t="shared" ref="G18:BR18" si="17">SUM(G16:G17)</f>
        <v>35</v>
      </c>
      <c r="H18" s="270">
        <f t="shared" si="17"/>
        <v>840000</v>
      </c>
      <c r="I18" s="270">
        <f t="shared" si="17"/>
        <v>168000</v>
      </c>
      <c r="J18" s="270">
        <f t="shared" si="17"/>
        <v>672000</v>
      </c>
      <c r="K18" s="270">
        <f t="shared" si="17"/>
        <v>0</v>
      </c>
      <c r="L18" s="270">
        <f t="shared" si="17"/>
        <v>0</v>
      </c>
      <c r="M18" s="270">
        <f t="shared" si="17"/>
        <v>0</v>
      </c>
      <c r="N18" s="270">
        <f t="shared" si="17"/>
        <v>0</v>
      </c>
      <c r="O18" s="270">
        <f t="shared" si="17"/>
        <v>0</v>
      </c>
      <c r="P18" s="270">
        <f t="shared" si="17"/>
        <v>0</v>
      </c>
      <c r="Q18" s="270">
        <f t="shared" si="17"/>
        <v>0</v>
      </c>
      <c r="R18" s="270">
        <f t="shared" si="17"/>
        <v>0</v>
      </c>
      <c r="S18" s="270">
        <f t="shared" si="17"/>
        <v>8.5</v>
      </c>
      <c r="T18" s="270">
        <f t="shared" si="17"/>
        <v>8.5</v>
      </c>
      <c r="U18" s="270">
        <f t="shared" si="17"/>
        <v>9.5</v>
      </c>
      <c r="V18" s="270">
        <f t="shared" si="17"/>
        <v>8.5</v>
      </c>
      <c r="W18" s="270">
        <f t="shared" si="17"/>
        <v>85000</v>
      </c>
      <c r="X18" s="270">
        <f t="shared" si="17"/>
        <v>85000</v>
      </c>
      <c r="Y18" s="270">
        <f t="shared" si="17"/>
        <v>585000</v>
      </c>
      <c r="Z18" s="270">
        <f t="shared" si="17"/>
        <v>85000</v>
      </c>
      <c r="AA18" s="270">
        <f t="shared" si="17"/>
        <v>2</v>
      </c>
      <c r="AB18" s="270">
        <f t="shared" si="17"/>
        <v>20000</v>
      </c>
      <c r="AC18" s="270">
        <f t="shared" si="17"/>
        <v>2</v>
      </c>
      <c r="AD18" s="270">
        <f t="shared" si="17"/>
        <v>20000</v>
      </c>
      <c r="AE18" s="270">
        <f t="shared" si="17"/>
        <v>2</v>
      </c>
      <c r="AF18" s="270">
        <f t="shared" si="17"/>
        <v>20000</v>
      </c>
      <c r="AG18" s="270">
        <f t="shared" si="17"/>
        <v>2</v>
      </c>
      <c r="AH18" s="270">
        <f t="shared" si="17"/>
        <v>20000</v>
      </c>
      <c r="AI18" s="270">
        <f t="shared" si="17"/>
        <v>2</v>
      </c>
      <c r="AJ18" s="270">
        <f t="shared" si="17"/>
        <v>20000</v>
      </c>
      <c r="AK18" s="270">
        <f t="shared" si="17"/>
        <v>2</v>
      </c>
      <c r="AL18" s="270">
        <f t="shared" si="17"/>
        <v>20000</v>
      </c>
      <c r="AM18" s="270">
        <f t="shared" si="17"/>
        <v>2</v>
      </c>
      <c r="AN18" s="270">
        <f t="shared" si="17"/>
        <v>20000</v>
      </c>
      <c r="AO18" s="270">
        <f t="shared" si="17"/>
        <v>2</v>
      </c>
      <c r="AP18" s="270">
        <f t="shared" si="17"/>
        <v>20000</v>
      </c>
      <c r="AQ18" s="270">
        <f t="shared" si="17"/>
        <v>2</v>
      </c>
      <c r="AR18" s="270">
        <f t="shared" si="17"/>
        <v>20000</v>
      </c>
      <c r="AS18" s="270">
        <f t="shared" si="17"/>
        <v>2</v>
      </c>
      <c r="AT18" s="270">
        <f t="shared" si="17"/>
        <v>20000</v>
      </c>
      <c r="AU18" s="270">
        <f t="shared" si="17"/>
        <v>2</v>
      </c>
      <c r="AV18" s="270">
        <f t="shared" si="17"/>
        <v>20000</v>
      </c>
      <c r="AW18" s="270">
        <f t="shared" si="17"/>
        <v>2</v>
      </c>
      <c r="AX18" s="270">
        <f t="shared" si="17"/>
        <v>20000</v>
      </c>
      <c r="AY18" s="270">
        <f t="shared" si="17"/>
        <v>2</v>
      </c>
      <c r="AZ18" s="270">
        <f t="shared" si="17"/>
        <v>20000</v>
      </c>
      <c r="BA18" s="270">
        <f t="shared" si="17"/>
        <v>2</v>
      </c>
      <c r="BB18" s="270">
        <f t="shared" si="17"/>
        <v>20000</v>
      </c>
      <c r="BC18" s="270">
        <f t="shared" si="17"/>
        <v>2</v>
      </c>
      <c r="BD18" s="270">
        <f t="shared" si="17"/>
        <v>20000</v>
      </c>
      <c r="BE18" s="270">
        <f t="shared" si="17"/>
        <v>2</v>
      </c>
      <c r="BF18" s="270">
        <f t="shared" si="17"/>
        <v>20000</v>
      </c>
      <c r="BG18" s="270">
        <f t="shared" si="17"/>
        <v>2</v>
      </c>
      <c r="BH18" s="270">
        <f t="shared" si="17"/>
        <v>20000</v>
      </c>
      <c r="BI18" s="270">
        <f t="shared" si="17"/>
        <v>1</v>
      </c>
      <c r="BJ18" s="270">
        <f t="shared" si="17"/>
        <v>500000</v>
      </c>
      <c r="BK18" s="270">
        <f t="shared" si="17"/>
        <v>35</v>
      </c>
      <c r="BL18" s="270">
        <f t="shared" si="17"/>
        <v>840000</v>
      </c>
      <c r="BM18" s="270"/>
      <c r="BN18" s="270">
        <f t="shared" si="17"/>
        <v>0</v>
      </c>
      <c r="BO18" s="270">
        <f t="shared" si="17"/>
        <v>0</v>
      </c>
      <c r="BP18" s="270">
        <f t="shared" si="17"/>
        <v>840000</v>
      </c>
      <c r="BQ18" s="270">
        <f t="shared" si="17"/>
        <v>0</v>
      </c>
      <c r="BR18" s="270">
        <f t="shared" si="17"/>
        <v>0</v>
      </c>
      <c r="BS18" s="270">
        <f>SUM(BS16:BS17)</f>
        <v>840000</v>
      </c>
      <c r="BT18" s="270">
        <f>SUM(BT16:BT17)</f>
        <v>0</v>
      </c>
      <c r="BU18" s="270">
        <f>SUM(BU16:BU17)</f>
        <v>0</v>
      </c>
      <c r="BV18" s="270">
        <f>SUM(BV16:BV17)</f>
        <v>0</v>
      </c>
      <c r="BW18" s="270">
        <f>SUM(BW16:BW17)</f>
        <v>840000</v>
      </c>
    </row>
    <row r="19" spans="1:75" x14ac:dyDescent="0.25">
      <c r="A19" s="770"/>
      <c r="B19" s="169"/>
      <c r="C19" s="185" t="s">
        <v>357</v>
      </c>
      <c r="D19" s="213" t="s">
        <v>357</v>
      </c>
      <c r="E19" s="186"/>
      <c r="F19" s="186"/>
      <c r="G19" s="169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28"/>
      <c r="S19" s="281"/>
      <c r="T19" s="281"/>
      <c r="U19" s="281"/>
      <c r="V19" s="281"/>
      <c r="W19" s="233"/>
      <c r="X19" s="233"/>
      <c r="Y19" s="233"/>
      <c r="Z19" s="233"/>
      <c r="AA19" s="228"/>
      <c r="AB19" s="226">
        <f t="shared" si="3"/>
        <v>0</v>
      </c>
      <c r="AC19" s="228"/>
      <c r="AD19" s="226">
        <f t="shared" si="4"/>
        <v>0</v>
      </c>
      <c r="AE19" s="228"/>
      <c r="AF19" s="226">
        <f t="shared" si="5"/>
        <v>0</v>
      </c>
      <c r="AG19" s="228"/>
      <c r="AH19" s="226">
        <f t="shared" si="15"/>
        <v>0</v>
      </c>
      <c r="AI19" s="228"/>
      <c r="AJ19" s="226">
        <f t="shared" si="6"/>
        <v>0</v>
      </c>
      <c r="AK19" s="228"/>
      <c r="AL19" s="226"/>
      <c r="AM19" s="228"/>
      <c r="AN19" s="226" t="s">
        <v>36</v>
      </c>
      <c r="AO19" s="228"/>
      <c r="AP19" s="226"/>
      <c r="AQ19" s="228"/>
      <c r="AR19" s="226">
        <f t="shared" si="16"/>
        <v>0</v>
      </c>
      <c r="AS19" s="228"/>
      <c r="AT19" s="226">
        <f t="shared" si="8"/>
        <v>0</v>
      </c>
      <c r="AU19" s="228"/>
      <c r="AV19" s="226"/>
      <c r="AW19" s="228"/>
      <c r="AX19" s="226"/>
      <c r="AY19" s="228"/>
      <c r="AZ19" s="226"/>
      <c r="BA19" s="228"/>
      <c r="BB19" s="226">
        <f t="shared" si="9"/>
        <v>0</v>
      </c>
      <c r="BC19" s="228"/>
      <c r="BD19" s="226"/>
      <c r="BE19" s="228"/>
      <c r="BF19" s="226"/>
      <c r="BG19" s="228"/>
      <c r="BH19" s="226"/>
      <c r="BI19" s="228"/>
      <c r="BJ19" s="226"/>
      <c r="BK19" s="7">
        <f>AA19+AC19+AE19+AG19+AI19+AK19+AM19+AO19+AQ19+AS19+AU19+AW19+AY19+BA19+BC19+BE19+BG19+BI19</f>
        <v>0</v>
      </c>
      <c r="BL19" s="7"/>
      <c r="BM19" s="228"/>
      <c r="BO19" s="228"/>
      <c r="BP19" s="228"/>
      <c r="BQ19" s="228"/>
      <c r="BR19" s="228"/>
      <c r="BS19" s="233">
        <f>BO19+BP19+BQ19+BR19</f>
        <v>0</v>
      </c>
      <c r="BT19" s="228"/>
      <c r="BU19" s="228"/>
      <c r="BV19" s="228">
        <f>BT19+BU19</f>
        <v>0</v>
      </c>
      <c r="BW19" s="233">
        <f t="shared" si="2"/>
        <v>0</v>
      </c>
    </row>
    <row r="20" spans="1:75" x14ac:dyDescent="0.25">
      <c r="A20" s="770"/>
      <c r="B20" s="586" t="s">
        <v>1159</v>
      </c>
      <c r="C20" s="213"/>
      <c r="D20" s="192" t="s">
        <v>693</v>
      </c>
      <c r="E20" s="186" t="s">
        <v>16</v>
      </c>
      <c r="F20" s="200">
        <v>1000000</v>
      </c>
      <c r="G20" s="169">
        <f>BK20</f>
        <v>1</v>
      </c>
      <c r="H20" s="233">
        <f>G20*F20</f>
        <v>1000000</v>
      </c>
      <c r="I20" s="233">
        <f>H20*0.2</f>
        <v>200000</v>
      </c>
      <c r="J20" s="233">
        <f>H20*0.8</f>
        <v>800000</v>
      </c>
      <c r="K20" s="233"/>
      <c r="L20" s="233"/>
      <c r="M20" s="233"/>
      <c r="N20" s="233"/>
      <c r="O20" s="233"/>
      <c r="P20" s="233"/>
      <c r="Q20" s="233"/>
      <c r="R20" s="233"/>
      <c r="S20" s="281"/>
      <c r="T20" s="281"/>
      <c r="U20" s="281">
        <f>G20</f>
        <v>1</v>
      </c>
      <c r="V20" s="281"/>
      <c r="W20" s="233">
        <f>S20*F20</f>
        <v>0</v>
      </c>
      <c r="X20" s="233">
        <f>T20*F20</f>
        <v>0</v>
      </c>
      <c r="Y20" s="233">
        <f>U20*F20</f>
        <v>1000000</v>
      </c>
      <c r="Z20" s="233">
        <f>V20*F20</f>
        <v>0</v>
      </c>
      <c r="AA20" s="228"/>
      <c r="AB20" s="226">
        <f t="shared" si="3"/>
        <v>0</v>
      </c>
      <c r="AC20" s="228"/>
      <c r="AD20" s="226">
        <f t="shared" si="4"/>
        <v>0</v>
      </c>
      <c r="AE20" s="228"/>
      <c r="AF20" s="226">
        <f t="shared" si="5"/>
        <v>0</v>
      </c>
      <c r="AG20" s="228"/>
      <c r="AH20" s="226">
        <f t="shared" si="15"/>
        <v>0</v>
      </c>
      <c r="AI20" s="228"/>
      <c r="AJ20" s="226">
        <f t="shared" si="6"/>
        <v>0</v>
      </c>
      <c r="AK20" s="228">
        <v>0</v>
      </c>
      <c r="AL20" s="226"/>
      <c r="AM20" s="228"/>
      <c r="AN20" s="226">
        <f t="shared" si="7"/>
        <v>0</v>
      </c>
      <c r="AO20" s="228"/>
      <c r="AP20" s="226"/>
      <c r="AQ20" s="228"/>
      <c r="AR20" s="226">
        <f t="shared" si="16"/>
        <v>0</v>
      </c>
      <c r="AS20" s="228"/>
      <c r="AT20" s="226">
        <f t="shared" si="8"/>
        <v>0</v>
      </c>
      <c r="AU20" s="228"/>
      <c r="AV20" s="226"/>
      <c r="AW20" s="228"/>
      <c r="AX20" s="226"/>
      <c r="AY20" s="228"/>
      <c r="AZ20" s="226"/>
      <c r="BA20" s="228"/>
      <c r="BB20" s="226">
        <f t="shared" si="9"/>
        <v>0</v>
      </c>
      <c r="BC20" s="228"/>
      <c r="BD20" s="226"/>
      <c r="BE20" s="228"/>
      <c r="BF20" s="226"/>
      <c r="BG20" s="228"/>
      <c r="BH20" s="226"/>
      <c r="BI20" s="228">
        <v>1</v>
      </c>
      <c r="BJ20" s="226">
        <f>BI20*F20</f>
        <v>1000000</v>
      </c>
      <c r="BK20" s="7">
        <f>AA20+AC20+AE20+AG20+AI20+AK20+AM20+AO20+AQ20+AS20+AU20+AW20+AY20+BA20+BC20+BE20+BG20+BI20</f>
        <v>1</v>
      </c>
      <c r="BL20" s="7">
        <f>AB20+AD20+AF20+AH20+AJ20+AL20+AN20+AP20+AR20+AT20+AV20+AX20+AZ20+BB20+BD20+BF20+BH20+BJ20</f>
        <v>1000000</v>
      </c>
      <c r="BM20" s="629" t="s">
        <v>210</v>
      </c>
      <c r="BO20" s="228"/>
      <c r="BP20" s="233">
        <f>H20</f>
        <v>1000000</v>
      </c>
      <c r="BQ20" s="228"/>
      <c r="BR20" s="228"/>
      <c r="BS20" s="233">
        <f>BO20+BP20+BQ20+BR20</f>
        <v>1000000</v>
      </c>
      <c r="BT20" s="228"/>
      <c r="BU20" s="228"/>
      <c r="BV20" s="228">
        <f>BT20+BU20</f>
        <v>0</v>
      </c>
      <c r="BW20" s="233">
        <f t="shared" si="2"/>
        <v>1000000</v>
      </c>
    </row>
    <row r="21" spans="1:75" x14ac:dyDescent="0.25">
      <c r="A21" s="770"/>
      <c r="B21" s="586" t="s">
        <v>1160</v>
      </c>
      <c r="C21" s="213"/>
      <c r="D21" s="192" t="s">
        <v>143</v>
      </c>
      <c r="E21" s="186" t="s">
        <v>16</v>
      </c>
      <c r="F21" s="193" t="s">
        <v>363</v>
      </c>
      <c r="G21" s="169">
        <f>BK21</f>
        <v>0</v>
      </c>
      <c r="H21" s="233">
        <f>G21*F21</f>
        <v>0</v>
      </c>
      <c r="I21" s="233">
        <f>H21*0.2</f>
        <v>0</v>
      </c>
      <c r="J21" s="233">
        <f>H21*0.8</f>
        <v>0</v>
      </c>
      <c r="K21" s="233"/>
      <c r="L21" s="233"/>
      <c r="M21" s="233"/>
      <c r="N21" s="233"/>
      <c r="O21" s="233"/>
      <c r="P21" s="233"/>
      <c r="Q21" s="233"/>
      <c r="R21" s="233"/>
      <c r="S21" s="281"/>
      <c r="T21" s="281"/>
      <c r="U21" s="281">
        <f>G21</f>
        <v>0</v>
      </c>
      <c r="V21" s="281"/>
      <c r="W21" s="233">
        <f>S21*F21</f>
        <v>0</v>
      </c>
      <c r="X21" s="233">
        <f>T21*F21</f>
        <v>0</v>
      </c>
      <c r="Y21" s="233">
        <f>U21*F21</f>
        <v>0</v>
      </c>
      <c r="Z21" s="233">
        <f>V21*F21</f>
        <v>0</v>
      </c>
      <c r="AA21" s="228"/>
      <c r="AB21" s="226">
        <f t="shared" si="3"/>
        <v>0</v>
      </c>
      <c r="AC21" s="228"/>
      <c r="AD21" s="226">
        <f t="shared" si="4"/>
        <v>0</v>
      </c>
      <c r="AE21" s="228"/>
      <c r="AF21" s="226">
        <f t="shared" si="5"/>
        <v>0</v>
      </c>
      <c r="AG21" s="228"/>
      <c r="AH21" s="226">
        <f t="shared" si="15"/>
        <v>0</v>
      </c>
      <c r="AI21" s="228"/>
      <c r="AJ21" s="226">
        <f t="shared" si="6"/>
        <v>0</v>
      </c>
      <c r="AK21" s="228"/>
      <c r="AL21" s="226"/>
      <c r="AM21" s="228"/>
      <c r="AN21" s="226">
        <f t="shared" si="7"/>
        <v>0</v>
      </c>
      <c r="AO21" s="228"/>
      <c r="AP21" s="226"/>
      <c r="AQ21" s="228"/>
      <c r="AR21" s="226">
        <f t="shared" si="16"/>
        <v>0</v>
      </c>
      <c r="AS21" s="228"/>
      <c r="AT21" s="226">
        <f t="shared" si="8"/>
        <v>0</v>
      </c>
      <c r="AU21" s="228"/>
      <c r="AV21" s="226"/>
      <c r="AW21" s="228"/>
      <c r="AX21" s="226"/>
      <c r="AY21" s="228"/>
      <c r="AZ21" s="226"/>
      <c r="BA21" s="228"/>
      <c r="BB21" s="226">
        <f t="shared" si="9"/>
        <v>0</v>
      </c>
      <c r="BC21" s="228"/>
      <c r="BD21" s="226"/>
      <c r="BE21" s="228"/>
      <c r="BF21" s="226"/>
      <c r="BG21" s="228"/>
      <c r="BH21" s="226"/>
      <c r="BI21" s="228">
        <v>0</v>
      </c>
      <c r="BJ21" s="226">
        <f>BI21*F21</f>
        <v>0</v>
      </c>
      <c r="BK21" s="7">
        <f>AA21+AC21+AE21+AG21+AI21+AK21+AM21+AO21+AQ21+AS21+AU21+AW21+AY21+BA21+BC21+BE21+BG21+BI21</f>
        <v>0</v>
      </c>
      <c r="BL21" s="7">
        <f>AB21+AD21+AF21+AH21+AJ21+AL21+AN21+AP21+AR21+AT21+AV21+AX21+AZ21+BB21+BD21+BF21+BH21+BJ21</f>
        <v>0</v>
      </c>
      <c r="BM21" s="629" t="s">
        <v>210</v>
      </c>
      <c r="BO21" s="228"/>
      <c r="BP21" s="233">
        <f>H21</f>
        <v>0</v>
      </c>
      <c r="BQ21" s="228"/>
      <c r="BR21" s="228"/>
      <c r="BS21" s="233">
        <f>BO21+BP21+BQ21+BR21</f>
        <v>0</v>
      </c>
      <c r="BT21" s="228"/>
      <c r="BU21" s="228"/>
      <c r="BV21" s="228">
        <f>BT21+BU21</f>
        <v>0</v>
      </c>
      <c r="BW21" s="233">
        <f t="shared" si="2"/>
        <v>0</v>
      </c>
    </row>
    <row r="22" spans="1:75" s="237" customFormat="1" x14ac:dyDescent="0.25">
      <c r="A22" s="770"/>
      <c r="B22" s="207"/>
      <c r="C22" s="185" t="s">
        <v>144</v>
      </c>
      <c r="D22" s="223" t="s">
        <v>144</v>
      </c>
      <c r="E22" s="204" t="s">
        <v>111</v>
      </c>
      <c r="F22" s="205" t="s">
        <v>350</v>
      </c>
      <c r="G22" s="270">
        <f t="shared" ref="G22:BR22" si="18">G21+G20</f>
        <v>1</v>
      </c>
      <c r="H22" s="270">
        <f t="shared" si="18"/>
        <v>1000000</v>
      </c>
      <c r="I22" s="270">
        <f t="shared" si="18"/>
        <v>200000</v>
      </c>
      <c r="J22" s="270">
        <f t="shared" si="18"/>
        <v>800000</v>
      </c>
      <c r="K22" s="270">
        <f t="shared" si="18"/>
        <v>0</v>
      </c>
      <c r="L22" s="270">
        <f t="shared" si="18"/>
        <v>0</v>
      </c>
      <c r="M22" s="270">
        <f t="shared" si="18"/>
        <v>0</v>
      </c>
      <c r="N22" s="270">
        <f t="shared" si="18"/>
        <v>0</v>
      </c>
      <c r="O22" s="270">
        <f t="shared" si="18"/>
        <v>0</v>
      </c>
      <c r="P22" s="270">
        <f t="shared" si="18"/>
        <v>0</v>
      </c>
      <c r="Q22" s="270">
        <f t="shared" si="18"/>
        <v>0</v>
      </c>
      <c r="R22" s="270">
        <f t="shared" si="18"/>
        <v>0</v>
      </c>
      <c r="S22" s="270">
        <f t="shared" si="18"/>
        <v>0</v>
      </c>
      <c r="T22" s="270">
        <f t="shared" si="18"/>
        <v>0</v>
      </c>
      <c r="U22" s="270">
        <f t="shared" si="18"/>
        <v>1</v>
      </c>
      <c r="V22" s="270">
        <f t="shared" si="18"/>
        <v>0</v>
      </c>
      <c r="W22" s="270">
        <f t="shared" si="18"/>
        <v>0</v>
      </c>
      <c r="X22" s="270">
        <f t="shared" si="18"/>
        <v>0</v>
      </c>
      <c r="Y22" s="270">
        <f t="shared" si="18"/>
        <v>1000000</v>
      </c>
      <c r="Z22" s="270">
        <f t="shared" si="18"/>
        <v>0</v>
      </c>
      <c r="AA22" s="270">
        <f t="shared" si="18"/>
        <v>0</v>
      </c>
      <c r="AB22" s="270">
        <f t="shared" si="18"/>
        <v>0</v>
      </c>
      <c r="AC22" s="270">
        <f t="shared" si="18"/>
        <v>0</v>
      </c>
      <c r="AD22" s="270">
        <f t="shared" si="18"/>
        <v>0</v>
      </c>
      <c r="AE22" s="270">
        <f t="shared" si="18"/>
        <v>0</v>
      </c>
      <c r="AF22" s="270">
        <f t="shared" si="18"/>
        <v>0</v>
      </c>
      <c r="AG22" s="270">
        <f t="shared" si="18"/>
        <v>0</v>
      </c>
      <c r="AH22" s="270">
        <f t="shared" si="18"/>
        <v>0</v>
      </c>
      <c r="AI22" s="270">
        <f t="shared" si="18"/>
        <v>0</v>
      </c>
      <c r="AJ22" s="270">
        <f t="shared" si="18"/>
        <v>0</v>
      </c>
      <c r="AK22" s="270">
        <f t="shared" si="18"/>
        <v>0</v>
      </c>
      <c r="AL22" s="270">
        <f t="shared" si="18"/>
        <v>0</v>
      </c>
      <c r="AM22" s="270">
        <f t="shared" si="18"/>
        <v>0</v>
      </c>
      <c r="AN22" s="270">
        <f t="shared" si="18"/>
        <v>0</v>
      </c>
      <c r="AO22" s="270">
        <f t="shared" si="18"/>
        <v>0</v>
      </c>
      <c r="AP22" s="270">
        <f t="shared" si="18"/>
        <v>0</v>
      </c>
      <c r="AQ22" s="270">
        <f t="shared" si="18"/>
        <v>0</v>
      </c>
      <c r="AR22" s="270">
        <f t="shared" si="18"/>
        <v>0</v>
      </c>
      <c r="AS22" s="270">
        <f t="shared" si="18"/>
        <v>0</v>
      </c>
      <c r="AT22" s="270">
        <f t="shared" si="18"/>
        <v>0</v>
      </c>
      <c r="AU22" s="270">
        <f t="shared" si="18"/>
        <v>0</v>
      </c>
      <c r="AV22" s="270">
        <f t="shared" si="18"/>
        <v>0</v>
      </c>
      <c r="AW22" s="270">
        <f t="shared" si="18"/>
        <v>0</v>
      </c>
      <c r="AX22" s="270">
        <f t="shared" si="18"/>
        <v>0</v>
      </c>
      <c r="AY22" s="270">
        <f t="shared" si="18"/>
        <v>0</v>
      </c>
      <c r="AZ22" s="270">
        <f t="shared" si="18"/>
        <v>0</v>
      </c>
      <c r="BA22" s="270">
        <f t="shared" si="18"/>
        <v>0</v>
      </c>
      <c r="BB22" s="270">
        <f t="shared" si="18"/>
        <v>0</v>
      </c>
      <c r="BC22" s="270">
        <f t="shared" si="18"/>
        <v>0</v>
      </c>
      <c r="BD22" s="270">
        <f t="shared" si="18"/>
        <v>0</v>
      </c>
      <c r="BE22" s="270">
        <f t="shared" si="18"/>
        <v>0</v>
      </c>
      <c r="BF22" s="270">
        <f t="shared" si="18"/>
        <v>0</v>
      </c>
      <c r="BG22" s="270">
        <f t="shared" si="18"/>
        <v>0</v>
      </c>
      <c r="BH22" s="270">
        <f t="shared" si="18"/>
        <v>0</v>
      </c>
      <c r="BI22" s="270">
        <f t="shared" si="18"/>
        <v>1</v>
      </c>
      <c r="BJ22" s="270">
        <f t="shared" si="18"/>
        <v>1000000</v>
      </c>
      <c r="BK22" s="270">
        <f t="shared" si="18"/>
        <v>1</v>
      </c>
      <c r="BL22" s="270">
        <f t="shared" si="18"/>
        <v>1000000</v>
      </c>
      <c r="BM22" s="270"/>
      <c r="BN22" s="270">
        <f t="shared" si="18"/>
        <v>0</v>
      </c>
      <c r="BO22" s="270">
        <f t="shared" si="18"/>
        <v>0</v>
      </c>
      <c r="BP22" s="270">
        <f t="shared" si="18"/>
        <v>1000000</v>
      </c>
      <c r="BQ22" s="270">
        <f t="shared" si="18"/>
        <v>0</v>
      </c>
      <c r="BR22" s="270">
        <f t="shared" si="18"/>
        <v>0</v>
      </c>
      <c r="BS22" s="270">
        <f>BS21+BS20</f>
        <v>1000000</v>
      </c>
      <c r="BT22" s="270">
        <f>BT21+BT20</f>
        <v>0</v>
      </c>
      <c r="BU22" s="270">
        <f>BU21+BU20</f>
        <v>0</v>
      </c>
      <c r="BV22" s="270">
        <f>BV21+BV20</f>
        <v>0</v>
      </c>
      <c r="BW22" s="270">
        <f>BW21+BW20</f>
        <v>1000000</v>
      </c>
    </row>
    <row r="23" spans="1:75" s="237" customFormat="1" x14ac:dyDescent="0.25">
      <c r="A23" s="770"/>
      <c r="B23" s="207"/>
      <c r="C23" s="185" t="s">
        <v>358</v>
      </c>
      <c r="D23" s="223" t="s">
        <v>358</v>
      </c>
      <c r="E23" s="186"/>
      <c r="F23" s="193"/>
      <c r="G23" s="557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91"/>
      <c r="T23" s="291"/>
      <c r="U23" s="291"/>
      <c r="V23" s="291"/>
      <c r="W23" s="270"/>
      <c r="X23" s="270"/>
      <c r="Y23" s="270"/>
      <c r="Z23" s="270"/>
      <c r="AA23" s="228"/>
      <c r="AB23" s="226">
        <f t="shared" si="3"/>
        <v>0</v>
      </c>
      <c r="AC23" s="228"/>
      <c r="AD23" s="226">
        <f t="shared" si="4"/>
        <v>0</v>
      </c>
      <c r="AE23" s="228"/>
      <c r="AF23" s="226">
        <f t="shared" si="5"/>
        <v>0</v>
      </c>
      <c r="AG23" s="228"/>
      <c r="AH23" s="226">
        <f t="shared" si="15"/>
        <v>0</v>
      </c>
      <c r="AI23" s="228"/>
      <c r="AJ23" s="226">
        <f t="shared" si="6"/>
        <v>0</v>
      </c>
      <c r="AK23" s="228"/>
      <c r="AL23" s="226"/>
      <c r="AM23" s="228"/>
      <c r="AN23" s="226">
        <f t="shared" si="7"/>
        <v>0</v>
      </c>
      <c r="AO23" s="228"/>
      <c r="AP23" s="226"/>
      <c r="AQ23" s="228"/>
      <c r="AR23" s="226">
        <f t="shared" si="16"/>
        <v>0</v>
      </c>
      <c r="AS23" s="228"/>
      <c r="AT23" s="226">
        <f t="shared" si="8"/>
        <v>0</v>
      </c>
      <c r="AU23" s="228"/>
      <c r="AV23" s="226"/>
      <c r="AW23" s="228"/>
      <c r="AX23" s="226"/>
      <c r="AY23" s="228"/>
      <c r="AZ23" s="226"/>
      <c r="BA23" s="228"/>
      <c r="BB23" s="226">
        <f t="shared" si="9"/>
        <v>0</v>
      </c>
      <c r="BC23" s="228"/>
      <c r="BD23" s="226"/>
      <c r="BE23" s="228"/>
      <c r="BF23" s="226"/>
      <c r="BG23" s="228"/>
      <c r="BH23" s="226"/>
      <c r="BI23" s="228"/>
      <c r="BJ23" s="226"/>
      <c r="BK23" s="7">
        <f t="shared" ref="BK23:BL26" si="19">AA23+AC23+AE23+AG23+AI23+AK23+AM23+AO23+AQ23+AS23+AU23+AW23+AY23+BA23+BC23+BE23+BG23+BI23</f>
        <v>0</v>
      </c>
      <c r="BL23" s="7">
        <f t="shared" si="19"/>
        <v>0</v>
      </c>
      <c r="BM23" s="220"/>
      <c r="BO23" s="270"/>
      <c r="BP23" s="270"/>
      <c r="BQ23" s="270"/>
      <c r="BR23" s="270"/>
      <c r="BS23" s="270"/>
      <c r="BT23" s="270"/>
      <c r="BU23" s="270"/>
      <c r="BV23" s="270"/>
      <c r="BW23" s="270"/>
    </row>
    <row r="24" spans="1:75" x14ac:dyDescent="0.25">
      <c r="A24" s="770"/>
      <c r="B24" s="586" t="s">
        <v>1161</v>
      </c>
      <c r="C24" s="213"/>
      <c r="D24" s="192" t="s">
        <v>145</v>
      </c>
      <c r="E24" s="186" t="s">
        <v>16</v>
      </c>
      <c r="F24" s="193">
        <v>100000</v>
      </c>
      <c r="G24" s="169">
        <f>BK24</f>
        <v>0</v>
      </c>
      <c r="H24" s="438">
        <f>G24*F24</f>
        <v>0</v>
      </c>
      <c r="I24" s="438"/>
      <c r="J24" s="438"/>
      <c r="K24" s="438"/>
      <c r="L24" s="438"/>
      <c r="M24" s="438"/>
      <c r="N24" s="438"/>
      <c r="O24" s="438"/>
      <c r="P24" s="438"/>
      <c r="Q24" s="438"/>
      <c r="R24" s="437"/>
      <c r="S24" s="630"/>
      <c r="T24" s="630"/>
      <c r="U24" s="630"/>
      <c r="V24" s="630">
        <f>G24</f>
        <v>0</v>
      </c>
      <c r="W24" s="233"/>
      <c r="X24" s="233"/>
      <c r="Y24" s="233"/>
      <c r="Z24" s="233">
        <f>V24*F24</f>
        <v>0</v>
      </c>
      <c r="AA24" s="228"/>
      <c r="AB24" s="226">
        <f t="shared" si="3"/>
        <v>0</v>
      </c>
      <c r="AC24" s="228"/>
      <c r="AD24" s="226">
        <f t="shared" si="4"/>
        <v>0</v>
      </c>
      <c r="AE24" s="228"/>
      <c r="AF24" s="226">
        <f t="shared" si="5"/>
        <v>0</v>
      </c>
      <c r="AG24" s="228"/>
      <c r="AH24" s="226">
        <f t="shared" si="15"/>
        <v>0</v>
      </c>
      <c r="AI24" s="228"/>
      <c r="AJ24" s="226">
        <f t="shared" si="6"/>
        <v>0</v>
      </c>
      <c r="AK24" s="228"/>
      <c r="AL24" s="226"/>
      <c r="AM24" s="228"/>
      <c r="AN24" s="226">
        <f t="shared" si="7"/>
        <v>0</v>
      </c>
      <c r="AO24" s="228"/>
      <c r="AP24" s="226"/>
      <c r="AQ24" s="228"/>
      <c r="AR24" s="226">
        <f t="shared" si="16"/>
        <v>0</v>
      </c>
      <c r="AS24" s="228"/>
      <c r="AT24" s="226">
        <f t="shared" si="8"/>
        <v>0</v>
      </c>
      <c r="AU24" s="228"/>
      <c r="AV24" s="226"/>
      <c r="AW24" s="228"/>
      <c r="AX24" s="226"/>
      <c r="AY24" s="228"/>
      <c r="AZ24" s="226"/>
      <c r="BA24" s="228"/>
      <c r="BB24" s="226">
        <f t="shared" si="9"/>
        <v>0</v>
      </c>
      <c r="BC24" s="228"/>
      <c r="BD24" s="226"/>
      <c r="BE24" s="228"/>
      <c r="BF24" s="226"/>
      <c r="BG24" s="228"/>
      <c r="BH24" s="226"/>
      <c r="BI24" s="228">
        <v>0</v>
      </c>
      <c r="BJ24" s="226">
        <f>BI24*F24</f>
        <v>0</v>
      </c>
      <c r="BK24" s="7">
        <f t="shared" si="19"/>
        <v>0</v>
      </c>
      <c r="BL24" s="7">
        <f t="shared" si="19"/>
        <v>0</v>
      </c>
      <c r="BM24" s="228"/>
      <c r="BO24" s="228"/>
      <c r="BP24" s="228"/>
      <c r="BQ24" s="228"/>
      <c r="BR24" s="228"/>
      <c r="BS24" s="233">
        <f t="shared" ref="BS24:BS34" si="20">BO24+BP24+BQ24+BR24</f>
        <v>0</v>
      </c>
      <c r="BT24" s="228"/>
      <c r="BU24" s="228"/>
      <c r="BV24" s="228">
        <f t="shared" ref="BV24:BV32" si="21">BT24+BU24</f>
        <v>0</v>
      </c>
      <c r="BW24" s="233">
        <f t="shared" si="2"/>
        <v>0</v>
      </c>
    </row>
    <row r="25" spans="1:75" x14ac:dyDescent="0.25">
      <c r="A25" s="770"/>
      <c r="B25" s="586" t="s">
        <v>1162</v>
      </c>
      <c r="C25" s="213"/>
      <c r="D25" s="192" t="s">
        <v>146</v>
      </c>
      <c r="E25" s="186" t="s">
        <v>16</v>
      </c>
      <c r="F25" s="193" t="s">
        <v>364</v>
      </c>
      <c r="G25" s="169">
        <f>BK25</f>
        <v>0</v>
      </c>
      <c r="H25" s="438">
        <f>G25*F25</f>
        <v>0</v>
      </c>
      <c r="I25" s="233">
        <f>H25*0.2</f>
        <v>0</v>
      </c>
      <c r="J25" s="233">
        <f>H25*0.8</f>
        <v>0</v>
      </c>
      <c r="K25" s="233"/>
      <c r="L25" s="233"/>
      <c r="M25" s="233"/>
      <c r="N25" s="233"/>
      <c r="O25" s="233"/>
      <c r="P25" s="233"/>
      <c r="Q25" s="233"/>
      <c r="R25" s="233"/>
      <c r="S25" s="281"/>
      <c r="T25" s="281"/>
      <c r="U25" s="281"/>
      <c r="V25" s="630">
        <f>G25</f>
        <v>0</v>
      </c>
      <c r="W25" s="233">
        <f>S25*F25</f>
        <v>0</v>
      </c>
      <c r="X25" s="233">
        <f>T25*F25</f>
        <v>0</v>
      </c>
      <c r="Y25" s="233">
        <f>U25*F25</f>
        <v>0</v>
      </c>
      <c r="Z25" s="233">
        <f>V25*F25</f>
        <v>0</v>
      </c>
      <c r="AA25" s="228"/>
      <c r="AB25" s="226">
        <f t="shared" si="3"/>
        <v>0</v>
      </c>
      <c r="AC25" s="228"/>
      <c r="AD25" s="226">
        <f t="shared" si="4"/>
        <v>0</v>
      </c>
      <c r="AE25" s="228"/>
      <c r="AF25" s="226">
        <f t="shared" si="5"/>
        <v>0</v>
      </c>
      <c r="AG25" s="228"/>
      <c r="AH25" s="226">
        <f t="shared" si="15"/>
        <v>0</v>
      </c>
      <c r="AI25" s="228"/>
      <c r="AJ25" s="226">
        <f t="shared" si="6"/>
        <v>0</v>
      </c>
      <c r="AK25" s="228"/>
      <c r="AL25" s="226"/>
      <c r="AM25" s="228"/>
      <c r="AN25" s="226">
        <f t="shared" si="7"/>
        <v>0</v>
      </c>
      <c r="AO25" s="228"/>
      <c r="AP25" s="226"/>
      <c r="AQ25" s="228"/>
      <c r="AR25" s="226">
        <f t="shared" si="16"/>
        <v>0</v>
      </c>
      <c r="AS25" s="228"/>
      <c r="AT25" s="226">
        <f t="shared" si="8"/>
        <v>0</v>
      </c>
      <c r="AU25" s="228"/>
      <c r="AV25" s="226"/>
      <c r="AW25" s="228"/>
      <c r="AX25" s="226"/>
      <c r="AY25" s="228"/>
      <c r="AZ25" s="226"/>
      <c r="BA25" s="228"/>
      <c r="BB25" s="226">
        <f t="shared" si="9"/>
        <v>0</v>
      </c>
      <c r="BC25" s="228"/>
      <c r="BD25" s="226"/>
      <c r="BE25" s="228"/>
      <c r="BF25" s="226"/>
      <c r="BG25" s="228"/>
      <c r="BH25" s="226"/>
      <c r="BI25" s="228"/>
      <c r="BJ25" s="226">
        <f>BI25*F25</f>
        <v>0</v>
      </c>
      <c r="BK25" s="7">
        <f t="shared" si="19"/>
        <v>0</v>
      </c>
      <c r="BL25" s="7">
        <f t="shared" si="19"/>
        <v>0</v>
      </c>
      <c r="BM25" s="629" t="s">
        <v>210</v>
      </c>
      <c r="BO25" s="228"/>
      <c r="BP25" s="233">
        <f>H25</f>
        <v>0</v>
      </c>
      <c r="BQ25" s="228"/>
      <c r="BR25" s="228"/>
      <c r="BS25" s="233">
        <f t="shared" si="20"/>
        <v>0</v>
      </c>
      <c r="BT25" s="228"/>
      <c r="BU25" s="228"/>
      <c r="BV25" s="228">
        <f t="shared" si="21"/>
        <v>0</v>
      </c>
      <c r="BW25" s="233">
        <f t="shared" si="2"/>
        <v>0</v>
      </c>
    </row>
    <row r="26" spans="1:75" x14ac:dyDescent="0.25">
      <c r="A26" s="770"/>
      <c r="B26" s="586" t="s">
        <v>1163</v>
      </c>
      <c r="C26" s="213"/>
      <c r="D26" s="192" t="s">
        <v>147</v>
      </c>
      <c r="E26" s="186" t="s">
        <v>16</v>
      </c>
      <c r="F26" s="193">
        <v>100000</v>
      </c>
      <c r="G26" s="169">
        <f>BK26</f>
        <v>0</v>
      </c>
      <c r="H26" s="438">
        <f>G26*F26</f>
        <v>0</v>
      </c>
      <c r="I26" s="233">
        <f>H26*0.2</f>
        <v>0</v>
      </c>
      <c r="J26" s="233">
        <f>H26*0.8</f>
        <v>0</v>
      </c>
      <c r="K26" s="233"/>
      <c r="L26" s="233"/>
      <c r="M26" s="233"/>
      <c r="N26" s="233"/>
      <c r="O26" s="233"/>
      <c r="P26" s="233"/>
      <c r="Q26" s="233"/>
      <c r="R26" s="233"/>
      <c r="S26" s="281"/>
      <c r="T26" s="281"/>
      <c r="U26" s="281"/>
      <c r="V26" s="630">
        <f>G26</f>
        <v>0</v>
      </c>
      <c r="W26" s="233">
        <f>S26*F26</f>
        <v>0</v>
      </c>
      <c r="X26" s="233">
        <f>T26*F26</f>
        <v>0</v>
      </c>
      <c r="Y26" s="233">
        <f>U26*F26</f>
        <v>0</v>
      </c>
      <c r="Z26" s="233">
        <f>V26*F26</f>
        <v>0</v>
      </c>
      <c r="AA26" s="228"/>
      <c r="AB26" s="226">
        <f t="shared" si="3"/>
        <v>0</v>
      </c>
      <c r="AC26" s="228"/>
      <c r="AD26" s="226">
        <f t="shared" si="4"/>
        <v>0</v>
      </c>
      <c r="AE26" s="228"/>
      <c r="AF26" s="226">
        <f t="shared" si="5"/>
        <v>0</v>
      </c>
      <c r="AG26" s="228"/>
      <c r="AH26" s="226">
        <f t="shared" si="15"/>
        <v>0</v>
      </c>
      <c r="AI26" s="228"/>
      <c r="AJ26" s="226">
        <f t="shared" si="6"/>
        <v>0</v>
      </c>
      <c r="AK26" s="228"/>
      <c r="AL26" s="226"/>
      <c r="AM26" s="228"/>
      <c r="AN26" s="226">
        <f t="shared" si="7"/>
        <v>0</v>
      </c>
      <c r="AO26" s="228"/>
      <c r="AP26" s="226"/>
      <c r="AQ26" s="228"/>
      <c r="AR26" s="226">
        <f t="shared" si="16"/>
        <v>0</v>
      </c>
      <c r="AS26" s="228"/>
      <c r="AT26" s="226">
        <f t="shared" si="8"/>
        <v>0</v>
      </c>
      <c r="AU26" s="228"/>
      <c r="AV26" s="226"/>
      <c r="AW26" s="228"/>
      <c r="AX26" s="226"/>
      <c r="AY26" s="228"/>
      <c r="AZ26" s="226"/>
      <c r="BA26" s="228"/>
      <c r="BB26" s="226">
        <f t="shared" si="9"/>
        <v>0</v>
      </c>
      <c r="BC26" s="228"/>
      <c r="BD26" s="226"/>
      <c r="BE26" s="228"/>
      <c r="BF26" s="226"/>
      <c r="BG26" s="228"/>
      <c r="BH26" s="226"/>
      <c r="BI26" s="228">
        <v>0</v>
      </c>
      <c r="BJ26" s="226">
        <f>BI26*F26</f>
        <v>0</v>
      </c>
      <c r="BK26" s="7">
        <f t="shared" si="19"/>
        <v>0</v>
      </c>
      <c r="BL26" s="7">
        <f t="shared" si="19"/>
        <v>0</v>
      </c>
      <c r="BM26" s="629" t="s">
        <v>210</v>
      </c>
      <c r="BO26" s="228"/>
      <c r="BP26" s="233">
        <f>H26</f>
        <v>0</v>
      </c>
      <c r="BQ26" s="228"/>
      <c r="BR26" s="228"/>
      <c r="BS26" s="233">
        <f t="shared" si="20"/>
        <v>0</v>
      </c>
      <c r="BT26" s="228"/>
      <c r="BU26" s="228"/>
      <c r="BV26" s="228">
        <f t="shared" si="21"/>
        <v>0</v>
      </c>
      <c r="BW26" s="233">
        <f t="shared" si="2"/>
        <v>0</v>
      </c>
    </row>
    <row r="27" spans="1:75" s="237" customFormat="1" x14ac:dyDescent="0.25">
      <c r="A27" s="770"/>
      <c r="B27" s="207"/>
      <c r="C27" s="185" t="s">
        <v>148</v>
      </c>
      <c r="D27" s="223" t="s">
        <v>148</v>
      </c>
      <c r="E27" s="186" t="s">
        <v>111</v>
      </c>
      <c r="F27" s="193" t="s">
        <v>365</v>
      </c>
      <c r="G27" s="270">
        <f t="shared" ref="G27:BR27" si="22">G26+G25+G24</f>
        <v>0</v>
      </c>
      <c r="H27" s="270">
        <f t="shared" si="22"/>
        <v>0</v>
      </c>
      <c r="I27" s="270">
        <f t="shared" si="22"/>
        <v>0</v>
      </c>
      <c r="J27" s="270">
        <f t="shared" si="22"/>
        <v>0</v>
      </c>
      <c r="K27" s="270">
        <f t="shared" si="22"/>
        <v>0</v>
      </c>
      <c r="L27" s="270">
        <f t="shared" si="22"/>
        <v>0</v>
      </c>
      <c r="M27" s="270">
        <f t="shared" si="22"/>
        <v>0</v>
      </c>
      <c r="N27" s="270">
        <f t="shared" si="22"/>
        <v>0</v>
      </c>
      <c r="O27" s="270">
        <f t="shared" si="22"/>
        <v>0</v>
      </c>
      <c r="P27" s="270">
        <f t="shared" si="22"/>
        <v>0</v>
      </c>
      <c r="Q27" s="270">
        <f t="shared" si="22"/>
        <v>0</v>
      </c>
      <c r="R27" s="270">
        <f t="shared" si="22"/>
        <v>0</v>
      </c>
      <c r="S27" s="270">
        <f t="shared" si="22"/>
        <v>0</v>
      </c>
      <c r="T27" s="270">
        <f t="shared" si="22"/>
        <v>0</v>
      </c>
      <c r="U27" s="270">
        <f t="shared" si="22"/>
        <v>0</v>
      </c>
      <c r="V27" s="270">
        <f t="shared" si="22"/>
        <v>0</v>
      </c>
      <c r="W27" s="270">
        <f t="shared" si="22"/>
        <v>0</v>
      </c>
      <c r="X27" s="270">
        <f t="shared" si="22"/>
        <v>0</v>
      </c>
      <c r="Y27" s="270">
        <f t="shared" si="22"/>
        <v>0</v>
      </c>
      <c r="Z27" s="270">
        <f t="shared" si="22"/>
        <v>0</v>
      </c>
      <c r="AA27" s="270">
        <f t="shared" si="22"/>
        <v>0</v>
      </c>
      <c r="AB27" s="270">
        <f t="shared" si="22"/>
        <v>0</v>
      </c>
      <c r="AC27" s="270">
        <f t="shared" si="22"/>
        <v>0</v>
      </c>
      <c r="AD27" s="270">
        <f t="shared" si="22"/>
        <v>0</v>
      </c>
      <c r="AE27" s="270">
        <f t="shared" si="22"/>
        <v>0</v>
      </c>
      <c r="AF27" s="270">
        <f t="shared" si="22"/>
        <v>0</v>
      </c>
      <c r="AG27" s="270">
        <f t="shared" si="22"/>
        <v>0</v>
      </c>
      <c r="AH27" s="270">
        <f t="shared" si="22"/>
        <v>0</v>
      </c>
      <c r="AI27" s="270">
        <f t="shared" si="22"/>
        <v>0</v>
      </c>
      <c r="AJ27" s="270">
        <f t="shared" si="22"/>
        <v>0</v>
      </c>
      <c r="AK27" s="270">
        <f t="shared" si="22"/>
        <v>0</v>
      </c>
      <c r="AL27" s="270">
        <f t="shared" si="22"/>
        <v>0</v>
      </c>
      <c r="AM27" s="270">
        <f t="shared" si="22"/>
        <v>0</v>
      </c>
      <c r="AN27" s="270">
        <f t="shared" si="22"/>
        <v>0</v>
      </c>
      <c r="AO27" s="270">
        <f t="shared" si="22"/>
        <v>0</v>
      </c>
      <c r="AP27" s="270">
        <f t="shared" si="22"/>
        <v>0</v>
      </c>
      <c r="AQ27" s="270">
        <f t="shared" si="22"/>
        <v>0</v>
      </c>
      <c r="AR27" s="270">
        <f t="shared" si="22"/>
        <v>0</v>
      </c>
      <c r="AS27" s="270">
        <f t="shared" si="22"/>
        <v>0</v>
      </c>
      <c r="AT27" s="270">
        <f t="shared" si="22"/>
        <v>0</v>
      </c>
      <c r="AU27" s="270">
        <f t="shared" si="22"/>
        <v>0</v>
      </c>
      <c r="AV27" s="270">
        <f t="shared" si="22"/>
        <v>0</v>
      </c>
      <c r="AW27" s="270">
        <f t="shared" si="22"/>
        <v>0</v>
      </c>
      <c r="AX27" s="270">
        <f t="shared" si="22"/>
        <v>0</v>
      </c>
      <c r="AY27" s="270">
        <f t="shared" si="22"/>
        <v>0</v>
      </c>
      <c r="AZ27" s="270">
        <f t="shared" si="22"/>
        <v>0</v>
      </c>
      <c r="BA27" s="270">
        <f t="shared" si="22"/>
        <v>0</v>
      </c>
      <c r="BB27" s="270">
        <f t="shared" si="22"/>
        <v>0</v>
      </c>
      <c r="BC27" s="270">
        <f t="shared" si="22"/>
        <v>0</v>
      </c>
      <c r="BD27" s="270">
        <f t="shared" si="22"/>
        <v>0</v>
      </c>
      <c r="BE27" s="270">
        <f t="shared" si="22"/>
        <v>0</v>
      </c>
      <c r="BF27" s="270">
        <f t="shared" si="22"/>
        <v>0</v>
      </c>
      <c r="BG27" s="270">
        <f t="shared" si="22"/>
        <v>0</v>
      </c>
      <c r="BH27" s="270">
        <f t="shared" si="22"/>
        <v>0</v>
      </c>
      <c r="BI27" s="270">
        <f t="shared" si="22"/>
        <v>0</v>
      </c>
      <c r="BJ27" s="270">
        <f t="shared" si="22"/>
        <v>0</v>
      </c>
      <c r="BK27" s="270">
        <f t="shared" si="22"/>
        <v>0</v>
      </c>
      <c r="BL27" s="270">
        <f t="shared" si="22"/>
        <v>0</v>
      </c>
      <c r="BM27" s="270"/>
      <c r="BN27" s="270">
        <f t="shared" si="22"/>
        <v>0</v>
      </c>
      <c r="BO27" s="270">
        <f t="shared" si="22"/>
        <v>0</v>
      </c>
      <c r="BP27" s="270">
        <f t="shared" si="22"/>
        <v>0</v>
      </c>
      <c r="BQ27" s="270">
        <f t="shared" si="22"/>
        <v>0</v>
      </c>
      <c r="BR27" s="270">
        <f t="shared" si="22"/>
        <v>0</v>
      </c>
      <c r="BS27" s="270">
        <f>BS26+BS25+BS24</f>
        <v>0</v>
      </c>
      <c r="BT27" s="270">
        <f>BT26+BT25+BT24</f>
        <v>0</v>
      </c>
      <c r="BU27" s="270">
        <f>BU26+BU25+BU24</f>
        <v>0</v>
      </c>
      <c r="BV27" s="270">
        <f>BV26+BV25+BV24</f>
        <v>0</v>
      </c>
      <c r="BW27" s="270">
        <f>BW26+BW25+BW24</f>
        <v>0</v>
      </c>
    </row>
    <row r="28" spans="1:75" x14ac:dyDescent="0.25">
      <c r="A28" s="770"/>
      <c r="B28" s="169"/>
      <c r="C28" s="185" t="s">
        <v>359</v>
      </c>
      <c r="D28" s="223" t="s">
        <v>359</v>
      </c>
      <c r="E28" s="186"/>
      <c r="F28" s="193"/>
      <c r="G28" s="169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28"/>
      <c r="S28" s="281"/>
      <c r="T28" s="281" t="s">
        <v>36</v>
      </c>
      <c r="U28" s="281"/>
      <c r="V28" s="281"/>
      <c r="W28" s="233"/>
      <c r="X28" s="233"/>
      <c r="Y28" s="233"/>
      <c r="Z28" s="233"/>
      <c r="AA28" s="228"/>
      <c r="AB28" s="226">
        <f t="shared" si="3"/>
        <v>0</v>
      </c>
      <c r="AC28" s="228"/>
      <c r="AD28" s="226">
        <f t="shared" si="4"/>
        <v>0</v>
      </c>
      <c r="AE28" s="228"/>
      <c r="AF28" s="226">
        <f t="shared" si="5"/>
        <v>0</v>
      </c>
      <c r="AG28" s="228"/>
      <c r="AH28" s="226">
        <f t="shared" si="15"/>
        <v>0</v>
      </c>
      <c r="AI28" s="228"/>
      <c r="AJ28" s="226">
        <f t="shared" si="6"/>
        <v>0</v>
      </c>
      <c r="AK28" s="228"/>
      <c r="AL28" s="226"/>
      <c r="AM28" s="228"/>
      <c r="AN28" s="226">
        <f t="shared" si="7"/>
        <v>0</v>
      </c>
      <c r="AO28" s="228"/>
      <c r="AP28" s="226"/>
      <c r="AQ28" s="228"/>
      <c r="AR28" s="226">
        <f t="shared" si="16"/>
        <v>0</v>
      </c>
      <c r="AS28" s="228"/>
      <c r="AT28" s="226">
        <f t="shared" si="8"/>
        <v>0</v>
      </c>
      <c r="AU28" s="228"/>
      <c r="AV28" s="226"/>
      <c r="AW28" s="228"/>
      <c r="AX28" s="226"/>
      <c r="AY28" s="228"/>
      <c r="AZ28" s="226"/>
      <c r="BA28" s="228"/>
      <c r="BB28" s="226">
        <f t="shared" si="9"/>
        <v>0</v>
      </c>
      <c r="BC28" s="228"/>
      <c r="BD28" s="226"/>
      <c r="BE28" s="228"/>
      <c r="BF28" s="226"/>
      <c r="BG28" s="228"/>
      <c r="BH28" s="226"/>
      <c r="BI28" s="228"/>
      <c r="BJ28" s="226"/>
      <c r="BK28" s="7">
        <f t="shared" ref="BK28:BK33" si="23">AA28+AC28+AE28+AG28+AI28+AK28+AM28+AO28+AQ28+AS28+AU28+AW28+AY28+BA28+BC28+BE28+BG28+BI28</f>
        <v>0</v>
      </c>
      <c r="BL28" s="7">
        <f t="shared" ref="BL28:BL33" si="24">AB28+AD28+AF28+AH28+AJ28+AL28+AN28+AP28+AR28+AT28+AV28+AX28+AZ28+BB28+BD28+BF28+BH28+BJ28</f>
        <v>0</v>
      </c>
      <c r="BM28" s="228"/>
      <c r="BO28" s="228"/>
      <c r="BP28" s="228"/>
      <c r="BQ28" s="228"/>
      <c r="BR28" s="228"/>
      <c r="BS28" s="233">
        <f t="shared" si="20"/>
        <v>0</v>
      </c>
      <c r="BT28" s="228"/>
      <c r="BU28" s="228"/>
      <c r="BV28" s="228">
        <f t="shared" si="21"/>
        <v>0</v>
      </c>
      <c r="BW28" s="233">
        <f t="shared" si="2"/>
        <v>0</v>
      </c>
    </row>
    <row r="29" spans="1:75" x14ac:dyDescent="0.25">
      <c r="A29" s="770"/>
      <c r="B29" s="586" t="s">
        <v>1164</v>
      </c>
      <c r="C29" s="213"/>
      <c r="D29" s="192" t="s">
        <v>149</v>
      </c>
      <c r="E29" s="186" t="s">
        <v>16</v>
      </c>
      <c r="F29" s="193" t="s">
        <v>345</v>
      </c>
      <c r="G29" s="169">
        <f>BK29</f>
        <v>0</v>
      </c>
      <c r="H29" s="233">
        <f>G29*F29</f>
        <v>0</v>
      </c>
      <c r="I29" s="233">
        <f>H29*0.2</f>
        <v>0</v>
      </c>
      <c r="J29" s="233">
        <f>H29*0.8</f>
        <v>0</v>
      </c>
      <c r="K29" s="233"/>
      <c r="L29" s="233"/>
      <c r="M29" s="233"/>
      <c r="N29" s="233"/>
      <c r="O29" s="233"/>
      <c r="P29" s="233"/>
      <c r="Q29" s="233"/>
      <c r="R29" s="233"/>
      <c r="S29" s="281"/>
      <c r="T29" s="281"/>
      <c r="U29" s="281"/>
      <c r="V29" s="281"/>
      <c r="W29" s="233">
        <f>S29*F29</f>
        <v>0</v>
      </c>
      <c r="X29" s="233">
        <f>T29*F29</f>
        <v>0</v>
      </c>
      <c r="Y29" s="233">
        <f>U29*F29</f>
        <v>0</v>
      </c>
      <c r="Z29" s="233">
        <f>V29*F29</f>
        <v>0</v>
      </c>
      <c r="AA29" s="228"/>
      <c r="AB29" s="226">
        <f t="shared" si="3"/>
        <v>0</v>
      </c>
      <c r="AC29" s="228"/>
      <c r="AD29" s="226">
        <f t="shared" si="4"/>
        <v>0</v>
      </c>
      <c r="AE29" s="228"/>
      <c r="AF29" s="226">
        <f t="shared" si="5"/>
        <v>0</v>
      </c>
      <c r="AG29" s="228"/>
      <c r="AH29" s="226">
        <f t="shared" si="15"/>
        <v>0</v>
      </c>
      <c r="AI29" s="228"/>
      <c r="AJ29" s="226">
        <f t="shared" si="6"/>
        <v>0</v>
      </c>
      <c r="AK29" s="228"/>
      <c r="AL29" s="226"/>
      <c r="AM29" s="228"/>
      <c r="AN29" s="226">
        <f t="shared" si="7"/>
        <v>0</v>
      </c>
      <c r="AO29" s="228"/>
      <c r="AP29" s="226"/>
      <c r="AQ29" s="228"/>
      <c r="AR29" s="226">
        <f t="shared" si="16"/>
        <v>0</v>
      </c>
      <c r="AS29" s="228"/>
      <c r="AT29" s="226">
        <f t="shared" si="8"/>
        <v>0</v>
      </c>
      <c r="AU29" s="228"/>
      <c r="AV29" s="226"/>
      <c r="AW29" s="228"/>
      <c r="AX29" s="226"/>
      <c r="AY29" s="228"/>
      <c r="AZ29" s="226"/>
      <c r="BA29" s="228"/>
      <c r="BB29" s="226">
        <f t="shared" si="9"/>
        <v>0</v>
      </c>
      <c r="BC29" s="228"/>
      <c r="BD29" s="226"/>
      <c r="BE29" s="228"/>
      <c r="BF29" s="226"/>
      <c r="BG29" s="228"/>
      <c r="BH29" s="226"/>
      <c r="BI29" s="228"/>
      <c r="BJ29" s="226"/>
      <c r="BK29" s="7">
        <f t="shared" si="23"/>
        <v>0</v>
      </c>
      <c r="BL29" s="7">
        <f t="shared" si="24"/>
        <v>0</v>
      </c>
      <c r="BM29" s="629" t="s">
        <v>210</v>
      </c>
      <c r="BO29" s="228"/>
      <c r="BP29" s="233"/>
      <c r="BQ29" s="228"/>
      <c r="BR29" s="228"/>
      <c r="BS29" s="233">
        <f t="shared" si="20"/>
        <v>0</v>
      </c>
      <c r="BT29" s="228"/>
      <c r="BU29" s="228"/>
      <c r="BV29" s="228">
        <f t="shared" si="21"/>
        <v>0</v>
      </c>
      <c r="BW29" s="233">
        <f t="shared" si="2"/>
        <v>0</v>
      </c>
    </row>
    <row r="30" spans="1:75" ht="31.5" x14ac:dyDescent="0.25">
      <c r="A30" s="770"/>
      <c r="B30" s="586" t="s">
        <v>1165</v>
      </c>
      <c r="C30" s="213"/>
      <c r="D30" s="199" t="s">
        <v>360</v>
      </c>
      <c r="E30" s="186" t="s">
        <v>16</v>
      </c>
      <c r="F30" s="193">
        <v>300000</v>
      </c>
      <c r="G30" s="169">
        <f>BK30</f>
        <v>1</v>
      </c>
      <c r="H30" s="233">
        <f>G30*F30</f>
        <v>300000</v>
      </c>
      <c r="I30" s="233">
        <f>H30*0.2</f>
        <v>60000</v>
      </c>
      <c r="J30" s="233">
        <f>H30*0.8</f>
        <v>240000</v>
      </c>
      <c r="K30" s="233"/>
      <c r="L30" s="233"/>
      <c r="M30" s="233"/>
      <c r="N30" s="233"/>
      <c r="O30" s="233"/>
      <c r="P30" s="233"/>
      <c r="Q30" s="233"/>
      <c r="R30" s="233"/>
      <c r="S30" s="281"/>
      <c r="T30" s="281">
        <f>G30</f>
        <v>1</v>
      </c>
      <c r="U30" s="281"/>
      <c r="V30" s="281"/>
      <c r="W30" s="233">
        <f>S30*F30</f>
        <v>0</v>
      </c>
      <c r="X30" s="233">
        <f>T30*F30</f>
        <v>300000</v>
      </c>
      <c r="Y30" s="233">
        <f>U30*F30</f>
        <v>0</v>
      </c>
      <c r="Z30" s="233">
        <f>V30*F30</f>
        <v>0</v>
      </c>
      <c r="AA30" s="228"/>
      <c r="AB30" s="226">
        <f t="shared" si="3"/>
        <v>0</v>
      </c>
      <c r="AC30" s="228"/>
      <c r="AD30" s="226">
        <f t="shared" si="4"/>
        <v>0</v>
      </c>
      <c r="AE30" s="228"/>
      <c r="AF30" s="226">
        <f t="shared" si="5"/>
        <v>0</v>
      </c>
      <c r="AG30" s="228"/>
      <c r="AH30" s="226">
        <f t="shared" si="15"/>
        <v>0</v>
      </c>
      <c r="AI30" s="228"/>
      <c r="AJ30" s="226">
        <f t="shared" si="6"/>
        <v>0</v>
      </c>
      <c r="AK30" s="228"/>
      <c r="AL30" s="226"/>
      <c r="AM30" s="228"/>
      <c r="AN30" s="226">
        <f t="shared" si="7"/>
        <v>0</v>
      </c>
      <c r="AO30" s="228"/>
      <c r="AP30" s="226"/>
      <c r="AQ30" s="228"/>
      <c r="AR30" s="226">
        <f t="shared" si="16"/>
        <v>0</v>
      </c>
      <c r="AS30" s="228"/>
      <c r="AT30" s="226">
        <f t="shared" si="8"/>
        <v>0</v>
      </c>
      <c r="AU30" s="228"/>
      <c r="AV30" s="226"/>
      <c r="AW30" s="228"/>
      <c r="AX30" s="226"/>
      <c r="AY30" s="228"/>
      <c r="AZ30" s="226"/>
      <c r="BA30" s="228"/>
      <c r="BB30" s="226">
        <f t="shared" si="9"/>
        <v>0</v>
      </c>
      <c r="BC30" s="228"/>
      <c r="BD30" s="226"/>
      <c r="BE30" s="228"/>
      <c r="BF30" s="226"/>
      <c r="BG30" s="228"/>
      <c r="BH30" s="226"/>
      <c r="BI30" s="228">
        <v>1</v>
      </c>
      <c r="BJ30" s="226">
        <f>BI30*F30</f>
        <v>300000</v>
      </c>
      <c r="BK30" s="7">
        <f t="shared" si="23"/>
        <v>1</v>
      </c>
      <c r="BL30" s="7">
        <f t="shared" si="24"/>
        <v>300000</v>
      </c>
      <c r="BM30" s="629" t="s">
        <v>210</v>
      </c>
      <c r="BO30" s="228"/>
      <c r="BP30" s="233"/>
      <c r="BQ30" s="233">
        <f>H30</f>
        <v>300000</v>
      </c>
      <c r="BR30" s="228"/>
      <c r="BS30" s="233">
        <f t="shared" si="20"/>
        <v>300000</v>
      </c>
      <c r="BT30" s="228"/>
      <c r="BU30" s="228"/>
      <c r="BV30" s="228">
        <f t="shared" si="21"/>
        <v>0</v>
      </c>
      <c r="BW30" s="233">
        <f t="shared" si="2"/>
        <v>300000</v>
      </c>
    </row>
    <row r="31" spans="1:75" ht="31.5" x14ac:dyDescent="0.25">
      <c r="A31" s="770"/>
      <c r="B31" s="586" t="s">
        <v>1166</v>
      </c>
      <c r="C31" s="213"/>
      <c r="D31" s="199" t="s">
        <v>592</v>
      </c>
      <c r="E31" s="186" t="s">
        <v>16</v>
      </c>
      <c r="F31" s="193">
        <v>1200000</v>
      </c>
      <c r="G31" s="169">
        <f>BK31</f>
        <v>1</v>
      </c>
      <c r="H31" s="233">
        <f>G31*F31</f>
        <v>1200000</v>
      </c>
      <c r="I31" s="233">
        <f>H31*0.2</f>
        <v>240000</v>
      </c>
      <c r="J31" s="233">
        <f>H31*0.8</f>
        <v>960000</v>
      </c>
      <c r="K31" s="233"/>
      <c r="L31" s="233"/>
      <c r="M31" s="233"/>
      <c r="N31" s="233"/>
      <c r="O31" s="233"/>
      <c r="P31" s="233"/>
      <c r="Q31" s="233"/>
      <c r="R31" s="233"/>
      <c r="S31" s="630"/>
      <c r="T31" s="630">
        <v>1</v>
      </c>
      <c r="U31" s="630"/>
      <c r="V31" s="630"/>
      <c r="W31" s="233">
        <f>S31*F31</f>
        <v>0</v>
      </c>
      <c r="X31" s="233">
        <f>T31*F31</f>
        <v>1200000</v>
      </c>
      <c r="Y31" s="233">
        <f>U31*F31</f>
        <v>0</v>
      </c>
      <c r="Z31" s="233">
        <f>V31*F31</f>
        <v>0</v>
      </c>
      <c r="AA31" s="228"/>
      <c r="AB31" s="226">
        <f t="shared" si="3"/>
        <v>0</v>
      </c>
      <c r="AC31" s="228"/>
      <c r="AD31" s="226">
        <f t="shared" si="4"/>
        <v>0</v>
      </c>
      <c r="AE31" s="228"/>
      <c r="AF31" s="226">
        <f t="shared" si="5"/>
        <v>0</v>
      </c>
      <c r="AG31" s="228"/>
      <c r="AH31" s="226">
        <f t="shared" si="15"/>
        <v>0</v>
      </c>
      <c r="AI31" s="228"/>
      <c r="AJ31" s="226">
        <f t="shared" si="6"/>
        <v>0</v>
      </c>
      <c r="AK31" s="228"/>
      <c r="AL31" s="226"/>
      <c r="AM31" s="228"/>
      <c r="AN31" s="226">
        <f t="shared" si="7"/>
        <v>0</v>
      </c>
      <c r="AO31" s="228"/>
      <c r="AP31" s="226"/>
      <c r="AQ31" s="228"/>
      <c r="AR31" s="226">
        <f t="shared" si="16"/>
        <v>0</v>
      </c>
      <c r="AS31" s="228"/>
      <c r="AT31" s="226">
        <f t="shared" si="8"/>
        <v>0</v>
      </c>
      <c r="AU31" s="228"/>
      <c r="AV31" s="226"/>
      <c r="AW31" s="228"/>
      <c r="AX31" s="226"/>
      <c r="AY31" s="228"/>
      <c r="AZ31" s="226"/>
      <c r="BA31" s="228"/>
      <c r="BB31" s="226">
        <f t="shared" si="9"/>
        <v>0</v>
      </c>
      <c r="BC31" s="228"/>
      <c r="BD31" s="226"/>
      <c r="BE31" s="228"/>
      <c r="BF31" s="226"/>
      <c r="BG31" s="228"/>
      <c r="BH31" s="226"/>
      <c r="BI31" s="228">
        <v>1</v>
      </c>
      <c r="BJ31" s="226">
        <f>BI31*F31</f>
        <v>1200000</v>
      </c>
      <c r="BK31" s="7">
        <f t="shared" si="23"/>
        <v>1</v>
      </c>
      <c r="BL31" s="7">
        <f t="shared" si="24"/>
        <v>1200000</v>
      </c>
      <c r="BM31" s="629" t="s">
        <v>210</v>
      </c>
      <c r="BO31" s="228"/>
      <c r="BP31" s="233"/>
      <c r="BQ31" s="233">
        <f>H31</f>
        <v>1200000</v>
      </c>
      <c r="BR31" s="228"/>
      <c r="BS31" s="233">
        <f t="shared" si="20"/>
        <v>1200000</v>
      </c>
      <c r="BT31" s="228"/>
      <c r="BU31" s="228"/>
      <c r="BV31" s="228">
        <f t="shared" si="21"/>
        <v>0</v>
      </c>
      <c r="BW31" s="233">
        <f t="shared" si="2"/>
        <v>1200000</v>
      </c>
    </row>
    <row r="32" spans="1:75" x14ac:dyDescent="0.25">
      <c r="A32" s="770"/>
      <c r="B32" s="586" t="s">
        <v>1167</v>
      </c>
      <c r="C32" s="213"/>
      <c r="D32" s="192" t="s">
        <v>150</v>
      </c>
      <c r="E32" s="186" t="s">
        <v>65</v>
      </c>
      <c r="F32" s="494">
        <v>125000</v>
      </c>
      <c r="G32" s="169">
        <f>BK32</f>
        <v>0</v>
      </c>
      <c r="H32" s="233">
        <f>G32*F32</f>
        <v>0</v>
      </c>
      <c r="I32" s="233">
        <f>H32*0.2</f>
        <v>0</v>
      </c>
      <c r="J32" s="233">
        <f>H32*0.8</f>
        <v>0</v>
      </c>
      <c r="K32" s="233"/>
      <c r="L32" s="233"/>
      <c r="M32" s="233"/>
      <c r="N32" s="233"/>
      <c r="O32" s="233"/>
      <c r="P32" s="233"/>
      <c r="Q32" s="233"/>
      <c r="R32" s="233"/>
      <c r="S32" s="281"/>
      <c r="T32" s="281"/>
      <c r="U32" s="281"/>
      <c r="V32" s="281"/>
      <c r="W32" s="233">
        <f>S32*F32</f>
        <v>0</v>
      </c>
      <c r="X32" s="233">
        <f>T32*F32</f>
        <v>0</v>
      </c>
      <c r="Y32" s="233">
        <f>U32*F32</f>
        <v>0</v>
      </c>
      <c r="Z32" s="233">
        <f>V32*F32</f>
        <v>0</v>
      </c>
      <c r="AA32" s="228"/>
      <c r="AB32" s="226">
        <f t="shared" si="3"/>
        <v>0</v>
      </c>
      <c r="AC32" s="228"/>
      <c r="AD32" s="226">
        <f t="shared" si="4"/>
        <v>0</v>
      </c>
      <c r="AE32" s="228"/>
      <c r="AF32" s="226">
        <f t="shared" si="5"/>
        <v>0</v>
      </c>
      <c r="AG32" s="228"/>
      <c r="AH32" s="226">
        <f t="shared" si="15"/>
        <v>0</v>
      </c>
      <c r="AI32" s="228"/>
      <c r="AJ32" s="226">
        <f t="shared" si="6"/>
        <v>0</v>
      </c>
      <c r="AK32" s="228"/>
      <c r="AL32" s="226"/>
      <c r="AM32" s="228"/>
      <c r="AN32" s="226">
        <f t="shared" si="7"/>
        <v>0</v>
      </c>
      <c r="AO32" s="228"/>
      <c r="AP32" s="226"/>
      <c r="AQ32" s="228"/>
      <c r="AR32" s="226">
        <f t="shared" si="16"/>
        <v>0</v>
      </c>
      <c r="AS32" s="228"/>
      <c r="AT32" s="226">
        <f t="shared" si="8"/>
        <v>0</v>
      </c>
      <c r="AU32" s="228"/>
      <c r="AV32" s="226"/>
      <c r="AW32" s="228"/>
      <c r="AX32" s="226"/>
      <c r="AY32" s="228"/>
      <c r="AZ32" s="226"/>
      <c r="BA32" s="228"/>
      <c r="BB32" s="226">
        <f t="shared" si="9"/>
        <v>0</v>
      </c>
      <c r="BC32" s="228"/>
      <c r="BD32" s="226"/>
      <c r="BE32" s="228"/>
      <c r="BF32" s="226"/>
      <c r="BG32" s="228"/>
      <c r="BH32" s="226"/>
      <c r="BI32" s="228"/>
      <c r="BJ32" s="226">
        <f>BI32*F32</f>
        <v>0</v>
      </c>
      <c r="BK32" s="7">
        <f t="shared" si="23"/>
        <v>0</v>
      </c>
      <c r="BL32" s="7">
        <f t="shared" si="24"/>
        <v>0</v>
      </c>
      <c r="BM32" s="629" t="s">
        <v>210</v>
      </c>
      <c r="BO32" s="228"/>
      <c r="BP32" s="228"/>
      <c r="BQ32" s="233">
        <f>H32</f>
        <v>0</v>
      </c>
      <c r="BR32" s="228"/>
      <c r="BS32" s="233">
        <f t="shared" si="20"/>
        <v>0</v>
      </c>
      <c r="BT32" s="228"/>
      <c r="BU32" s="228"/>
      <c r="BV32" s="228">
        <f t="shared" si="21"/>
        <v>0</v>
      </c>
      <c r="BW32" s="233">
        <f t="shared" si="2"/>
        <v>0</v>
      </c>
    </row>
    <row r="33" spans="1:75" s="237" customFormat="1" x14ac:dyDescent="0.25">
      <c r="A33" s="770"/>
      <c r="B33" s="586" t="s">
        <v>1168</v>
      </c>
      <c r="C33" s="213"/>
      <c r="D33" s="192" t="s">
        <v>151</v>
      </c>
      <c r="E33" s="186" t="s">
        <v>16</v>
      </c>
      <c r="F33" s="224">
        <v>200000</v>
      </c>
      <c r="G33" s="169">
        <f>BK33</f>
        <v>0</v>
      </c>
      <c r="H33" s="233">
        <f>G33*F33</f>
        <v>0</v>
      </c>
      <c r="I33" s="233">
        <f>H33*0.2</f>
        <v>0</v>
      </c>
      <c r="J33" s="233">
        <f>H33*0.8</f>
        <v>0</v>
      </c>
      <c r="K33" s="233"/>
      <c r="L33" s="233"/>
      <c r="M33" s="233"/>
      <c r="N33" s="233"/>
      <c r="O33" s="233"/>
      <c r="P33" s="233"/>
      <c r="Q33" s="233"/>
      <c r="R33" s="233"/>
      <c r="S33" s="281"/>
      <c r="T33" s="281"/>
      <c r="U33" s="281">
        <v>0</v>
      </c>
      <c r="V33" s="281"/>
      <c r="W33" s="233">
        <f>SUM(W29:W32)</f>
        <v>0</v>
      </c>
      <c r="X33" s="233"/>
      <c r="Y33" s="233">
        <f>U33*F33</f>
        <v>0</v>
      </c>
      <c r="Z33" s="233">
        <f>SUM(Z29:Z32)</f>
        <v>0</v>
      </c>
      <c r="AA33" s="228"/>
      <c r="AB33" s="226">
        <f t="shared" si="3"/>
        <v>0</v>
      </c>
      <c r="AC33" s="228"/>
      <c r="AD33" s="226">
        <f t="shared" si="4"/>
        <v>0</v>
      </c>
      <c r="AE33" s="228"/>
      <c r="AF33" s="226">
        <f t="shared" si="5"/>
        <v>0</v>
      </c>
      <c r="AG33" s="228"/>
      <c r="AH33" s="226">
        <f t="shared" si="15"/>
        <v>0</v>
      </c>
      <c r="AI33" s="228"/>
      <c r="AJ33" s="226">
        <f t="shared" si="6"/>
        <v>0</v>
      </c>
      <c r="AK33" s="228"/>
      <c r="AL33" s="226"/>
      <c r="AM33" s="228"/>
      <c r="AN33" s="226">
        <f t="shared" si="7"/>
        <v>0</v>
      </c>
      <c r="AO33" s="228"/>
      <c r="AP33" s="226"/>
      <c r="AQ33" s="228"/>
      <c r="AR33" s="226">
        <f t="shared" si="16"/>
        <v>0</v>
      </c>
      <c r="AS33" s="228"/>
      <c r="AT33" s="226">
        <f t="shared" si="8"/>
        <v>0</v>
      </c>
      <c r="AU33" s="228"/>
      <c r="AV33" s="226"/>
      <c r="AW33" s="228"/>
      <c r="AX33" s="226"/>
      <c r="AY33" s="228"/>
      <c r="AZ33" s="226"/>
      <c r="BA33" s="228"/>
      <c r="BB33" s="226">
        <f t="shared" si="9"/>
        <v>0</v>
      </c>
      <c r="BC33" s="228"/>
      <c r="BD33" s="226"/>
      <c r="BE33" s="228"/>
      <c r="BF33" s="226"/>
      <c r="BG33" s="228"/>
      <c r="BH33" s="226"/>
      <c r="BI33" s="228"/>
      <c r="BJ33" s="226">
        <f>BI33*F33</f>
        <v>0</v>
      </c>
      <c r="BK33" s="7">
        <f t="shared" si="23"/>
        <v>0</v>
      </c>
      <c r="BL33" s="7">
        <f t="shared" si="24"/>
        <v>0</v>
      </c>
      <c r="BM33" s="629" t="s">
        <v>210</v>
      </c>
      <c r="BO33" s="270">
        <f t="shared" ref="BO33:BV33" si="25">SUM(BO29:BO32)</f>
        <v>0</v>
      </c>
      <c r="BP33" s="270"/>
      <c r="BQ33" s="233">
        <f>H33</f>
        <v>0</v>
      </c>
      <c r="BR33" s="270">
        <f t="shared" si="25"/>
        <v>0</v>
      </c>
      <c r="BS33" s="233">
        <f t="shared" si="20"/>
        <v>0</v>
      </c>
      <c r="BT33" s="270">
        <f t="shared" si="25"/>
        <v>0</v>
      </c>
      <c r="BU33" s="270">
        <f t="shared" si="25"/>
        <v>0</v>
      </c>
      <c r="BV33" s="270">
        <f t="shared" si="25"/>
        <v>0</v>
      </c>
      <c r="BW33" s="233">
        <f t="shared" si="2"/>
        <v>0</v>
      </c>
    </row>
    <row r="34" spans="1:75" s="237" customFormat="1" x14ac:dyDescent="0.25">
      <c r="A34" s="770"/>
      <c r="B34" s="207"/>
      <c r="C34" s="185" t="s">
        <v>115</v>
      </c>
      <c r="D34" s="223" t="s">
        <v>115</v>
      </c>
      <c r="E34" s="204" t="s">
        <v>111</v>
      </c>
      <c r="F34" s="492"/>
      <c r="G34" s="422">
        <f t="shared" ref="G34:BR34" si="26">G33+G32+G31+G30+G29</f>
        <v>2</v>
      </c>
      <c r="H34" s="561">
        <f t="shared" si="26"/>
        <v>1500000</v>
      </c>
      <c r="I34" s="561">
        <f t="shared" si="26"/>
        <v>300000</v>
      </c>
      <c r="J34" s="561">
        <f t="shared" si="26"/>
        <v>1200000</v>
      </c>
      <c r="K34" s="561">
        <f t="shared" si="26"/>
        <v>0</v>
      </c>
      <c r="L34" s="561">
        <f t="shared" si="26"/>
        <v>0</v>
      </c>
      <c r="M34" s="561">
        <f t="shared" si="26"/>
        <v>0</v>
      </c>
      <c r="N34" s="561">
        <f t="shared" si="26"/>
        <v>0</v>
      </c>
      <c r="O34" s="561">
        <f t="shared" si="26"/>
        <v>0</v>
      </c>
      <c r="P34" s="561">
        <f t="shared" si="26"/>
        <v>0</v>
      </c>
      <c r="Q34" s="561">
        <f t="shared" si="26"/>
        <v>0</v>
      </c>
      <c r="R34" s="561">
        <f t="shared" si="26"/>
        <v>0</v>
      </c>
      <c r="S34" s="561">
        <f t="shared" si="26"/>
        <v>0</v>
      </c>
      <c r="T34" s="561">
        <f t="shared" si="26"/>
        <v>2</v>
      </c>
      <c r="U34" s="561">
        <f t="shared" si="26"/>
        <v>0</v>
      </c>
      <c r="V34" s="561">
        <f t="shared" si="26"/>
        <v>0</v>
      </c>
      <c r="W34" s="561">
        <f t="shared" si="26"/>
        <v>0</v>
      </c>
      <c r="X34" s="561">
        <f t="shared" si="26"/>
        <v>1500000</v>
      </c>
      <c r="Y34" s="561">
        <f t="shared" si="26"/>
        <v>0</v>
      </c>
      <c r="Z34" s="561">
        <f t="shared" si="26"/>
        <v>0</v>
      </c>
      <c r="AA34" s="561">
        <f t="shared" si="26"/>
        <v>0</v>
      </c>
      <c r="AB34" s="561">
        <f t="shared" si="26"/>
        <v>0</v>
      </c>
      <c r="AC34" s="561">
        <f t="shared" si="26"/>
        <v>0</v>
      </c>
      <c r="AD34" s="561">
        <f t="shared" si="26"/>
        <v>0</v>
      </c>
      <c r="AE34" s="561">
        <f t="shared" si="26"/>
        <v>0</v>
      </c>
      <c r="AF34" s="561">
        <f t="shared" si="26"/>
        <v>0</v>
      </c>
      <c r="AG34" s="561">
        <f t="shared" si="26"/>
        <v>0</v>
      </c>
      <c r="AH34" s="561">
        <f t="shared" si="26"/>
        <v>0</v>
      </c>
      <c r="AI34" s="561">
        <f t="shared" si="26"/>
        <v>0</v>
      </c>
      <c r="AJ34" s="561">
        <f t="shared" si="26"/>
        <v>0</v>
      </c>
      <c r="AK34" s="561">
        <f t="shared" si="26"/>
        <v>0</v>
      </c>
      <c r="AL34" s="561">
        <f t="shared" si="26"/>
        <v>0</v>
      </c>
      <c r="AM34" s="561">
        <f t="shared" si="26"/>
        <v>0</v>
      </c>
      <c r="AN34" s="561">
        <f t="shared" si="26"/>
        <v>0</v>
      </c>
      <c r="AO34" s="561">
        <f t="shared" si="26"/>
        <v>0</v>
      </c>
      <c r="AP34" s="561">
        <f t="shared" si="26"/>
        <v>0</v>
      </c>
      <c r="AQ34" s="561">
        <f t="shared" si="26"/>
        <v>0</v>
      </c>
      <c r="AR34" s="561">
        <f t="shared" si="26"/>
        <v>0</v>
      </c>
      <c r="AS34" s="561">
        <f t="shared" si="26"/>
        <v>0</v>
      </c>
      <c r="AT34" s="561">
        <f t="shared" si="26"/>
        <v>0</v>
      </c>
      <c r="AU34" s="561">
        <f t="shared" si="26"/>
        <v>0</v>
      </c>
      <c r="AV34" s="561">
        <f t="shared" si="26"/>
        <v>0</v>
      </c>
      <c r="AW34" s="561">
        <f t="shared" si="26"/>
        <v>0</v>
      </c>
      <c r="AX34" s="561">
        <f t="shared" si="26"/>
        <v>0</v>
      </c>
      <c r="AY34" s="561">
        <f t="shared" si="26"/>
        <v>0</v>
      </c>
      <c r="AZ34" s="561">
        <f t="shared" si="26"/>
        <v>0</v>
      </c>
      <c r="BA34" s="561">
        <f t="shared" si="26"/>
        <v>0</v>
      </c>
      <c r="BB34" s="561">
        <f t="shared" si="26"/>
        <v>0</v>
      </c>
      <c r="BC34" s="561">
        <f t="shared" si="26"/>
        <v>0</v>
      </c>
      <c r="BD34" s="561">
        <f t="shared" si="26"/>
        <v>0</v>
      </c>
      <c r="BE34" s="561">
        <f t="shared" si="26"/>
        <v>0</v>
      </c>
      <c r="BF34" s="561">
        <f t="shared" si="26"/>
        <v>0</v>
      </c>
      <c r="BG34" s="561">
        <f t="shared" si="26"/>
        <v>0</v>
      </c>
      <c r="BH34" s="561">
        <f t="shared" si="26"/>
        <v>0</v>
      </c>
      <c r="BI34" s="561">
        <f t="shared" si="26"/>
        <v>2</v>
      </c>
      <c r="BJ34" s="561">
        <f t="shared" si="26"/>
        <v>1500000</v>
      </c>
      <c r="BK34" s="561">
        <f t="shared" si="26"/>
        <v>2</v>
      </c>
      <c r="BL34" s="561">
        <f t="shared" si="26"/>
        <v>1500000</v>
      </c>
      <c r="BM34" s="561"/>
      <c r="BN34" s="561">
        <f t="shared" si="26"/>
        <v>0</v>
      </c>
      <c r="BO34" s="561">
        <f t="shared" si="26"/>
        <v>0</v>
      </c>
      <c r="BP34" s="561">
        <f t="shared" si="26"/>
        <v>0</v>
      </c>
      <c r="BQ34" s="561">
        <f t="shared" si="26"/>
        <v>1500000</v>
      </c>
      <c r="BR34" s="561">
        <f t="shared" si="26"/>
        <v>0</v>
      </c>
      <c r="BS34" s="233">
        <f t="shared" si="20"/>
        <v>1500000</v>
      </c>
      <c r="BT34" s="561">
        <f>BT33+BT32+BT31+BT30+BT29</f>
        <v>0</v>
      </c>
      <c r="BU34" s="561">
        <f>BU33+BU32+BU31+BU30+BU29</f>
        <v>0</v>
      </c>
      <c r="BV34" s="561">
        <f>BV33+BV32+BV31+BV30+BV29</f>
        <v>0</v>
      </c>
      <c r="BW34" s="233">
        <f t="shared" si="2"/>
        <v>1500000</v>
      </c>
    </row>
    <row r="35" spans="1:75" s="237" customFormat="1" x14ac:dyDescent="0.2">
      <c r="A35" s="770"/>
      <c r="B35" s="207"/>
      <c r="C35" s="631" t="s">
        <v>361</v>
      </c>
      <c r="D35" s="405" t="s">
        <v>335</v>
      </c>
      <c r="E35" s="632" t="s">
        <v>64</v>
      </c>
      <c r="F35" s="633"/>
      <c r="G35" s="270">
        <f t="shared" ref="G35:BR35" si="27">G34+G27+G22+G18+G14</f>
        <v>290</v>
      </c>
      <c r="H35" s="270">
        <f t="shared" si="27"/>
        <v>4570000</v>
      </c>
      <c r="I35" s="270">
        <f t="shared" si="27"/>
        <v>914000</v>
      </c>
      <c r="J35" s="270">
        <f>J34+J27+J22+J18+J14</f>
        <v>3656000</v>
      </c>
      <c r="K35" s="270">
        <f t="shared" si="27"/>
        <v>0</v>
      </c>
      <c r="L35" s="270">
        <f t="shared" si="27"/>
        <v>0</v>
      </c>
      <c r="M35" s="270">
        <f t="shared" si="27"/>
        <v>0</v>
      </c>
      <c r="N35" s="270">
        <f t="shared" si="27"/>
        <v>0</v>
      </c>
      <c r="O35" s="270">
        <f t="shared" si="27"/>
        <v>0</v>
      </c>
      <c r="P35" s="270">
        <f t="shared" si="27"/>
        <v>0</v>
      </c>
      <c r="Q35" s="270">
        <f t="shared" si="27"/>
        <v>0</v>
      </c>
      <c r="R35" s="270">
        <f t="shared" si="27"/>
        <v>0</v>
      </c>
      <c r="S35" s="270">
        <f t="shared" si="27"/>
        <v>71.5</v>
      </c>
      <c r="T35" s="270">
        <f t="shared" si="27"/>
        <v>73.5</v>
      </c>
      <c r="U35" s="270">
        <f t="shared" si="27"/>
        <v>73.5</v>
      </c>
      <c r="V35" s="270">
        <f t="shared" si="27"/>
        <v>71.5</v>
      </c>
      <c r="W35" s="270">
        <f t="shared" si="27"/>
        <v>370000</v>
      </c>
      <c r="X35" s="270">
        <f t="shared" si="27"/>
        <v>1870000</v>
      </c>
      <c r="Y35" s="270">
        <f t="shared" si="27"/>
        <v>1870000</v>
      </c>
      <c r="Z35" s="270">
        <f t="shared" si="27"/>
        <v>403000</v>
      </c>
      <c r="AA35" s="270">
        <f t="shared" si="27"/>
        <v>14</v>
      </c>
      <c r="AB35" s="270">
        <f t="shared" si="27"/>
        <v>68000</v>
      </c>
      <c r="AC35" s="270">
        <f t="shared" si="27"/>
        <v>14</v>
      </c>
      <c r="AD35" s="270">
        <f t="shared" si="27"/>
        <v>68000</v>
      </c>
      <c r="AE35" s="270">
        <f t="shared" si="27"/>
        <v>14</v>
      </c>
      <c r="AF35" s="270">
        <f t="shared" si="27"/>
        <v>68000</v>
      </c>
      <c r="AG35" s="270">
        <f t="shared" si="27"/>
        <v>26</v>
      </c>
      <c r="AH35" s="270">
        <f t="shared" si="27"/>
        <v>134000</v>
      </c>
      <c r="AI35" s="270">
        <f t="shared" si="27"/>
        <v>14</v>
      </c>
      <c r="AJ35" s="270">
        <f t="shared" si="27"/>
        <v>68000</v>
      </c>
      <c r="AK35" s="270">
        <f t="shared" si="27"/>
        <v>14</v>
      </c>
      <c r="AL35" s="270">
        <f t="shared" si="27"/>
        <v>68000</v>
      </c>
      <c r="AM35" s="270">
        <f t="shared" si="27"/>
        <v>14</v>
      </c>
      <c r="AN35" s="270">
        <f t="shared" si="27"/>
        <v>68000</v>
      </c>
      <c r="AO35" s="270">
        <f t="shared" si="27"/>
        <v>26</v>
      </c>
      <c r="AP35" s="270">
        <f t="shared" si="27"/>
        <v>116000</v>
      </c>
      <c r="AQ35" s="270">
        <f t="shared" si="27"/>
        <v>14</v>
      </c>
      <c r="AR35" s="270">
        <f t="shared" si="27"/>
        <v>44000</v>
      </c>
      <c r="AS35" s="270">
        <f t="shared" si="27"/>
        <v>14</v>
      </c>
      <c r="AT35" s="270">
        <f t="shared" si="27"/>
        <v>68000</v>
      </c>
      <c r="AU35" s="270">
        <f t="shared" si="27"/>
        <v>14</v>
      </c>
      <c r="AV35" s="270">
        <f t="shared" si="27"/>
        <v>68000</v>
      </c>
      <c r="AW35" s="270">
        <f t="shared" si="27"/>
        <v>14</v>
      </c>
      <c r="AX35" s="270">
        <f t="shared" si="27"/>
        <v>68000</v>
      </c>
      <c r="AY35" s="270">
        <f t="shared" si="27"/>
        <v>14</v>
      </c>
      <c r="AZ35" s="270">
        <f t="shared" si="27"/>
        <v>68000</v>
      </c>
      <c r="BA35" s="270">
        <f t="shared" si="27"/>
        <v>14</v>
      </c>
      <c r="BB35" s="270">
        <f t="shared" si="27"/>
        <v>68000</v>
      </c>
      <c r="BC35" s="270">
        <f t="shared" si="27"/>
        <v>14</v>
      </c>
      <c r="BD35" s="270">
        <f t="shared" si="27"/>
        <v>68000</v>
      </c>
      <c r="BE35" s="270">
        <f t="shared" si="27"/>
        <v>26</v>
      </c>
      <c r="BF35" s="270">
        <f t="shared" si="27"/>
        <v>212000</v>
      </c>
      <c r="BG35" s="270">
        <f t="shared" si="27"/>
        <v>14</v>
      </c>
      <c r="BH35" s="270">
        <f t="shared" si="27"/>
        <v>68000</v>
      </c>
      <c r="BI35" s="270">
        <f t="shared" si="27"/>
        <v>16</v>
      </c>
      <c r="BJ35" s="270">
        <f t="shared" si="27"/>
        <v>3180000</v>
      </c>
      <c r="BK35" s="270">
        <f t="shared" si="27"/>
        <v>290</v>
      </c>
      <c r="BL35" s="270">
        <f t="shared" si="27"/>
        <v>4570000</v>
      </c>
      <c r="BM35" s="270">
        <f t="shared" si="27"/>
        <v>0</v>
      </c>
      <c r="BN35" s="270">
        <f t="shared" si="27"/>
        <v>0</v>
      </c>
      <c r="BO35" s="270">
        <f t="shared" si="27"/>
        <v>0</v>
      </c>
      <c r="BP35" s="270">
        <f t="shared" si="27"/>
        <v>3070000</v>
      </c>
      <c r="BQ35" s="270">
        <f t="shared" si="27"/>
        <v>1500000</v>
      </c>
      <c r="BR35" s="270">
        <f t="shared" si="27"/>
        <v>0</v>
      </c>
      <c r="BS35" s="270">
        <f>BS34+BS27+BS22+BS18+BS14</f>
        <v>4570000</v>
      </c>
      <c r="BT35" s="270">
        <f>BT34+BT27+BT22+BT18+BT14</f>
        <v>0</v>
      </c>
      <c r="BU35" s="270">
        <f>BU34+BU27+BU22+BU18+BU14</f>
        <v>0</v>
      </c>
      <c r="BV35" s="270">
        <f>BV34+BV27+BV22+BV18+BV14</f>
        <v>0</v>
      </c>
      <c r="BW35" s="270">
        <f>BW34+BW27+BW22+BW18+BW14</f>
        <v>4570000</v>
      </c>
    </row>
    <row r="36" spans="1:75" x14ac:dyDescent="0.25">
      <c r="F36" s="634"/>
      <c r="H36" s="635"/>
      <c r="I36" s="635"/>
      <c r="J36" s="635"/>
      <c r="K36" s="635"/>
      <c r="L36" s="635"/>
      <c r="M36" s="635"/>
      <c r="N36" s="635"/>
      <c r="O36" s="635"/>
      <c r="P36" s="635"/>
      <c r="Q36" s="635"/>
      <c r="R36" s="634"/>
      <c r="S36" s="636"/>
      <c r="T36" s="636"/>
      <c r="U36" s="636"/>
      <c r="V36" s="636"/>
    </row>
    <row r="38" spans="1:75" x14ac:dyDescent="0.25">
      <c r="H38" s="535">
        <f>H35-BL35</f>
        <v>0</v>
      </c>
    </row>
  </sheetData>
  <mergeCells count="40">
    <mergeCell ref="BI7:BJ8"/>
    <mergeCell ref="AE7:AF8"/>
    <mergeCell ref="AY7:AZ8"/>
    <mergeCell ref="AM7:AN8"/>
    <mergeCell ref="W7:Z8"/>
    <mergeCell ref="AC7:AD8"/>
    <mergeCell ref="AQ7:AR8"/>
    <mergeCell ref="AA7:AB8"/>
    <mergeCell ref="A10:A35"/>
    <mergeCell ref="AK7:AL8"/>
    <mergeCell ref="BG7:BH8"/>
    <mergeCell ref="G8:G9"/>
    <mergeCell ref="H8:H9"/>
    <mergeCell ref="AU7:AV8"/>
    <mergeCell ref="AW7:AX8"/>
    <mergeCell ref="AG7:AH8"/>
    <mergeCell ref="AI7:AJ8"/>
    <mergeCell ref="BA7:BB8"/>
    <mergeCell ref="AO7:AP8"/>
    <mergeCell ref="A7:C7"/>
    <mergeCell ref="F7:H7"/>
    <mergeCell ref="I7:R7"/>
    <mergeCell ref="BE7:BF8"/>
    <mergeCell ref="A8:A9"/>
    <mergeCell ref="BM7:BM9"/>
    <mergeCell ref="BO8:BS8"/>
    <mergeCell ref="BT8:BV8"/>
    <mergeCell ref="BW8:BW9"/>
    <mergeCell ref="A2:B2"/>
    <mergeCell ref="C2:R2"/>
    <mergeCell ref="A3:B3"/>
    <mergeCell ref="C3:R3"/>
    <mergeCell ref="A4:B4"/>
    <mergeCell ref="C4:R4"/>
    <mergeCell ref="BK7:BL8"/>
    <mergeCell ref="B8:B9"/>
    <mergeCell ref="F8:F9"/>
    <mergeCell ref="AS7:AT8"/>
    <mergeCell ref="S7:V8"/>
    <mergeCell ref="BC7:BD8"/>
  </mergeCells>
  <phoneticPr fontId="28" type="noConversion"/>
  <pageMargins left="0.2" right="0.25" top="0.75" bottom="0.75" header="0.3" footer="0.3"/>
  <pageSetup paperSize="9" scale="17" fitToHeight="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0A45C-58AF-4D05-B61D-03297097A720}">
  <dimension ref="C2:F85"/>
  <sheetViews>
    <sheetView topLeftCell="A64" workbookViewId="0">
      <selection activeCell="C87" sqref="C87"/>
    </sheetView>
  </sheetViews>
  <sheetFormatPr defaultRowHeight="15" x14ac:dyDescent="0.25"/>
  <cols>
    <col min="3" max="3" width="47.5703125" customWidth="1"/>
    <col min="4" max="4" width="14" customWidth="1"/>
    <col min="5" max="5" width="8.140625" bestFit="1" customWidth="1"/>
    <col min="6" max="6" width="17.28515625" customWidth="1"/>
  </cols>
  <sheetData>
    <row r="2" spans="3:6" x14ac:dyDescent="0.25">
      <c r="C2" s="901" t="s">
        <v>1191</v>
      </c>
      <c r="D2" s="901"/>
      <c r="E2" s="901"/>
      <c r="F2" s="901"/>
    </row>
    <row r="3" spans="3:6" ht="30" x14ac:dyDescent="0.25">
      <c r="C3" s="675" t="s">
        <v>1169</v>
      </c>
      <c r="D3" s="675" t="s">
        <v>1170</v>
      </c>
      <c r="E3" s="675" t="s">
        <v>1171</v>
      </c>
      <c r="F3" s="675" t="s">
        <v>1172</v>
      </c>
    </row>
    <row r="4" spans="3:6" ht="30" x14ac:dyDescent="0.25">
      <c r="C4" s="676" t="str">
        <f>'1.1'!D12</f>
        <v xml:space="preserve">Exposure visit to Outside state on different themes for 5 days	</v>
      </c>
      <c r="D4" s="676" t="str">
        <f>'1.1'!E12</f>
        <v>LS</v>
      </c>
      <c r="E4" s="677">
        <f>'1.1'!G12</f>
        <v>1</v>
      </c>
      <c r="F4" s="677">
        <f>'1.1'!H12</f>
        <v>3000000</v>
      </c>
    </row>
    <row r="5" spans="3:6" ht="30" x14ac:dyDescent="0.25">
      <c r="C5" s="676" t="str">
        <f>'1.1'!D13</f>
        <v>Exposure visit to inside state on different themes for 3 days	 /b</v>
      </c>
      <c r="D5" s="676" t="str">
        <f>'1.1'!E13</f>
        <v>pers_days</v>
      </c>
      <c r="E5" s="677">
        <f>'1.1'!G13</f>
        <v>400</v>
      </c>
      <c r="F5" s="677">
        <f>'1.1'!H13</f>
        <v>400000</v>
      </c>
    </row>
    <row r="6" spans="3:6" ht="30" x14ac:dyDescent="0.25">
      <c r="C6" s="676" t="str">
        <f>'1.1'!D14</f>
        <v>State level training programme on different theme/aspects</v>
      </c>
      <c r="D6" s="676" t="str">
        <f>'1.1'!E14</f>
        <v>LS</v>
      </c>
      <c r="E6" s="677">
        <f>'1.1'!G14</f>
        <v>1</v>
      </c>
      <c r="F6" s="677">
        <f>'1.1'!H14</f>
        <v>4000000</v>
      </c>
    </row>
    <row r="7" spans="3:6" ht="30" x14ac:dyDescent="0.25">
      <c r="C7" s="676" t="str">
        <f>'1.1'!D17</f>
        <v>Exposure visit on different themes including VDC members to other programme (inter district)</v>
      </c>
      <c r="D7" s="676" t="str">
        <f>'1.1'!E17</f>
        <v>pers_days</v>
      </c>
      <c r="E7" s="677">
        <f>'1.1'!G17</f>
        <v>3201</v>
      </c>
      <c r="F7" s="677">
        <f>'1.1'!H17</f>
        <v>2560800</v>
      </c>
    </row>
    <row r="8" spans="3:6" ht="30" x14ac:dyDescent="0.25">
      <c r="C8" s="676" t="str">
        <f>'1.1'!D18</f>
        <v xml:space="preserve">Exposure Visit programme of NCs after induction training at PMU to 4 different </v>
      </c>
      <c r="D8" s="676" t="str">
        <f>'1.1'!E18</f>
        <v>LS</v>
      </c>
      <c r="E8" s="677">
        <f>'1.1'!G18</f>
        <v>0</v>
      </c>
      <c r="F8" s="677">
        <f>'1.1'!H18</f>
        <v>0</v>
      </c>
    </row>
    <row r="9" spans="3:6" ht="30" x14ac:dyDescent="0.25">
      <c r="C9" s="676" t="str">
        <f>'1.1'!D19</f>
        <v>Creche workers / SHGMembers-15 days for a year at MPA level</v>
      </c>
      <c r="D9" s="676" t="str">
        <f>'1.1'!E19</f>
        <v xml:space="preserve">Person days </v>
      </c>
      <c r="E9" s="677">
        <f>'1.1'!G19</f>
        <v>4800</v>
      </c>
      <c r="F9" s="677">
        <f>'1.1'!H19</f>
        <v>1440000</v>
      </c>
    </row>
    <row r="10" spans="3:6" ht="30" x14ac:dyDescent="0.25">
      <c r="C10" s="676" t="str">
        <f>'1.1'!D20</f>
        <v>Training / exposure to GPNA on different aspects for a period of 13 days</v>
      </c>
      <c r="D10" s="676" t="str">
        <f>'1.1'!E20</f>
        <v xml:space="preserve">Person days </v>
      </c>
      <c r="E10" s="677">
        <f>'1.1'!G20</f>
        <v>1105</v>
      </c>
      <c r="F10" s="677">
        <f>'1.1'!H20</f>
        <v>1326000</v>
      </c>
    </row>
    <row r="11" spans="3:6" ht="30" x14ac:dyDescent="0.25">
      <c r="C11" s="676" t="str">
        <f>'1.1'!D21</f>
        <v>Orientation to SHG Members on SFC / MSFC management for 4 days</v>
      </c>
      <c r="D11" s="676" t="str">
        <f>'1.1'!E21</f>
        <v>LS</v>
      </c>
      <c r="E11" s="677">
        <f>'1.1'!G21</f>
        <v>2400</v>
      </c>
      <c r="F11" s="677">
        <f>'1.1'!H21</f>
        <v>720000</v>
      </c>
    </row>
    <row r="12" spans="3:6" ht="30" x14ac:dyDescent="0.25">
      <c r="C12" s="676" t="str">
        <f>'1.1'!D23</f>
        <v>1 day Training to VDC Members on various Govt. Schemes / Programmes at MPA level</v>
      </c>
      <c r="D12" s="676" t="str">
        <f>'1.1'!E23</f>
        <v>VDC</v>
      </c>
      <c r="E12" s="677">
        <f>'1.1'!G23</f>
        <v>4448</v>
      </c>
      <c r="F12" s="677">
        <f>'1.1'!H23</f>
        <v>667200</v>
      </c>
    </row>
    <row r="13" spans="3:6" ht="30" x14ac:dyDescent="0.25">
      <c r="C13" s="676" t="str">
        <f>'1.1'!D24</f>
        <v xml:space="preserve">State level training for PRI members 2 days for 500 members </v>
      </c>
      <c r="D13" s="676" t="str">
        <f>'1.1'!E24</f>
        <v>Person</v>
      </c>
      <c r="E13" s="677">
        <f>'1.1'!G24</f>
        <v>1000</v>
      </c>
      <c r="F13" s="677">
        <f>'1.1'!H24</f>
        <v>1500000</v>
      </c>
    </row>
    <row r="14" spans="3:6" ht="30" x14ac:dyDescent="0.25">
      <c r="C14" s="676" t="str">
        <f>'1.1'!D25</f>
        <v>Various Thematic training to CRPS &amp; VDC members including AWPB, VDP, MGNREGS etc. /d</v>
      </c>
      <c r="D14" s="676" t="str">
        <f>'1.1'!E25</f>
        <v>person</v>
      </c>
      <c r="E14" s="677">
        <f>'1.1'!G25</f>
        <v>1756</v>
      </c>
      <c r="F14" s="677">
        <f>'1.1'!H25</f>
        <v>263400</v>
      </c>
    </row>
    <row r="15" spans="3:6" x14ac:dyDescent="0.25">
      <c r="C15" s="676" t="str">
        <f>'1.1'!D29</f>
        <v>Imparting ToT &amp; developing training Modules</v>
      </c>
      <c r="D15" s="676" t="str">
        <f>'1.1'!E29</f>
        <v>LS</v>
      </c>
      <c r="E15" s="677">
        <f>'1.1'!G29</f>
        <v>1</v>
      </c>
      <c r="F15" s="677">
        <f>'1.1'!H29</f>
        <v>11000000</v>
      </c>
    </row>
    <row r="16" spans="3:6" x14ac:dyDescent="0.25">
      <c r="C16" s="676" t="str">
        <f>'1.1'!D30</f>
        <v>Collaboration with ICRISAT</v>
      </c>
      <c r="D16" s="676" t="str">
        <f>'1.1'!E30</f>
        <v>LS</v>
      </c>
      <c r="E16" s="677">
        <f>'1.1'!G30</f>
        <v>1</v>
      </c>
      <c r="F16" s="677">
        <f>'1.1'!H30</f>
        <v>30000000</v>
      </c>
    </row>
    <row r="17" spans="3:6" x14ac:dyDescent="0.25">
      <c r="C17" s="676" t="str">
        <f>'1.1'!D31</f>
        <v>Knowledge Management &amp; IGA</v>
      </c>
      <c r="D17" s="676" t="str">
        <f>'1.1'!E31</f>
        <v>LS</v>
      </c>
      <c r="E17" s="677">
        <f>'1.1'!G31</f>
        <v>1</v>
      </c>
      <c r="F17" s="677">
        <f>'1.1'!H31</f>
        <v>4000000</v>
      </c>
    </row>
    <row r="18" spans="3:6" x14ac:dyDescent="0.25">
      <c r="C18" s="676" t="s">
        <v>1173</v>
      </c>
      <c r="D18" s="676" t="str">
        <f>'1.1'!E45</f>
        <v/>
      </c>
      <c r="E18" s="677">
        <f>'1.1'!G45</f>
        <v>21553</v>
      </c>
      <c r="F18" s="677">
        <f>'1.1'!H45</f>
        <v>31859300</v>
      </c>
    </row>
    <row r="19" spans="3:6" x14ac:dyDescent="0.25">
      <c r="C19" s="676" t="str">
        <f>'1.1'!D48</f>
        <v xml:space="preserve">Confidence Building Measures PVTG Villages </v>
      </c>
      <c r="D19" s="676" t="str">
        <f>'1.1'!E48</f>
        <v>village</v>
      </c>
      <c r="E19" s="677">
        <f>'1.1'!G48</f>
        <v>59</v>
      </c>
      <c r="F19" s="677">
        <f>'1.1'!H48</f>
        <v>19500000</v>
      </c>
    </row>
    <row r="20" spans="3:6" x14ac:dyDescent="0.25">
      <c r="C20" s="676" t="str">
        <f>'1.1'!D49</f>
        <v>Confidence Building Measures diffcult areas</v>
      </c>
      <c r="D20" s="676" t="str">
        <f>'1.1'!E49</f>
        <v>village</v>
      </c>
      <c r="E20" s="677">
        <f>'1.1'!G49</f>
        <v>39</v>
      </c>
      <c r="F20" s="677">
        <f>'1.1'!H49</f>
        <v>12022414</v>
      </c>
    </row>
    <row r="21" spans="3:6" x14ac:dyDescent="0.25">
      <c r="C21" s="674" t="str">
        <f>'1.1'!D51</f>
        <v xml:space="preserve">Total </v>
      </c>
      <c r="D21" s="674">
        <f>'1.1'!E51</f>
        <v>0</v>
      </c>
      <c r="E21" s="678">
        <f>SUM(E4:E20)</f>
        <v>40766</v>
      </c>
      <c r="F21" s="678">
        <f>SUM(F4:F20)</f>
        <v>124259114</v>
      </c>
    </row>
    <row r="22" spans="3:6" x14ac:dyDescent="0.25">
      <c r="C22" s="655"/>
      <c r="D22" s="655"/>
      <c r="E22" s="677"/>
      <c r="F22" s="677"/>
    </row>
    <row r="23" spans="3:6" x14ac:dyDescent="0.25">
      <c r="C23" s="676" t="str">
        <f>'1.2'!B12</f>
        <v>Promotion/Revival of SHG (incentives to CRP) (600)</v>
      </c>
      <c r="D23" s="676" t="str">
        <f>'1.2'!C12</f>
        <v>SHG</v>
      </c>
      <c r="E23" s="677">
        <f>'1.2'!E12</f>
        <v>600</v>
      </c>
      <c r="F23" s="677">
        <f>'1.2'!F12</f>
        <v>120000</v>
      </c>
    </row>
    <row r="24" spans="3:6" x14ac:dyDescent="0.25">
      <c r="C24" s="676" t="str">
        <f>'1.2'!B13</f>
        <v>Organising meeting with defunct SHG members</v>
      </c>
      <c r="D24" s="676" t="str">
        <f>'1.2'!C13</f>
        <v>Nos</v>
      </c>
      <c r="E24" s="677">
        <f>'1.2'!E13</f>
        <v>242</v>
      </c>
      <c r="F24" s="677">
        <f>'1.2'!F13</f>
        <v>242000</v>
      </c>
    </row>
    <row r="25" spans="3:6" ht="45" x14ac:dyDescent="0.25">
      <c r="C25" s="676" t="str">
        <f>'1.2'!B14</f>
        <v>Thematic exposure visits ofSHG members + CINO, RFO SM &amp; CRPs on SHG (3 visit x 17MPA x 15 members)</v>
      </c>
      <c r="D25" s="676" t="str">
        <f>'1.2'!C14</f>
        <v>Person _days</v>
      </c>
      <c r="E25" s="677">
        <f>'1.2'!E14</f>
        <v>765</v>
      </c>
      <c r="F25" s="677">
        <f>'1.2'!F14</f>
        <v>900000</v>
      </c>
    </row>
    <row r="26" spans="3:6" x14ac:dyDescent="0.25">
      <c r="C26" s="655" t="str">
        <f>'1.2'!B19</f>
        <v>1. SHG functioning</v>
      </c>
      <c r="D26" s="676" t="str">
        <f>'1.2'!C24</f>
        <v>Person _days</v>
      </c>
      <c r="E26" s="677">
        <f>'1.2'!E25</f>
        <v>7151.5</v>
      </c>
      <c r="F26" s="677">
        <f>'1.2'!F25</f>
        <v>1144125</v>
      </c>
    </row>
    <row r="27" spans="3:6" ht="30" x14ac:dyDescent="0.25">
      <c r="C27" s="676" t="str">
        <f>'1.2'!B26</f>
        <v>2. Gender Financial management with financial literacy/awreness on RF</v>
      </c>
      <c r="D27" s="676" t="str">
        <f>'1.2'!C30</f>
        <v>Person _days</v>
      </c>
      <c r="E27" s="677">
        <f>'1.2'!E32</f>
        <v>5437</v>
      </c>
      <c r="F27" s="677">
        <f>'1.2'!F32</f>
        <v>1168950</v>
      </c>
    </row>
    <row r="28" spans="3:6" x14ac:dyDescent="0.25">
      <c r="C28" s="655" t="str">
        <f>'1.2'!B37</f>
        <v>1. Functioning of CLF/GPLF /i</v>
      </c>
      <c r="D28" s="655" t="str">
        <f>'1.2'!C40</f>
        <v>person</v>
      </c>
      <c r="E28" s="677">
        <f>'1.2'!E42</f>
        <v>2324</v>
      </c>
      <c r="F28" s="677">
        <f>'1.2'!F42</f>
        <v>402150</v>
      </c>
    </row>
    <row r="29" spans="3:6" x14ac:dyDescent="0.25">
      <c r="C29" s="655" t="str">
        <f>'1.2'!B43</f>
        <v>2. GPLF building &amp; strenthening</v>
      </c>
      <c r="D29" s="676" t="str">
        <f>'1.2'!C52</f>
        <v>person_days</v>
      </c>
      <c r="E29" s="677">
        <f>'1.2'!E53</f>
        <v>7458</v>
      </c>
      <c r="F29" s="677">
        <f>'1.2'!F53</f>
        <v>5462400</v>
      </c>
    </row>
    <row r="30" spans="3:6" x14ac:dyDescent="0.25">
      <c r="C30" s="655" t="str">
        <f>'1.2'!B55</f>
        <v>Revolving Funds at GPLF Level</v>
      </c>
      <c r="D30" s="655" t="str">
        <f>'1.2'!C55</f>
        <v>LS</v>
      </c>
      <c r="E30" s="677">
        <f>'1.2'!E55</f>
        <v>646</v>
      </c>
      <c r="F30" s="677">
        <f>'1.2'!F55</f>
        <v>51680000</v>
      </c>
    </row>
    <row r="31" spans="3:6" x14ac:dyDescent="0.25">
      <c r="C31" s="655" t="str">
        <f>'1.2'!B64</f>
        <v>Late marriage incentives to girls</v>
      </c>
      <c r="D31" s="655" t="str">
        <f>'1.2'!C64</f>
        <v>person</v>
      </c>
      <c r="E31" s="677">
        <f>'1.2'!E64</f>
        <v>295</v>
      </c>
      <c r="F31" s="677">
        <f>'1.2'!F64</f>
        <v>5800000</v>
      </c>
    </row>
    <row r="32" spans="3:6" x14ac:dyDescent="0.25">
      <c r="C32" s="656" t="s">
        <v>17</v>
      </c>
      <c r="D32" s="656"/>
      <c r="E32" s="678">
        <f>SUM(E23:E31)</f>
        <v>24918.5</v>
      </c>
      <c r="F32" s="678">
        <f>SUM(F23:F31)</f>
        <v>66919625</v>
      </c>
    </row>
    <row r="33" spans="3:6" x14ac:dyDescent="0.25">
      <c r="C33" s="655"/>
      <c r="D33" s="655"/>
      <c r="E33" s="677"/>
      <c r="F33" s="677"/>
    </row>
    <row r="34" spans="3:6" ht="30" x14ac:dyDescent="0.25">
      <c r="C34" s="676" t="str">
        <f>'2.1'!C11</f>
        <v>A. Agriculture on farm Demonstration (Exposure visit)-IFAD</v>
      </c>
      <c r="D34" s="655" t="str">
        <f>'2.1'!D14</f>
        <v>person</v>
      </c>
      <c r="E34" s="677">
        <f>'2.1'!F16</f>
        <v>6300</v>
      </c>
      <c r="F34" s="677">
        <f>'2.1'!G16</f>
        <v>1457500</v>
      </c>
    </row>
    <row r="35" spans="3:6" x14ac:dyDescent="0.25">
      <c r="C35" s="655" t="str">
        <f>'2.1'!C17</f>
        <v>B. Land Rights Allocation- IFAD</v>
      </c>
      <c r="D35" s="655" t="s">
        <v>16</v>
      </c>
      <c r="E35" s="677">
        <f>'2.1'!F21</f>
        <v>206</v>
      </c>
      <c r="F35" s="677">
        <f>'2.1'!G21</f>
        <v>5340000</v>
      </c>
    </row>
    <row r="36" spans="3:6" x14ac:dyDescent="0.25">
      <c r="C36" s="655" t="str">
        <f>'2.1'!C25</f>
        <v>Land Levelling/development  - IFAD</v>
      </c>
      <c r="D36" s="655" t="str">
        <f>'2.1'!D25</f>
        <v>ha.</v>
      </c>
      <c r="E36" s="677">
        <f>'2.1'!F25</f>
        <v>608</v>
      </c>
      <c r="F36" s="677">
        <f>'2.1'!G25</f>
        <v>14332000</v>
      </c>
    </row>
    <row r="37" spans="3:6" x14ac:dyDescent="0.25">
      <c r="C37" s="655" t="str">
        <f>'2.1'!C27</f>
        <v>Land Reclamation</v>
      </c>
      <c r="D37" s="655" t="str">
        <f>'2.1'!D27</f>
        <v>ha.</v>
      </c>
      <c r="E37" s="677">
        <f>'2.1'!F27</f>
        <v>1065</v>
      </c>
      <c r="F37" s="677">
        <f>'2.1'!G27</f>
        <v>5325000</v>
      </c>
    </row>
    <row r="38" spans="3:6" x14ac:dyDescent="0.25">
      <c r="C38" s="655" t="str">
        <f>'2.1'!C28</f>
        <v>Soil Testing</v>
      </c>
      <c r="D38" s="655" t="str">
        <f>'2.1'!D28</f>
        <v>ls</v>
      </c>
      <c r="E38" s="677">
        <f>'2.1'!F28</f>
        <v>17</v>
      </c>
      <c r="F38" s="677">
        <f>'2.1'!G28</f>
        <v>850000</v>
      </c>
    </row>
    <row r="39" spans="3:6" x14ac:dyDescent="0.25">
      <c r="C39" s="655" t="str">
        <f>'2.1'!C91</f>
        <v>Pine Apple IFAD</v>
      </c>
      <c r="D39" s="655" t="str">
        <f>'2.1'!D91</f>
        <v>ha</v>
      </c>
      <c r="E39" s="677">
        <f>'2.1'!F91</f>
        <v>17</v>
      </c>
      <c r="F39" s="677">
        <f>'2.1'!G91</f>
        <v>3060000</v>
      </c>
    </row>
    <row r="40" spans="3:6" x14ac:dyDescent="0.25">
      <c r="C40" s="655" t="str">
        <f>'2.1'!C93</f>
        <v>Banana-IFAD</v>
      </c>
      <c r="D40" s="655" t="str">
        <f>'2.1'!D93</f>
        <v>ha</v>
      </c>
      <c r="E40" s="677">
        <f>'2.1'!F93</f>
        <v>30</v>
      </c>
      <c r="F40" s="677">
        <f>'2.1'!G93</f>
        <v>1380000</v>
      </c>
    </row>
    <row r="41" spans="3:6" x14ac:dyDescent="0.25">
      <c r="C41" s="655" t="str">
        <f>'2.1'!C98</f>
        <v>Drumstick-IFAD</v>
      </c>
      <c r="D41" s="655" t="str">
        <f>'2.1'!D98</f>
        <v>ha</v>
      </c>
      <c r="E41" s="677">
        <f>'2.1'!F98</f>
        <v>7</v>
      </c>
      <c r="F41" s="677">
        <f>'2.1'!G98</f>
        <v>350000</v>
      </c>
    </row>
    <row r="42" spans="3:6" x14ac:dyDescent="0.25">
      <c r="C42" s="656" t="s">
        <v>17</v>
      </c>
      <c r="D42" s="656"/>
      <c r="E42" s="678">
        <f>SUM(E34:E41)</f>
        <v>8250</v>
      </c>
      <c r="F42" s="678">
        <f>SUM(F34:F41)</f>
        <v>32094500</v>
      </c>
    </row>
    <row r="43" spans="3:6" x14ac:dyDescent="0.25">
      <c r="C43" s="655"/>
      <c r="D43" s="655"/>
      <c r="E43" s="677"/>
      <c r="F43" s="677"/>
    </row>
    <row r="44" spans="3:6" x14ac:dyDescent="0.25">
      <c r="C44" s="655" t="str">
        <f>'2.2'!D15</f>
        <v>Formation/organisation of FFS-IFAD</v>
      </c>
      <c r="D44" s="655" t="str">
        <f>'2.2'!E15</f>
        <v>FFS</v>
      </c>
      <c r="E44" s="677">
        <f>'2.2'!G15</f>
        <v>99</v>
      </c>
      <c r="F44" s="677">
        <f>'2.2'!H15</f>
        <v>990000</v>
      </c>
    </row>
    <row r="45" spans="3:6" x14ac:dyDescent="0.25">
      <c r="C45" s="655" t="str">
        <f>'2.2'!D19</f>
        <v>Nutrition needs assessment</v>
      </c>
      <c r="D45" s="655" t="str">
        <f>'2.2'!E19</f>
        <v>study</v>
      </c>
      <c r="E45" s="677">
        <f>'2.2'!G19</f>
        <v>1</v>
      </c>
      <c r="F45" s="677">
        <f>'2.2'!H19</f>
        <v>500000</v>
      </c>
    </row>
    <row r="46" spans="3:6" x14ac:dyDescent="0.25">
      <c r="C46" s="655" t="str">
        <f>'2.2'!D31</f>
        <v xml:space="preserve">Household crop development (Regular) </v>
      </c>
      <c r="D46" s="655" t="str">
        <f>'2.2'!E31</f>
        <v>farmers</v>
      </c>
      <c r="E46" s="677">
        <f>'2.2'!G31</f>
        <v>6462</v>
      </c>
      <c r="F46" s="677">
        <f>'2.2'!H31</f>
        <v>35802000</v>
      </c>
    </row>
    <row r="47" spans="3:6" x14ac:dyDescent="0.25">
      <c r="C47" s="655" t="str">
        <f>'2.2'!D32</f>
        <v xml:space="preserve">Household crop development (Mini) </v>
      </c>
      <c r="D47" s="655" t="str">
        <f>'2.2'!E32</f>
        <v>farmers</v>
      </c>
      <c r="E47" s="677">
        <f>'2.2'!G32</f>
        <v>3655</v>
      </c>
      <c r="F47" s="677">
        <f>'2.2'!H32</f>
        <v>18275000</v>
      </c>
    </row>
    <row r="48" spans="3:6" x14ac:dyDescent="0.25">
      <c r="C48" s="655" t="str">
        <f>'2.2'!D34</f>
        <v>Cereal / millets crops development -IFAD</v>
      </c>
      <c r="D48" s="655" t="s">
        <v>75</v>
      </c>
      <c r="E48" s="677">
        <f>'2.2'!G40</f>
        <v>1349</v>
      </c>
      <c r="F48" s="677">
        <f>'2.2'!H40</f>
        <v>3510000</v>
      </c>
    </row>
    <row r="49" spans="3:6" x14ac:dyDescent="0.25">
      <c r="C49" s="655" t="str">
        <f>'2.2'!D41</f>
        <v xml:space="preserve">Pulses, oilseeds, tubers development -IFAD  </v>
      </c>
      <c r="D49" s="655" t="s">
        <v>75</v>
      </c>
      <c r="E49" s="677">
        <f>'2.2'!G64</f>
        <v>1162.8699999999999</v>
      </c>
      <c r="F49" s="677">
        <f>'2.2'!H64</f>
        <v>27832147</v>
      </c>
    </row>
    <row r="50" spans="3:6" x14ac:dyDescent="0.25">
      <c r="C50" s="655" t="str">
        <f>'2.2'!D65</f>
        <v>Vegetables-IFAD</v>
      </c>
      <c r="D50" s="655" t="s">
        <v>75</v>
      </c>
      <c r="E50" s="677">
        <f>'2.2'!G82</f>
        <v>445.5</v>
      </c>
      <c r="F50" s="677">
        <f>'2.2'!H82</f>
        <v>12759500</v>
      </c>
    </row>
    <row r="51" spans="3:6" x14ac:dyDescent="0.25">
      <c r="C51" s="655" t="str">
        <f>'2.2'!D83</f>
        <v>Floricultutre,Mushroom &amp; Commercial Crop</v>
      </c>
      <c r="D51" s="655" t="s">
        <v>75</v>
      </c>
      <c r="E51" s="677">
        <f>'2.2'!G89</f>
        <v>88</v>
      </c>
      <c r="F51" s="677">
        <f>'2.2'!H89</f>
        <v>1882000</v>
      </c>
    </row>
    <row r="52" spans="3:6" ht="30" x14ac:dyDescent="0.25">
      <c r="C52" s="676" t="str">
        <f>'2.2'!D91</f>
        <v>2. Behavioural Change in COVID, Health, Nutrition, sanitation &amp; hygeine</v>
      </c>
      <c r="D52" s="676" t="str">
        <f>'2.2'!E91</f>
        <v>GP</v>
      </c>
      <c r="E52" s="679">
        <f>'2.2'!G91</f>
        <v>90</v>
      </c>
      <c r="F52" s="679">
        <f>'2.2'!H91</f>
        <v>1375000</v>
      </c>
    </row>
    <row r="53" spans="3:6" x14ac:dyDescent="0.25">
      <c r="C53" s="656" t="s">
        <v>17</v>
      </c>
      <c r="D53" s="656"/>
      <c r="E53" s="678">
        <f>SUM(E44:E52)</f>
        <v>13352.369999999999</v>
      </c>
      <c r="F53" s="678">
        <f>SUM(F44:F52)</f>
        <v>102925647</v>
      </c>
    </row>
    <row r="54" spans="3:6" x14ac:dyDescent="0.25">
      <c r="C54" s="655"/>
      <c r="D54" s="655"/>
      <c r="E54" s="677"/>
      <c r="F54" s="677"/>
    </row>
    <row r="55" spans="3:6" x14ac:dyDescent="0.25">
      <c r="C55" s="655" t="str">
        <f>'2.3'!D14</f>
        <v>Subtotal Training CSP</v>
      </c>
      <c r="D55" s="655" t="str">
        <f>'2.3'!E14</f>
        <v/>
      </c>
      <c r="E55" s="677">
        <f>'2.3'!G14</f>
        <v>3968</v>
      </c>
      <c r="F55" s="677">
        <f>'2.3'!H14</f>
        <v>2596200</v>
      </c>
    </row>
    <row r="56" spans="3:6" x14ac:dyDescent="0.25">
      <c r="C56" s="655" t="str">
        <f>'2.3'!D20</f>
        <v>Support to CSP-IGA</v>
      </c>
      <c r="D56" s="655" t="str">
        <f>'2.3'!E20</f>
        <v>CSP</v>
      </c>
      <c r="E56" s="677">
        <f>'2.3'!G20</f>
        <v>90</v>
      </c>
      <c r="F56" s="677">
        <f>'2.3'!H20</f>
        <v>4500000</v>
      </c>
    </row>
    <row r="57" spans="3:6" ht="30" x14ac:dyDescent="0.25">
      <c r="C57" s="676" t="str">
        <f>'2.3'!D35</f>
        <v xml:space="preserve">Animal health camps /User charges vaccine /fist aid mrdicine </v>
      </c>
      <c r="D57" s="655" t="str">
        <f>'2.3'!E35</f>
        <v>GP</v>
      </c>
      <c r="E57" s="677">
        <f>'2.3'!G35</f>
        <v>271</v>
      </c>
      <c r="F57" s="677">
        <f>'2.3'!H35</f>
        <v>1355000</v>
      </c>
    </row>
    <row r="58" spans="3:6" ht="45" x14ac:dyDescent="0.25">
      <c r="C58" s="676" t="str">
        <f>'2.3'!D36</f>
        <v>IGA units for poorest of poor households (Unit cost Ranging from 20,000 to 50,000 INR depending upon BDP Avg. 30,000</v>
      </c>
      <c r="D58" s="676" t="str">
        <f>'2.3'!E36</f>
        <v>household</v>
      </c>
      <c r="E58" s="679">
        <f>'2.3'!G36</f>
        <v>1300</v>
      </c>
      <c r="F58" s="679">
        <f>'2.3'!H36</f>
        <v>38302000</v>
      </c>
    </row>
    <row r="59" spans="3:6" ht="30" x14ac:dyDescent="0.25">
      <c r="C59" s="676" t="str">
        <f>'2.3'!D46</f>
        <v>Model Nursery/ Nursery/Nursery management - Working capital</v>
      </c>
      <c r="D59" s="676" t="str">
        <f>'2.3'!E46</f>
        <v>LS</v>
      </c>
      <c r="E59" s="679">
        <f>'2.3'!G46</f>
        <v>13</v>
      </c>
      <c r="F59" s="679">
        <f>'2.3'!H46</f>
        <v>650000</v>
      </c>
    </row>
    <row r="60" spans="3:6" x14ac:dyDescent="0.25">
      <c r="C60" s="655" t="str">
        <f>'2.3'!D53</f>
        <v>Small Vegtable  Cold Chamber</v>
      </c>
      <c r="D60" s="655" t="str">
        <f>'2.3'!E53</f>
        <v>No</v>
      </c>
      <c r="E60" s="677">
        <f>'2.3'!G53</f>
        <v>17</v>
      </c>
      <c r="F60" s="677">
        <f>'2.3'!H53</f>
        <v>850000</v>
      </c>
    </row>
    <row r="61" spans="3:6" x14ac:dyDescent="0.25">
      <c r="C61" s="655" t="str">
        <f>'2.3'!D55</f>
        <v>Farmers share for PVTG/STs for various items /k</v>
      </c>
      <c r="D61" s="655" t="str">
        <f>'2.3'!E55</f>
        <v>village</v>
      </c>
      <c r="E61" s="677">
        <f>'2.3'!G55</f>
        <v>381</v>
      </c>
      <c r="F61" s="677">
        <f>'2.3'!H55</f>
        <v>3810000</v>
      </c>
    </row>
    <row r="62" spans="3:6" x14ac:dyDescent="0.25">
      <c r="C62" s="655" t="str">
        <f>'2.3'!D57</f>
        <v xml:space="preserve"> Livelihoods linked Innovative activities </v>
      </c>
      <c r="D62" s="655" t="str">
        <f>'2.3'!E57</f>
        <v>per MPA</v>
      </c>
      <c r="E62" s="677">
        <f>'2.3'!G57</f>
        <v>17</v>
      </c>
      <c r="F62" s="677">
        <f>'2.3'!H57</f>
        <v>17000000</v>
      </c>
    </row>
    <row r="63" spans="3:6" x14ac:dyDescent="0.25">
      <c r="C63" s="655" t="str">
        <f>'2.3'!D61</f>
        <v>High value commercial agriculture and allied(APC)</v>
      </c>
      <c r="D63" s="655" t="str">
        <f>'2.3'!E61</f>
        <v>Nos</v>
      </c>
      <c r="E63" s="677">
        <f>'2.3'!G61</f>
        <v>156</v>
      </c>
      <c r="F63" s="677">
        <f>'2.3'!H61</f>
        <v>67909860</v>
      </c>
    </row>
    <row r="64" spans="3:6" x14ac:dyDescent="0.25">
      <c r="C64" s="655" t="str">
        <f>'2.3'!D62</f>
        <v xml:space="preserve">Solar Fecncing piloting for APC  </v>
      </c>
      <c r="D64" s="655" t="str">
        <f>'2.3'!E62</f>
        <v>Nos</v>
      </c>
      <c r="E64" s="677">
        <f>'2.3'!G62</f>
        <v>77</v>
      </c>
      <c r="F64" s="677">
        <f>'2.3'!H62</f>
        <v>4620000</v>
      </c>
    </row>
    <row r="65" spans="3:6" x14ac:dyDescent="0.25">
      <c r="C65" s="656" t="s">
        <v>17</v>
      </c>
      <c r="D65" s="656"/>
      <c r="E65" s="678">
        <f>SUM(E55:E64)</f>
        <v>6290</v>
      </c>
      <c r="F65" s="678">
        <f>SUM(F55:F64)</f>
        <v>141593060</v>
      </c>
    </row>
    <row r="66" spans="3:6" x14ac:dyDescent="0.25">
      <c r="C66" s="655"/>
      <c r="D66" s="655"/>
      <c r="E66" s="677"/>
      <c r="F66" s="677"/>
    </row>
    <row r="67" spans="3:6" x14ac:dyDescent="0.25">
      <c r="C67" s="655" t="str">
        <f>'3.1'!E14</f>
        <v>Water Purification pilot CIPET/IMMT-IFAD</v>
      </c>
      <c r="D67" s="655" t="str">
        <f>'3.1'!F14</f>
        <v>LS</v>
      </c>
      <c r="E67" s="677">
        <f>'3.1'!H14</f>
        <v>1</v>
      </c>
      <c r="F67" s="677">
        <f>'3.1'!I14</f>
        <v>1000000</v>
      </c>
    </row>
    <row r="68" spans="3:6" x14ac:dyDescent="0.25">
      <c r="C68" s="655" t="str">
        <f>'3.1'!E33</f>
        <v>Installation of Travis for Veterinary Treatment</v>
      </c>
      <c r="D68" s="655" t="str">
        <f>'3.1'!F33</f>
        <v>No</v>
      </c>
      <c r="E68" s="677">
        <f>'3.1'!H33</f>
        <v>159</v>
      </c>
      <c r="F68" s="677">
        <f>'3.1'!I33</f>
        <v>3180000</v>
      </c>
    </row>
    <row r="69" spans="3:6" x14ac:dyDescent="0.25">
      <c r="C69" s="655" t="str">
        <f>'3.1'!E41</f>
        <v>SHG worksheds for Aggregation of NTFP/SAP</v>
      </c>
      <c r="D69" s="655" t="str">
        <f>'3.1'!F41</f>
        <v>each</v>
      </c>
      <c r="E69" s="677">
        <f>'3.1'!H41</f>
        <v>80</v>
      </c>
      <c r="F69" s="677">
        <f>'3.1'!I41</f>
        <v>20000000</v>
      </c>
    </row>
    <row r="70" spans="3:6" x14ac:dyDescent="0.25">
      <c r="C70" s="655" t="str">
        <f>'3.1'!E42</f>
        <v>NTFP / SAP Drying Yard IFAD</v>
      </c>
      <c r="D70" s="655" t="str">
        <f>'3.1'!F42</f>
        <v xml:space="preserve">each </v>
      </c>
      <c r="E70" s="677">
        <f>'3.1'!H42</f>
        <v>50</v>
      </c>
      <c r="F70" s="677">
        <f>'3.1'!I42</f>
        <v>12500000</v>
      </c>
    </row>
    <row r="71" spans="3:6" x14ac:dyDescent="0.25">
      <c r="C71" s="655" t="str">
        <f>'3.1'!E43</f>
        <v>Drying Mat</v>
      </c>
      <c r="D71" s="655" t="str">
        <f>'3.1'!F43</f>
        <v>No</v>
      </c>
      <c r="E71" s="677">
        <f>'3.1'!H43</f>
        <v>251</v>
      </c>
      <c r="F71" s="677">
        <f>'3.1'!I43</f>
        <v>1995000</v>
      </c>
    </row>
    <row r="72" spans="3:6" x14ac:dyDescent="0.25">
      <c r="C72" s="655" t="str">
        <f>'3.1'!E50</f>
        <v>Seed storage bins</v>
      </c>
      <c r="D72" s="655" t="str">
        <f>'3.1'!F50</f>
        <v>each</v>
      </c>
      <c r="E72" s="677">
        <f>'3.1'!H50</f>
        <v>1040</v>
      </c>
      <c r="F72" s="677">
        <f>'3.1'!I50</f>
        <v>4800000</v>
      </c>
    </row>
    <row r="73" spans="3:6" x14ac:dyDescent="0.25">
      <c r="C73" s="656" t="s">
        <v>17</v>
      </c>
      <c r="D73" s="656"/>
      <c r="E73" s="678">
        <f>SUM(E67:E72)</f>
        <v>1581</v>
      </c>
      <c r="F73" s="678">
        <f>SUM(F67:F72)</f>
        <v>43475000</v>
      </c>
    </row>
    <row r="74" spans="3:6" x14ac:dyDescent="0.25">
      <c r="C74" s="655"/>
      <c r="D74" s="655"/>
      <c r="E74" s="677"/>
      <c r="F74" s="677"/>
    </row>
    <row r="75" spans="3:6" x14ac:dyDescent="0.25">
      <c r="C75" s="676" t="str">
        <f>'3.2'!C15</f>
        <v>Community Solar light / street light</v>
      </c>
      <c r="D75" s="676" t="str">
        <f>'3.2'!D15</f>
        <v>no</v>
      </c>
      <c r="E75" s="679">
        <f>'3.2'!F15</f>
        <v>84</v>
      </c>
      <c r="F75" s="679">
        <f>'3.2'!G15</f>
        <v>1660000</v>
      </c>
    </row>
    <row r="76" spans="3:6" ht="30" x14ac:dyDescent="0.25">
      <c r="C76" s="676" t="str">
        <f>'3.2'!C16</f>
        <v xml:space="preserve">Community infrastructure / drudgery reduction Maintenace </v>
      </c>
      <c r="D76" s="676" t="str">
        <f>'3.2'!D16</f>
        <v>LS</v>
      </c>
      <c r="E76" s="679">
        <f>'3.2'!F16</f>
        <v>17</v>
      </c>
      <c r="F76" s="679">
        <f>'3.2'!G16</f>
        <v>5100000</v>
      </c>
    </row>
    <row r="77" spans="3:6" x14ac:dyDescent="0.25">
      <c r="C77" s="676" t="str">
        <f>'3.2'!C18</f>
        <v>Household drinking Water (Only material cost)</v>
      </c>
      <c r="D77" s="676" t="str">
        <f>'3.2'!D18</f>
        <v>no</v>
      </c>
      <c r="E77" s="679">
        <f>'3.2'!F18</f>
        <v>108</v>
      </c>
      <c r="F77" s="679">
        <f>'3.2'!G18</f>
        <v>54000000</v>
      </c>
    </row>
    <row r="78" spans="3:6" ht="30" x14ac:dyDescent="0.25">
      <c r="C78" s="676" t="str">
        <f>'3.2'!C19</f>
        <v>Extension of Household drinking water from existing sources (only material cost) -62</v>
      </c>
      <c r="D78" s="676" t="str">
        <f>'3.2'!D19</f>
        <v>no</v>
      </c>
      <c r="E78" s="679">
        <f>'3.2'!F19</f>
        <v>62</v>
      </c>
      <c r="F78" s="679">
        <f>'3.2'!G19</f>
        <v>15800000</v>
      </c>
    </row>
    <row r="79" spans="3:6" ht="30" x14ac:dyDescent="0.25">
      <c r="C79" s="676" t="str">
        <f>'3.2'!C22</f>
        <v>Support to Traditional Costumes/Cultural Equipments</v>
      </c>
      <c r="D79" s="676" t="str">
        <f>'3.2'!D22</f>
        <v>LS</v>
      </c>
      <c r="E79" s="679">
        <f>'3.2'!F22</f>
        <v>43</v>
      </c>
      <c r="F79" s="679">
        <f>'3.2'!G22</f>
        <v>860000</v>
      </c>
    </row>
    <row r="80" spans="3:6" ht="30" x14ac:dyDescent="0.25">
      <c r="C80" s="676" t="str">
        <f>'3.2'!C23</f>
        <v>Establishment of processing unit/ Khajuri/ Rice flour mills/ Honey Processing Unit</v>
      </c>
      <c r="D80" s="676" t="str">
        <f>'3.2'!D23</f>
        <v>LS</v>
      </c>
      <c r="E80" s="679">
        <f>'3.2'!F23</f>
        <v>2</v>
      </c>
      <c r="F80" s="679">
        <f>'3.2'!G23</f>
        <v>300000</v>
      </c>
    </row>
    <row r="81" spans="3:6" x14ac:dyDescent="0.25">
      <c r="C81" s="676" t="str">
        <f>'3.2'!C33</f>
        <v>Information-cum-Culture  Centre IFAD</v>
      </c>
      <c r="D81" s="676" t="str">
        <f>'3.2'!D33</f>
        <v>No</v>
      </c>
      <c r="E81" s="679">
        <f>'3.2'!F33</f>
        <v>50</v>
      </c>
      <c r="F81" s="679">
        <f>'3.2'!G33</f>
        <v>12500000</v>
      </c>
    </row>
    <row r="82" spans="3:6" ht="30" x14ac:dyDescent="0.25">
      <c r="C82" s="676" t="str">
        <f>'3.2'!C34</f>
        <v>Sunflower / Turmeric processing unit/Puffed Rice unit/ Oil Extraction Unit/ Food processing Unit</v>
      </c>
      <c r="D82" s="676" t="str">
        <f>'3.2'!D34</f>
        <v>No</v>
      </c>
      <c r="E82" s="679">
        <f>'3.2'!F34</f>
        <v>65</v>
      </c>
      <c r="F82" s="679">
        <f>'3.2'!G34</f>
        <v>6500000</v>
      </c>
    </row>
    <row r="83" spans="3:6" x14ac:dyDescent="0.25">
      <c r="C83" s="676" t="str">
        <f>'3.2'!C35</f>
        <v>Sacred Fencing /e-68</v>
      </c>
      <c r="D83" s="676" t="str">
        <f>'3.2'!D35</f>
        <v>village</v>
      </c>
      <c r="E83" s="679">
        <f>'3.2'!F35</f>
        <v>68</v>
      </c>
      <c r="F83" s="679">
        <f>'3.2'!G35</f>
        <v>1700000</v>
      </c>
    </row>
    <row r="84" spans="3:6" x14ac:dyDescent="0.25">
      <c r="C84" s="655" t="str">
        <f>'3.2'!C44</f>
        <v>Studies and surveys/ documentary</v>
      </c>
      <c r="D84" s="655" t="str">
        <f>'3.2'!D44</f>
        <v>No</v>
      </c>
      <c r="E84" s="677">
        <f>'3.2'!F44</f>
        <v>3</v>
      </c>
      <c r="F84" s="677">
        <f>'3.2'!G44</f>
        <v>3000000</v>
      </c>
    </row>
    <row r="85" spans="3:6" x14ac:dyDescent="0.25">
      <c r="C85" s="656" t="s">
        <v>17</v>
      </c>
      <c r="D85" s="656"/>
      <c r="E85" s="678">
        <f>SUM(E75:E84)</f>
        <v>502</v>
      </c>
      <c r="F85" s="678">
        <f>SUM(F75:F84)</f>
        <v>101420000</v>
      </c>
    </row>
  </sheetData>
  <mergeCells count="1">
    <mergeCell ref="C2:F2"/>
  </mergeCells>
  <pageMargins left="0.5" right="0" top="0" bottom="0" header="0" footer="0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D64F5-E899-43A4-AE7B-2DAA8A2CEB2B}">
  <dimension ref="A2:H57"/>
  <sheetViews>
    <sheetView workbookViewId="0">
      <pane xSplit="2" ySplit="3" topLeftCell="C49" activePane="bottomRight" state="frozen"/>
      <selection pane="topRight" activeCell="C1" sqref="C1"/>
      <selection pane="bottomLeft" activeCell="A4" sqref="A4"/>
      <selection pane="bottomRight" activeCell="J77" sqref="J77"/>
    </sheetView>
  </sheetViews>
  <sheetFormatPr defaultRowHeight="15" x14ac:dyDescent="0.25"/>
  <cols>
    <col min="1" max="1" width="5.7109375" style="657" bestFit="1" customWidth="1"/>
    <col min="2" max="2" width="31.28515625" style="505" bestFit="1" customWidth="1"/>
    <col min="3" max="3" width="13.140625" bestFit="1" customWidth="1"/>
    <col min="4" max="4" width="14.28515625" bestFit="1" customWidth="1"/>
    <col min="5" max="5" width="16" bestFit="1" customWidth="1"/>
    <col min="6" max="6" width="13.140625" bestFit="1" customWidth="1"/>
    <col min="7" max="8" width="14.28515625" bestFit="1" customWidth="1"/>
    <col min="10" max="10" width="9" bestFit="1" customWidth="1"/>
  </cols>
  <sheetData>
    <row r="2" spans="1:8" x14ac:dyDescent="0.25">
      <c r="A2" s="902" t="s">
        <v>1186</v>
      </c>
      <c r="B2" s="902"/>
      <c r="C2" s="902"/>
      <c r="D2" s="902"/>
      <c r="E2" s="902"/>
      <c r="F2" s="902"/>
      <c r="G2" s="902"/>
      <c r="H2" s="902"/>
    </row>
    <row r="3" spans="1:8" s="660" customFormat="1" ht="33" customHeight="1" x14ac:dyDescent="0.25">
      <c r="A3" s="661" t="s">
        <v>618</v>
      </c>
      <c r="B3" s="662" t="s">
        <v>1183</v>
      </c>
      <c r="C3" s="662" t="s">
        <v>1187</v>
      </c>
      <c r="D3" s="662" t="s">
        <v>1188</v>
      </c>
      <c r="E3" s="662" t="s">
        <v>1189</v>
      </c>
      <c r="F3" s="662" t="s">
        <v>222</v>
      </c>
      <c r="G3" s="662" t="s">
        <v>1190</v>
      </c>
      <c r="H3" s="662" t="s">
        <v>17</v>
      </c>
    </row>
    <row r="4" spans="1:8" ht="27.75" x14ac:dyDescent="0.25">
      <c r="A4" s="663">
        <v>1.1000000000000001</v>
      </c>
      <c r="B4" s="667" t="s">
        <v>1176</v>
      </c>
      <c r="C4" s="664">
        <f>'1.1'!BO51</f>
        <v>0</v>
      </c>
      <c r="D4" s="664">
        <f>'1.1'!BP51</f>
        <v>79259114</v>
      </c>
      <c r="E4" s="664">
        <f>'1.1'!BQ51</f>
        <v>157332000</v>
      </c>
      <c r="F4" s="664">
        <f>'1.1'!BR51</f>
        <v>0</v>
      </c>
      <c r="G4" s="664">
        <f>'1.1'!BV51</f>
        <v>0</v>
      </c>
      <c r="H4" s="664">
        <f>SUM(C4:G4)</f>
        <v>236591114</v>
      </c>
    </row>
    <row r="5" spans="1:8" ht="27.75" x14ac:dyDescent="0.25">
      <c r="A5" s="663">
        <v>1.2</v>
      </c>
      <c r="B5" s="667" t="s">
        <v>1177</v>
      </c>
      <c r="C5" s="664">
        <f>'1.2'!BM66</f>
        <v>0</v>
      </c>
      <c r="D5" s="664">
        <f>'1.2'!BN66</f>
        <v>15239625</v>
      </c>
      <c r="E5" s="664">
        <f>'1.2'!BO66</f>
        <v>65000</v>
      </c>
      <c r="F5" s="664">
        <f>'1.2'!BP66</f>
        <v>51680000</v>
      </c>
      <c r="G5" s="664">
        <f>'1.2'!BT66</f>
        <v>0</v>
      </c>
      <c r="H5" s="664">
        <f>SUM(C5:G5)</f>
        <v>66984625</v>
      </c>
    </row>
    <row r="6" spans="1:8" x14ac:dyDescent="0.25">
      <c r="A6" s="663">
        <v>1</v>
      </c>
      <c r="B6" s="671" t="s">
        <v>1178</v>
      </c>
      <c r="C6" s="665">
        <f>SUM(C4:C5)</f>
        <v>0</v>
      </c>
      <c r="D6" s="665">
        <f t="shared" ref="D6:H6" si="0">SUM(D4:D5)</f>
        <v>94498739</v>
      </c>
      <c r="E6" s="665">
        <f t="shared" si="0"/>
        <v>157397000</v>
      </c>
      <c r="F6" s="665">
        <f t="shared" si="0"/>
        <v>51680000</v>
      </c>
      <c r="G6" s="665">
        <f t="shared" si="0"/>
        <v>0</v>
      </c>
      <c r="H6" s="665">
        <f t="shared" si="0"/>
        <v>303575739</v>
      </c>
    </row>
    <row r="7" spans="1:8" x14ac:dyDescent="0.25">
      <c r="A7" s="663">
        <v>2.1</v>
      </c>
      <c r="B7" s="667" t="str">
        <f>'2.1'!C16</f>
        <v>Subtotal Agriculture Training</v>
      </c>
      <c r="C7" s="664">
        <f>'2.1'!BN16</f>
        <v>0</v>
      </c>
      <c r="D7" s="664">
        <f>'2.1'!BO16</f>
        <v>1457500</v>
      </c>
      <c r="E7" s="664">
        <f>'2.1'!BP16</f>
        <v>0</v>
      </c>
      <c r="F7" s="664">
        <f>'2.1'!BQ16</f>
        <v>0</v>
      </c>
      <c r="G7" s="664">
        <f>'2.1'!BU16</f>
        <v>0</v>
      </c>
      <c r="H7" s="666">
        <f>SUM(C7:G7)</f>
        <v>1457500</v>
      </c>
    </row>
    <row r="8" spans="1:8" x14ac:dyDescent="0.25">
      <c r="A8" s="663"/>
      <c r="B8" s="667" t="str">
        <f>'2.1'!C17</f>
        <v>B. Land Rights Allocation- IFAD</v>
      </c>
      <c r="C8" s="664">
        <f>'2.1'!BN21</f>
        <v>0</v>
      </c>
      <c r="D8" s="664">
        <f>'2.1'!BO21</f>
        <v>100000</v>
      </c>
      <c r="E8" s="664">
        <f>'2.1'!BP21</f>
        <v>2000000</v>
      </c>
      <c r="F8" s="664">
        <f>'2.1'!BQ21</f>
        <v>0</v>
      </c>
      <c r="G8" s="664">
        <f>'2.1'!BU21</f>
        <v>3240000</v>
      </c>
      <c r="H8" s="666">
        <f>SUM(C8:G8)</f>
        <v>5340000</v>
      </c>
    </row>
    <row r="9" spans="1:8" ht="27.75" x14ac:dyDescent="0.25">
      <c r="A9" s="663"/>
      <c r="B9" s="667" t="str">
        <f>'2.1'!C25</f>
        <v>Land Levelling/development  - IFAD</v>
      </c>
      <c r="C9" s="664">
        <f>'2.1'!BN25</f>
        <v>14332000</v>
      </c>
      <c r="D9" s="664">
        <f>'2.1'!BO26</f>
        <v>0</v>
      </c>
      <c r="E9" s="664">
        <f>'2.1'!BP26</f>
        <v>0</v>
      </c>
      <c r="F9" s="664"/>
      <c r="G9" s="664"/>
      <c r="H9" s="666">
        <f>SUM(C9:G9)</f>
        <v>14332000</v>
      </c>
    </row>
    <row r="10" spans="1:8" x14ac:dyDescent="0.25">
      <c r="A10" s="663"/>
      <c r="B10" s="667" t="str">
        <f>'2.1'!C27</f>
        <v>Land Reclamation</v>
      </c>
      <c r="C10" s="664">
        <f>'2.1'!BN27</f>
        <v>0</v>
      </c>
      <c r="D10" s="664">
        <f>'2.1'!BO27</f>
        <v>0</v>
      </c>
      <c r="E10" s="664">
        <f>'2.1'!BP27</f>
        <v>5325000</v>
      </c>
      <c r="F10" s="664"/>
      <c r="G10" s="664"/>
      <c r="H10" s="666">
        <f>SUM(C10:G10)</f>
        <v>5325000</v>
      </c>
    </row>
    <row r="11" spans="1:8" x14ac:dyDescent="0.25">
      <c r="A11" s="663"/>
      <c r="B11" s="667" t="str">
        <f>'2.1'!C28</f>
        <v>Soil Testing</v>
      </c>
      <c r="C11" s="664">
        <f>'2.1'!BN28</f>
        <v>0</v>
      </c>
      <c r="D11" s="664">
        <f>'2.1'!BO28</f>
        <v>0</v>
      </c>
      <c r="E11" s="664">
        <f>'2.1'!BP28</f>
        <v>850000</v>
      </c>
      <c r="F11" s="664"/>
      <c r="G11" s="664"/>
      <c r="H11" s="666">
        <f>SUM(C11:G11)</f>
        <v>850000</v>
      </c>
    </row>
    <row r="12" spans="1:8" x14ac:dyDescent="0.25">
      <c r="A12" s="663"/>
      <c r="B12" s="667" t="str">
        <f>'2.1'!C91</f>
        <v>Pine Apple IFAD</v>
      </c>
      <c r="C12" s="664">
        <f>'2.1'!BN91</f>
        <v>0</v>
      </c>
      <c r="D12" s="664">
        <f>'2.1'!BO91</f>
        <v>0</v>
      </c>
      <c r="E12" s="664">
        <f>'2.1'!BP91</f>
        <v>3060000</v>
      </c>
      <c r="F12" s="664"/>
      <c r="G12" s="664"/>
      <c r="H12" s="666">
        <f t="shared" ref="H12:H54" si="1">SUM(C12:G12)</f>
        <v>3060000</v>
      </c>
    </row>
    <row r="13" spans="1:8" x14ac:dyDescent="0.25">
      <c r="A13" s="663"/>
      <c r="B13" s="667" t="str">
        <f>'2.1'!C93</f>
        <v>Banana-IFAD</v>
      </c>
      <c r="C13" s="664">
        <f>'2.1'!BN93</f>
        <v>0</v>
      </c>
      <c r="D13" s="664">
        <f>'2.1'!BO93</f>
        <v>0</v>
      </c>
      <c r="E13" s="664">
        <f>'2.1'!BP93</f>
        <v>1380000</v>
      </c>
      <c r="F13" s="664"/>
      <c r="G13" s="664"/>
      <c r="H13" s="666">
        <f t="shared" si="1"/>
        <v>1380000</v>
      </c>
    </row>
    <row r="14" spans="1:8" x14ac:dyDescent="0.25">
      <c r="A14" s="663"/>
      <c r="B14" s="667" t="str">
        <f>'2.1'!C98</f>
        <v>Drumstick-IFAD</v>
      </c>
      <c r="C14" s="664">
        <f>'2.1'!BN98</f>
        <v>0</v>
      </c>
      <c r="D14" s="664">
        <f>'2.1'!BO98</f>
        <v>0</v>
      </c>
      <c r="E14" s="664">
        <f>'2.1'!BP98</f>
        <v>350000</v>
      </c>
      <c r="F14" s="664"/>
      <c r="G14" s="664"/>
      <c r="H14" s="666">
        <f t="shared" si="1"/>
        <v>350000</v>
      </c>
    </row>
    <row r="15" spans="1:8" ht="27.75" x14ac:dyDescent="0.25">
      <c r="A15" s="663">
        <v>2.2000000000000002</v>
      </c>
      <c r="B15" s="667" t="str">
        <f>'2.2'!D15</f>
        <v>Formation/organisation of FFS-IFAD</v>
      </c>
      <c r="C15" s="664">
        <f>'2.2'!BO16</f>
        <v>0</v>
      </c>
      <c r="D15" s="664">
        <f>'2.2'!BP15</f>
        <v>990000</v>
      </c>
      <c r="E15" s="664"/>
      <c r="F15" s="664">
        <f>'2.2'!BR16</f>
        <v>0</v>
      </c>
      <c r="G15" s="664">
        <f>'2.2'!BV16</f>
        <v>0</v>
      </c>
      <c r="H15" s="666">
        <f t="shared" si="1"/>
        <v>990000</v>
      </c>
    </row>
    <row r="16" spans="1:8" x14ac:dyDescent="0.25">
      <c r="A16" s="663"/>
      <c r="B16" s="667" t="str">
        <f>'2.2'!D19</f>
        <v>Nutrition needs assessment</v>
      </c>
      <c r="C16" s="664"/>
      <c r="D16" s="664">
        <f>'2.2'!BP19</f>
        <v>500000</v>
      </c>
      <c r="E16" s="664"/>
      <c r="F16" s="664"/>
      <c r="G16" s="664"/>
      <c r="H16" s="666">
        <f t="shared" si="1"/>
        <v>500000</v>
      </c>
    </row>
    <row r="17" spans="1:8" ht="27.75" x14ac:dyDescent="0.25">
      <c r="A17" s="663"/>
      <c r="B17" s="667" t="str">
        <f>'2.2'!D31</f>
        <v xml:space="preserve">Household crop development (Regular) </v>
      </c>
      <c r="C17" s="664">
        <f>'2.2'!BO31</f>
        <v>0</v>
      </c>
      <c r="D17" s="664">
        <f>'2.2'!BP31</f>
        <v>0</v>
      </c>
      <c r="E17" s="664">
        <f>'2.2'!BQ31</f>
        <v>35802000</v>
      </c>
      <c r="F17" s="664"/>
      <c r="G17" s="664"/>
      <c r="H17" s="666">
        <f t="shared" si="1"/>
        <v>35802000</v>
      </c>
    </row>
    <row r="18" spans="1:8" ht="27.75" x14ac:dyDescent="0.25">
      <c r="A18" s="663"/>
      <c r="B18" s="667" t="str">
        <f>'2.2'!D32</f>
        <v xml:space="preserve">Household crop development (Mini) </v>
      </c>
      <c r="C18" s="664">
        <f>'2.2'!BO32</f>
        <v>0</v>
      </c>
      <c r="D18" s="664">
        <f>'2.2'!BP32</f>
        <v>0</v>
      </c>
      <c r="E18" s="664">
        <f>'2.2'!BQ32</f>
        <v>18275000</v>
      </c>
      <c r="F18" s="664"/>
      <c r="G18" s="664"/>
      <c r="H18" s="666">
        <f t="shared" si="1"/>
        <v>18275000</v>
      </c>
    </row>
    <row r="19" spans="1:8" ht="27.75" x14ac:dyDescent="0.25">
      <c r="A19" s="663"/>
      <c r="B19" s="667" t="str">
        <f>'2.2'!D34</f>
        <v>Cereal / millets crops development -IFAD</v>
      </c>
      <c r="C19" s="664">
        <f>'2.2'!BO40</f>
        <v>0</v>
      </c>
      <c r="D19" s="664">
        <f>'2.2'!BP40</f>
        <v>0</v>
      </c>
      <c r="E19" s="664">
        <f>'2.2'!BQ40</f>
        <v>3510000</v>
      </c>
      <c r="F19" s="664">
        <f>'2.2'!BR40</f>
        <v>0</v>
      </c>
      <c r="G19" s="664"/>
      <c r="H19" s="666">
        <f t="shared" si="1"/>
        <v>3510000</v>
      </c>
    </row>
    <row r="20" spans="1:8" ht="27.75" x14ac:dyDescent="0.25">
      <c r="A20" s="663"/>
      <c r="B20" s="667" t="str">
        <f>'2.2'!D41</f>
        <v xml:space="preserve">Pulses, oilseeds, tubers development -IFAD  </v>
      </c>
      <c r="C20" s="664">
        <f>'2.2'!BO64</f>
        <v>0</v>
      </c>
      <c r="D20" s="664">
        <f>'2.2'!BP64</f>
        <v>0</v>
      </c>
      <c r="E20" s="664">
        <f>'2.2'!BQ64</f>
        <v>27832147</v>
      </c>
      <c r="F20" s="664">
        <f>'2.2'!BR64</f>
        <v>0</v>
      </c>
      <c r="G20" s="664"/>
      <c r="H20" s="666">
        <f t="shared" si="1"/>
        <v>27832147</v>
      </c>
    </row>
    <row r="21" spans="1:8" x14ac:dyDescent="0.25">
      <c r="A21" s="663"/>
      <c r="B21" s="667" t="str">
        <f>'2.2'!D65</f>
        <v>Vegetables-IFAD</v>
      </c>
      <c r="C21" s="664">
        <f>'2.2'!BO82</f>
        <v>0</v>
      </c>
      <c r="D21" s="664">
        <f>'2.2'!BP82</f>
        <v>0</v>
      </c>
      <c r="E21" s="664">
        <f>'2.2'!BQ82</f>
        <v>12759500</v>
      </c>
      <c r="F21" s="664">
        <f>'2.2'!BR82</f>
        <v>0</v>
      </c>
      <c r="G21" s="664"/>
      <c r="H21" s="666">
        <f t="shared" si="1"/>
        <v>12759500</v>
      </c>
    </row>
    <row r="22" spans="1:8" ht="27.75" x14ac:dyDescent="0.25">
      <c r="A22" s="663"/>
      <c r="B22" s="667" t="str">
        <f>'2.2'!D83</f>
        <v>Floricultutre,Mushroom &amp; Commercial Crop</v>
      </c>
      <c r="C22" s="664">
        <f>'2.2'!BO89</f>
        <v>0</v>
      </c>
      <c r="D22" s="664">
        <f>'2.2'!BP89</f>
        <v>0</v>
      </c>
      <c r="E22" s="664">
        <f>'2.2'!BQ89</f>
        <v>1882000</v>
      </c>
      <c r="F22" s="664">
        <f>'2.2'!BR89</f>
        <v>0</v>
      </c>
      <c r="G22" s="664"/>
      <c r="H22" s="666">
        <f t="shared" si="1"/>
        <v>1882000</v>
      </c>
    </row>
    <row r="23" spans="1:8" ht="41.25" x14ac:dyDescent="0.25">
      <c r="A23" s="663"/>
      <c r="B23" s="667" t="str">
        <f>'2.2'!D91</f>
        <v>2. Behavioural Change in COVID, Health, Nutrition, sanitation &amp; hygeine</v>
      </c>
      <c r="C23" s="664"/>
      <c r="D23" s="664">
        <f>'2.2'!BP91</f>
        <v>1375000</v>
      </c>
      <c r="E23" s="664"/>
      <c r="F23" s="664"/>
      <c r="G23" s="664"/>
      <c r="H23" s="666">
        <f t="shared" si="1"/>
        <v>1375000</v>
      </c>
    </row>
    <row r="24" spans="1:8" x14ac:dyDescent="0.25">
      <c r="A24" s="663">
        <v>2.2999999999999998</v>
      </c>
      <c r="B24" s="667" t="str">
        <f>'2.3'!D14</f>
        <v>Subtotal Training CSP</v>
      </c>
      <c r="C24" s="664"/>
      <c r="D24" s="664">
        <f>'2.3'!BP14</f>
        <v>2596200</v>
      </c>
      <c r="E24" s="664"/>
      <c r="F24" s="664"/>
      <c r="G24" s="664"/>
      <c r="H24" s="666">
        <f t="shared" si="1"/>
        <v>2596200</v>
      </c>
    </row>
    <row r="25" spans="1:8" x14ac:dyDescent="0.25">
      <c r="A25" s="663"/>
      <c r="B25" s="667" t="str">
        <f>'2.3'!D16</f>
        <v>C. Livestock demonstrations</v>
      </c>
      <c r="C25" s="664"/>
      <c r="D25" s="664"/>
      <c r="E25" s="664">
        <f>'2.3'!BQ22</f>
        <v>4500000</v>
      </c>
      <c r="F25" s="664"/>
      <c r="G25" s="664"/>
      <c r="H25" s="666">
        <f t="shared" si="1"/>
        <v>4500000</v>
      </c>
    </row>
    <row r="26" spans="1:8" ht="27.75" x14ac:dyDescent="0.25">
      <c r="A26" s="663"/>
      <c r="B26" s="667" t="str">
        <f>'2.3'!D35</f>
        <v xml:space="preserve">Animal health camps /User charges vaccine /fist aid mrdicine </v>
      </c>
      <c r="C26" s="664"/>
      <c r="D26" s="664"/>
      <c r="E26" s="664">
        <f>'2.3'!BQ35</f>
        <v>1355000</v>
      </c>
      <c r="F26" s="664"/>
      <c r="G26" s="664"/>
      <c r="H26" s="666">
        <f t="shared" si="1"/>
        <v>1355000</v>
      </c>
    </row>
    <row r="27" spans="1:8" ht="68.25" x14ac:dyDescent="0.25">
      <c r="A27" s="663"/>
      <c r="B27" s="667" t="str">
        <f>'2.3'!D36</f>
        <v>IGA units for poorest of poor households (Unit cost Ranging from 20,000 to 50,000 INR depending upon BDP Avg. 30,000</v>
      </c>
      <c r="C27" s="664"/>
      <c r="D27" s="664"/>
      <c r="E27" s="664">
        <f>'2.3'!BQ36</f>
        <v>38302000</v>
      </c>
      <c r="F27" s="664"/>
      <c r="G27" s="664"/>
      <c r="H27" s="666">
        <f t="shared" si="1"/>
        <v>38302000</v>
      </c>
    </row>
    <row r="28" spans="1:8" ht="27.75" x14ac:dyDescent="0.25">
      <c r="A28" s="663"/>
      <c r="B28" s="667" t="str">
        <f>'2.3'!D46</f>
        <v>Model Nursery/ Nursery/Nursery management - Working capital</v>
      </c>
      <c r="C28" s="664"/>
      <c r="D28" s="664"/>
      <c r="E28" s="664">
        <f>'2.3'!BQ46</f>
        <v>650000</v>
      </c>
      <c r="F28" s="664"/>
      <c r="G28" s="664"/>
      <c r="H28" s="666">
        <f t="shared" si="1"/>
        <v>650000</v>
      </c>
    </row>
    <row r="29" spans="1:8" x14ac:dyDescent="0.25">
      <c r="A29" s="663"/>
      <c r="B29" s="667" t="str">
        <f>'2.3'!D51</f>
        <v>Small cold storage IFAD</v>
      </c>
      <c r="C29" s="664"/>
      <c r="D29" s="664"/>
      <c r="E29" s="664">
        <f>'2.3'!BQ53</f>
        <v>850000</v>
      </c>
      <c r="F29" s="664"/>
      <c r="G29" s="664"/>
      <c r="H29" s="666">
        <f t="shared" si="1"/>
        <v>850000</v>
      </c>
    </row>
    <row r="30" spans="1:8" ht="27.75" x14ac:dyDescent="0.25">
      <c r="A30" s="663"/>
      <c r="B30" s="667" t="str">
        <f>'2.3'!D55</f>
        <v>Farmers share for PVTG/STs for various items /k</v>
      </c>
      <c r="C30" s="664"/>
      <c r="D30" s="664"/>
      <c r="E30" s="664">
        <f>'2.3'!BQ55</f>
        <v>3810000</v>
      </c>
      <c r="F30" s="664"/>
      <c r="G30" s="664"/>
      <c r="H30" s="666">
        <f t="shared" si="1"/>
        <v>3810000</v>
      </c>
    </row>
    <row r="31" spans="1:8" ht="27.75" x14ac:dyDescent="0.25">
      <c r="A31" s="663"/>
      <c r="B31" s="667" t="str">
        <f>'2.3'!D57</f>
        <v xml:space="preserve"> Livelihoods linked Innovative activities </v>
      </c>
      <c r="C31" s="664"/>
      <c r="D31" s="664"/>
      <c r="E31" s="664">
        <f>'2.3'!BQ57</f>
        <v>17000000</v>
      </c>
      <c r="F31" s="664"/>
      <c r="G31" s="664"/>
      <c r="H31" s="666">
        <f t="shared" si="1"/>
        <v>17000000</v>
      </c>
    </row>
    <row r="32" spans="1:8" ht="27.75" x14ac:dyDescent="0.25">
      <c r="A32" s="663"/>
      <c r="B32" s="667" t="str">
        <f>'2.3'!D61</f>
        <v>High value commercial agriculture and allied(APC)</v>
      </c>
      <c r="C32" s="664"/>
      <c r="D32" s="664"/>
      <c r="E32" s="664">
        <f>'2.3'!BQ61</f>
        <v>67909860</v>
      </c>
      <c r="F32" s="664"/>
      <c r="G32" s="664"/>
      <c r="H32" s="666">
        <f t="shared" si="1"/>
        <v>67909860</v>
      </c>
    </row>
    <row r="33" spans="1:8" x14ac:dyDescent="0.25">
      <c r="A33" s="663"/>
      <c r="B33" s="667" t="str">
        <f>'2.3'!D62</f>
        <v xml:space="preserve">Solar Fecncing piloting for APC  </v>
      </c>
      <c r="C33" s="664"/>
      <c r="D33" s="664"/>
      <c r="E33" s="664">
        <f>'2.3'!BQ62</f>
        <v>4620000</v>
      </c>
      <c r="F33" s="664"/>
      <c r="G33" s="664"/>
      <c r="H33" s="666">
        <f t="shared" si="1"/>
        <v>4620000</v>
      </c>
    </row>
    <row r="34" spans="1:8" x14ac:dyDescent="0.25">
      <c r="A34" s="663"/>
      <c r="B34" s="667" t="str">
        <f>'2.3'!D63</f>
        <v>Vocational Training</v>
      </c>
      <c r="C34" s="664"/>
      <c r="D34" s="664">
        <f>'2.3'!BP63</f>
        <v>16000</v>
      </c>
      <c r="E34" s="664"/>
      <c r="F34" s="664"/>
      <c r="G34" s="664"/>
      <c r="H34" s="664">
        <f t="shared" si="1"/>
        <v>16000</v>
      </c>
    </row>
    <row r="35" spans="1:8" s="639" customFormat="1" x14ac:dyDescent="0.25">
      <c r="A35" s="663">
        <v>2</v>
      </c>
      <c r="B35" s="671" t="s">
        <v>1179</v>
      </c>
      <c r="C35" s="665">
        <f>SUM(C7:C34)</f>
        <v>14332000</v>
      </c>
      <c r="D35" s="665">
        <f>SUM(D7:D34)</f>
        <v>7034700</v>
      </c>
      <c r="E35" s="665">
        <f>SUM(E7:E34)</f>
        <v>252022507</v>
      </c>
      <c r="F35" s="665">
        <f>SUM(F7:F34)</f>
        <v>0</v>
      </c>
      <c r="G35" s="665">
        <f>SUM(G7:G34)</f>
        <v>3240000</v>
      </c>
      <c r="H35" s="665">
        <f t="shared" si="1"/>
        <v>276629207</v>
      </c>
    </row>
    <row r="36" spans="1:8" ht="27.75" x14ac:dyDescent="0.25">
      <c r="A36" s="663">
        <v>3.1</v>
      </c>
      <c r="B36" s="667" t="str">
        <f>'3.1'!E33</f>
        <v>Installation of Travis for Veterinary Treatment</v>
      </c>
      <c r="C36" s="664"/>
      <c r="D36" s="664"/>
      <c r="E36" s="664">
        <f>'3.1'!BR33</f>
        <v>3180000</v>
      </c>
      <c r="F36" s="664"/>
      <c r="G36" s="664"/>
      <c r="H36" s="666">
        <f t="shared" si="1"/>
        <v>3180000</v>
      </c>
    </row>
    <row r="37" spans="1:8" x14ac:dyDescent="0.25">
      <c r="A37" s="663"/>
      <c r="B37" s="667" t="str">
        <f>'3.1'!E42</f>
        <v>NTFP / SAP Drying Yard IFAD</v>
      </c>
      <c r="C37" s="664">
        <f>'3.1'!BP42</f>
        <v>12500000</v>
      </c>
      <c r="D37" s="664"/>
      <c r="E37" s="664"/>
      <c r="F37" s="664"/>
      <c r="G37" s="664"/>
      <c r="H37" s="666">
        <f t="shared" si="1"/>
        <v>12500000</v>
      </c>
    </row>
    <row r="38" spans="1:8" x14ac:dyDescent="0.25">
      <c r="A38" s="663"/>
      <c r="B38" s="667" t="str">
        <f>'3.1'!E43</f>
        <v>Drying Mat</v>
      </c>
      <c r="C38" s="664"/>
      <c r="D38" s="664"/>
      <c r="E38" s="664">
        <f>'3.1'!BR43</f>
        <v>1995000</v>
      </c>
      <c r="F38" s="664"/>
      <c r="G38" s="664"/>
      <c r="H38" s="666">
        <f t="shared" si="1"/>
        <v>1995000</v>
      </c>
    </row>
    <row r="39" spans="1:8" ht="27.75" x14ac:dyDescent="0.25">
      <c r="A39" s="663"/>
      <c r="B39" s="667" t="str">
        <f>'3.1'!E14</f>
        <v>Water Purification pilot CIPET/IMMT-IFAD</v>
      </c>
      <c r="C39" s="664">
        <f>'3.1'!BP14</f>
        <v>1000000</v>
      </c>
      <c r="D39" s="664"/>
      <c r="E39" s="664"/>
      <c r="F39" s="664"/>
      <c r="G39" s="664"/>
      <c r="H39" s="666">
        <f t="shared" si="1"/>
        <v>1000000</v>
      </c>
    </row>
    <row r="40" spans="1:8" x14ac:dyDescent="0.25">
      <c r="A40" s="663"/>
      <c r="B40" s="667" t="str">
        <f>'3.1'!E50</f>
        <v>Seed storage bins</v>
      </c>
      <c r="C40" s="664"/>
      <c r="D40" s="664"/>
      <c r="E40" s="664">
        <f>'3.1'!BR50</f>
        <v>4800000</v>
      </c>
      <c r="F40" s="664"/>
      <c r="G40" s="664"/>
      <c r="H40" s="666">
        <f t="shared" si="1"/>
        <v>4800000</v>
      </c>
    </row>
    <row r="41" spans="1:8" ht="27.75" x14ac:dyDescent="0.25">
      <c r="A41" s="663">
        <v>3.2</v>
      </c>
      <c r="B41" s="667" t="str">
        <f>'3.2'!C15</f>
        <v>Community Solar light / street light</v>
      </c>
      <c r="C41" s="664"/>
      <c r="D41" s="664"/>
      <c r="E41" s="664">
        <f>'3.2'!BP15</f>
        <v>1660000</v>
      </c>
      <c r="F41" s="664"/>
      <c r="G41" s="664"/>
      <c r="H41" s="666">
        <f t="shared" si="1"/>
        <v>1660000</v>
      </c>
    </row>
    <row r="42" spans="1:8" ht="27.75" x14ac:dyDescent="0.25">
      <c r="A42" s="663"/>
      <c r="B42" s="667" t="str">
        <f>'3.2'!C16</f>
        <v xml:space="preserve">Community infrastructure / drudgery reduction Maintenace </v>
      </c>
      <c r="C42" s="664"/>
      <c r="D42" s="664"/>
      <c r="E42" s="664">
        <f>'3.2'!BP16</f>
        <v>5100000</v>
      </c>
      <c r="F42" s="664"/>
      <c r="G42" s="664"/>
      <c r="H42" s="666">
        <f t="shared" si="1"/>
        <v>5100000</v>
      </c>
    </row>
    <row r="43" spans="1:8" ht="27.75" x14ac:dyDescent="0.25">
      <c r="A43" s="663"/>
      <c r="B43" s="667" t="str">
        <f>'3.2'!C18</f>
        <v>Household drinking Water (Only material cost)</v>
      </c>
      <c r="C43" s="664"/>
      <c r="D43" s="664"/>
      <c r="E43" s="664">
        <f>'3.2'!BP18</f>
        <v>54000000</v>
      </c>
      <c r="F43" s="664"/>
      <c r="G43" s="664"/>
      <c r="H43" s="666">
        <f t="shared" si="1"/>
        <v>54000000</v>
      </c>
    </row>
    <row r="44" spans="1:8" ht="41.25" x14ac:dyDescent="0.25">
      <c r="A44" s="663"/>
      <c r="B44" s="667" t="str">
        <f>'3.2'!C19</f>
        <v>Extension of Household drinking water from existing sources (only material cost) -62</v>
      </c>
      <c r="C44" s="664"/>
      <c r="D44" s="664"/>
      <c r="E44" s="664">
        <f>'3.2'!BP19</f>
        <v>15800000</v>
      </c>
      <c r="F44" s="664"/>
      <c r="G44" s="664"/>
      <c r="H44" s="666">
        <f t="shared" si="1"/>
        <v>15800000</v>
      </c>
    </row>
    <row r="45" spans="1:8" ht="27.75" x14ac:dyDescent="0.25">
      <c r="A45" s="663"/>
      <c r="B45" s="667" t="str">
        <f>'3.2'!C22</f>
        <v>Support to Traditional Costumes/Cultural Equipments</v>
      </c>
      <c r="C45" s="664"/>
      <c r="D45" s="664"/>
      <c r="E45" s="664">
        <f>'3.2'!BP22</f>
        <v>860000</v>
      </c>
      <c r="F45" s="664"/>
      <c r="G45" s="664"/>
      <c r="H45" s="666">
        <f t="shared" si="1"/>
        <v>860000</v>
      </c>
    </row>
    <row r="46" spans="1:8" ht="41.25" x14ac:dyDescent="0.25">
      <c r="A46" s="663"/>
      <c r="B46" s="667" t="str">
        <f>'3.2'!C23</f>
        <v>Establishment of processing unit/ Khajuri/ Rice flour mills/ Honey Processing Unit</v>
      </c>
      <c r="C46" s="664"/>
      <c r="D46" s="664"/>
      <c r="E46" s="664">
        <f>'3.2'!BP23</f>
        <v>300000</v>
      </c>
      <c r="F46" s="664"/>
      <c r="G46" s="664"/>
      <c r="H46" s="666">
        <f t="shared" si="1"/>
        <v>300000</v>
      </c>
    </row>
    <row r="47" spans="1:8" ht="27.75" x14ac:dyDescent="0.25">
      <c r="A47" s="663"/>
      <c r="B47" s="667" t="str">
        <f>'3.2'!C33</f>
        <v>Information-cum-Culture  Centre IFAD</v>
      </c>
      <c r="C47" s="664">
        <f>'3.2'!BN33</f>
        <v>12500000</v>
      </c>
      <c r="D47" s="664"/>
      <c r="E47" s="664"/>
      <c r="F47" s="664"/>
      <c r="G47" s="664"/>
      <c r="H47" s="666">
        <f t="shared" si="1"/>
        <v>12500000</v>
      </c>
    </row>
    <row r="48" spans="1:8" ht="54.75" x14ac:dyDescent="0.25">
      <c r="A48" s="663"/>
      <c r="B48" s="667" t="str">
        <f>'3.2'!C34</f>
        <v>Sunflower / Turmeric processing unit/Puffed Rice unit/ Oil Extraction Unit/ Food processing Unit</v>
      </c>
      <c r="C48" s="664"/>
      <c r="D48" s="664"/>
      <c r="E48" s="664">
        <f>'3.2'!BP34</f>
        <v>6500000</v>
      </c>
      <c r="F48" s="664"/>
      <c r="G48" s="664"/>
      <c r="H48" s="666">
        <f t="shared" si="1"/>
        <v>6500000</v>
      </c>
    </row>
    <row r="49" spans="1:8" x14ac:dyDescent="0.25">
      <c r="A49" s="663"/>
      <c r="B49" s="667" t="str">
        <f>'3.2'!C35</f>
        <v>Sacred Fencing /e-68</v>
      </c>
      <c r="C49" s="664"/>
      <c r="D49" s="664"/>
      <c r="E49" s="664">
        <f>'3.2'!BP35</f>
        <v>1700000</v>
      </c>
      <c r="F49" s="664"/>
      <c r="G49" s="664"/>
      <c r="H49" s="666">
        <f t="shared" si="1"/>
        <v>1700000</v>
      </c>
    </row>
    <row r="50" spans="1:8" ht="27.75" x14ac:dyDescent="0.25">
      <c r="A50" s="663"/>
      <c r="B50" s="667" t="str">
        <f>'3.2'!C44</f>
        <v>Studies and surveys/ documentary</v>
      </c>
      <c r="C50" s="664"/>
      <c r="D50" s="664">
        <f>'3.2'!BO44</f>
        <v>3000000</v>
      </c>
      <c r="E50" s="664"/>
      <c r="F50" s="664"/>
      <c r="G50" s="664"/>
      <c r="H50" s="666">
        <f t="shared" si="1"/>
        <v>3000000</v>
      </c>
    </row>
    <row r="51" spans="1:8" s="639" customFormat="1" x14ac:dyDescent="0.25">
      <c r="A51" s="663">
        <v>3</v>
      </c>
      <c r="B51" s="671" t="s">
        <v>1180</v>
      </c>
      <c r="C51" s="665">
        <f>SUM(C36:C50)</f>
        <v>26000000</v>
      </c>
      <c r="D51" s="665">
        <f>SUM(D36:D50)</f>
        <v>3000000</v>
      </c>
      <c r="E51" s="665">
        <f>SUM(E36:E50)</f>
        <v>95895000</v>
      </c>
      <c r="F51" s="665">
        <f>SUM(F36:F50)</f>
        <v>0</v>
      </c>
      <c r="G51" s="665">
        <f>SUM(G36:G50)</f>
        <v>0</v>
      </c>
      <c r="H51" s="665">
        <f t="shared" si="1"/>
        <v>124895000</v>
      </c>
    </row>
    <row r="52" spans="1:8" x14ac:dyDescent="0.25">
      <c r="A52" s="663">
        <v>4.0999999999999996</v>
      </c>
      <c r="B52" s="667" t="s">
        <v>1174</v>
      </c>
      <c r="C52" s="664">
        <f>'4.1 '!BN89</f>
        <v>0</v>
      </c>
      <c r="D52" s="664">
        <f>'4.1 '!BO89</f>
        <v>1000000</v>
      </c>
      <c r="E52" s="664">
        <f>'4.1 '!BP89</f>
        <v>32468700</v>
      </c>
      <c r="F52" s="664">
        <f>'4.1 '!BQ89</f>
        <v>0</v>
      </c>
      <c r="G52" s="664">
        <f>'4.1 '!BU89</f>
        <v>52068000</v>
      </c>
      <c r="H52" s="664">
        <f t="shared" si="1"/>
        <v>85536700</v>
      </c>
    </row>
    <row r="53" spans="1:8" x14ac:dyDescent="0.25">
      <c r="A53" s="663">
        <v>4.2</v>
      </c>
      <c r="B53" s="667" t="s">
        <v>1175</v>
      </c>
      <c r="C53" s="664">
        <f>'4.2'!BN56</f>
        <v>0</v>
      </c>
      <c r="D53" s="664">
        <f>'4.2'!BO56</f>
        <v>0</v>
      </c>
      <c r="E53" s="664">
        <f>'4.2'!BP56</f>
        <v>810000</v>
      </c>
      <c r="F53" s="664">
        <f>'4.2'!BQ56</f>
        <v>0</v>
      </c>
      <c r="G53" s="664">
        <f>'4.2'!BU56</f>
        <v>73363000</v>
      </c>
      <c r="H53" s="664">
        <f t="shared" si="1"/>
        <v>74173000</v>
      </c>
    </row>
    <row r="54" spans="1:8" x14ac:dyDescent="0.25">
      <c r="A54" s="663">
        <v>4.3</v>
      </c>
      <c r="B54" s="667" t="str">
        <f>'4.3 '!C6</f>
        <v>Monitoring, Evaluation and KM</v>
      </c>
      <c r="C54" s="664">
        <f>'4.3 '!BO35</f>
        <v>0</v>
      </c>
      <c r="D54" s="664">
        <f>'4.3 '!BP35</f>
        <v>3070000</v>
      </c>
      <c r="E54" s="664">
        <f>'4.3 '!BQ35</f>
        <v>1500000</v>
      </c>
      <c r="F54" s="664">
        <f>'4.3 '!BR35</f>
        <v>0</v>
      </c>
      <c r="G54" s="664">
        <f>'4.3 '!BV35</f>
        <v>0</v>
      </c>
      <c r="H54" s="664">
        <f t="shared" si="1"/>
        <v>4570000</v>
      </c>
    </row>
    <row r="55" spans="1:8" s="639" customFormat="1" x14ac:dyDescent="0.25">
      <c r="A55" s="663">
        <v>4</v>
      </c>
      <c r="B55" s="671" t="s">
        <v>1181</v>
      </c>
      <c r="C55" s="665">
        <f>SUM(C52:C54)</f>
        <v>0</v>
      </c>
      <c r="D55" s="665">
        <f t="shared" ref="D55:H55" si="2">SUM(D52:D54)</f>
        <v>4070000</v>
      </c>
      <c r="E55" s="665">
        <f t="shared" si="2"/>
        <v>34778700</v>
      </c>
      <c r="F55" s="665">
        <f t="shared" si="2"/>
        <v>0</v>
      </c>
      <c r="G55" s="665">
        <f t="shared" si="2"/>
        <v>125431000</v>
      </c>
      <c r="H55" s="665">
        <f t="shared" si="2"/>
        <v>164279700</v>
      </c>
    </row>
    <row r="56" spans="1:8" x14ac:dyDescent="0.25">
      <c r="A56" s="668"/>
      <c r="B56" s="672"/>
      <c r="C56" s="669"/>
      <c r="D56" s="669"/>
      <c r="E56" s="669"/>
      <c r="F56" s="669"/>
      <c r="G56" s="669"/>
      <c r="H56" s="669"/>
    </row>
    <row r="57" spans="1:8" x14ac:dyDescent="0.25">
      <c r="A57" s="668"/>
      <c r="B57" s="673" t="s">
        <v>1182</v>
      </c>
      <c r="C57" s="670">
        <f t="shared" ref="C57:H57" si="3">C55+C51+C35+C6</f>
        <v>40332000</v>
      </c>
      <c r="D57" s="670">
        <f t="shared" si="3"/>
        <v>108603439</v>
      </c>
      <c r="E57" s="670">
        <f t="shared" si="3"/>
        <v>540093207</v>
      </c>
      <c r="F57" s="670">
        <f t="shared" si="3"/>
        <v>51680000</v>
      </c>
      <c r="G57" s="670">
        <f t="shared" si="3"/>
        <v>128671000</v>
      </c>
      <c r="H57" s="670">
        <f t="shared" si="3"/>
        <v>869379646</v>
      </c>
    </row>
  </sheetData>
  <mergeCells count="1">
    <mergeCell ref="A2:H2"/>
  </mergeCells>
  <pageMargins left="0" right="0" top="0" bottom="0.25" header="0.05" footer="0.3"/>
  <pageSetup paperSize="9" scale="80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1AA31-1791-4A90-8567-BA983A559A6D}">
  <dimension ref="C2:J9"/>
  <sheetViews>
    <sheetView workbookViewId="0">
      <selection activeCell="L15" sqref="L15"/>
    </sheetView>
  </sheetViews>
  <sheetFormatPr defaultRowHeight="15" x14ac:dyDescent="0.25"/>
  <cols>
    <col min="3" max="3" width="5.5703125" bestFit="1" customWidth="1"/>
    <col min="4" max="4" width="12" bestFit="1" customWidth="1"/>
    <col min="5" max="5" width="11.5703125" bestFit="1" customWidth="1"/>
    <col min="6" max="6" width="12.5703125" bestFit="1" customWidth="1"/>
    <col min="7" max="7" width="15.5703125" customWidth="1"/>
    <col min="8" max="8" width="11.5703125" bestFit="1" customWidth="1"/>
    <col min="9" max="9" width="14.85546875" bestFit="1" customWidth="1"/>
    <col min="10" max="10" width="12.5703125" bestFit="1" customWidth="1"/>
  </cols>
  <sheetData>
    <row r="2" spans="3:10" ht="30" customHeight="1" x14ac:dyDescent="0.3">
      <c r="C2" s="903" t="s">
        <v>1185</v>
      </c>
      <c r="D2" s="903"/>
      <c r="E2" s="903"/>
      <c r="F2" s="903"/>
      <c r="G2" s="903"/>
      <c r="H2" s="903"/>
      <c r="I2" s="903"/>
      <c r="J2" s="903"/>
    </row>
    <row r="3" spans="3:10" s="505" customFormat="1" ht="30" customHeight="1" x14ac:dyDescent="0.25">
      <c r="C3" s="674" t="str">
        <f>'Category wise'!A3</f>
        <v>Sl No</v>
      </c>
      <c r="D3" s="674" t="str">
        <f>'Category wise'!B3</f>
        <v>Particulars</v>
      </c>
      <c r="E3" s="674" t="str">
        <f>'Category wise'!C3</f>
        <v>Civil work</v>
      </c>
      <c r="F3" s="674" t="str">
        <f>'Category wise'!D3</f>
        <v xml:space="preserve">Training </v>
      </c>
      <c r="G3" s="674" t="str">
        <f>'Category wise'!E3</f>
        <v>Goods, services and inputs</v>
      </c>
      <c r="H3" s="674" t="str">
        <f>'Category wise'!F3</f>
        <v>Grants</v>
      </c>
      <c r="I3" s="674" t="str">
        <f>'Category wise'!G3</f>
        <v>Operating costs</v>
      </c>
      <c r="J3" s="674" t="str">
        <f>'Category wise'!H3</f>
        <v>Total</v>
      </c>
    </row>
    <row r="4" spans="3:10" ht="30" customHeight="1" x14ac:dyDescent="0.25">
      <c r="C4" s="655">
        <f>'Category wise'!A6</f>
        <v>1</v>
      </c>
      <c r="D4" s="655" t="str">
        <f>'Category wise'!B6</f>
        <v>Subtotal (1)</v>
      </c>
      <c r="E4" s="658">
        <f>'Category wise'!C6</f>
        <v>0</v>
      </c>
      <c r="F4" s="658">
        <f>'Category wise'!D6</f>
        <v>94498739</v>
      </c>
      <c r="G4" s="658">
        <f>'Category wise'!E6</f>
        <v>157397000</v>
      </c>
      <c r="H4" s="658">
        <f>'Category wise'!F6</f>
        <v>51680000</v>
      </c>
      <c r="I4" s="658">
        <f>'Category wise'!G6</f>
        <v>0</v>
      </c>
      <c r="J4" s="659">
        <f>'Category wise'!H6</f>
        <v>303575739</v>
      </c>
    </row>
    <row r="5" spans="3:10" ht="30" customHeight="1" x14ac:dyDescent="0.25">
      <c r="C5" s="655">
        <f>'Category wise'!A35</f>
        <v>2</v>
      </c>
      <c r="D5" s="655" t="str">
        <f>'Category wise'!B35</f>
        <v>Sub-total (2)</v>
      </c>
      <c r="E5" s="658">
        <f>'Category wise'!C35</f>
        <v>14332000</v>
      </c>
      <c r="F5" s="658">
        <f>'Category wise'!D35</f>
        <v>7034700</v>
      </c>
      <c r="G5" s="658">
        <f>'Category wise'!E35</f>
        <v>252022507</v>
      </c>
      <c r="H5" s="658">
        <f>'Category wise'!F35</f>
        <v>0</v>
      </c>
      <c r="I5" s="658">
        <f>'Category wise'!G35</f>
        <v>3240000</v>
      </c>
      <c r="J5" s="659">
        <f>'Category wise'!H35</f>
        <v>276629207</v>
      </c>
    </row>
    <row r="6" spans="3:10" ht="30" customHeight="1" x14ac:dyDescent="0.25">
      <c r="C6" s="655">
        <f>'Category wise'!A51</f>
        <v>3</v>
      </c>
      <c r="D6" s="655" t="str">
        <f>'Category wise'!B51</f>
        <v>Sub-total (3)</v>
      </c>
      <c r="E6" s="658">
        <f>'Category wise'!C51</f>
        <v>26000000</v>
      </c>
      <c r="F6" s="658">
        <f>'Category wise'!D51</f>
        <v>3000000</v>
      </c>
      <c r="G6" s="658">
        <f>'Category wise'!E51</f>
        <v>95895000</v>
      </c>
      <c r="H6" s="658">
        <f>'Category wise'!F51</f>
        <v>0</v>
      </c>
      <c r="I6" s="658">
        <f>'Category wise'!G51</f>
        <v>0</v>
      </c>
      <c r="J6" s="659">
        <f>'Category wise'!H51</f>
        <v>124895000</v>
      </c>
    </row>
    <row r="7" spans="3:10" ht="30" customHeight="1" x14ac:dyDescent="0.25">
      <c r="C7" s="655">
        <f>'Category wise'!A55</f>
        <v>4</v>
      </c>
      <c r="D7" s="655" t="str">
        <f>'Category wise'!B55</f>
        <v>Sub-total (4)</v>
      </c>
      <c r="E7" s="658">
        <f>'Category wise'!C55</f>
        <v>0</v>
      </c>
      <c r="F7" s="658">
        <f>'Category wise'!D55</f>
        <v>4070000</v>
      </c>
      <c r="G7" s="658">
        <f>'Category wise'!E55</f>
        <v>34778700</v>
      </c>
      <c r="H7" s="658">
        <f>'Category wise'!F55</f>
        <v>0</v>
      </c>
      <c r="I7" s="658">
        <f>'Category wise'!G55</f>
        <v>125431000</v>
      </c>
      <c r="J7" s="659">
        <f>'Category wise'!H55</f>
        <v>164279700</v>
      </c>
    </row>
    <row r="8" spans="3:10" ht="30" customHeight="1" x14ac:dyDescent="0.25">
      <c r="C8" s="655"/>
      <c r="D8" s="655"/>
      <c r="E8" s="658"/>
      <c r="F8" s="658"/>
      <c r="G8" s="658"/>
      <c r="H8" s="658"/>
      <c r="I8" s="658"/>
      <c r="J8" s="659"/>
    </row>
    <row r="9" spans="3:10" ht="30" customHeight="1" x14ac:dyDescent="0.25">
      <c r="C9" s="655"/>
      <c r="D9" s="656" t="s">
        <v>1184</v>
      </c>
      <c r="E9" s="659">
        <f>SUM(E4:E7)</f>
        <v>40332000</v>
      </c>
      <c r="F9" s="659">
        <f t="shared" ref="F9:J9" si="0">SUM(F4:F7)</f>
        <v>108603439</v>
      </c>
      <c r="G9" s="659">
        <f t="shared" si="0"/>
        <v>540093207</v>
      </c>
      <c r="H9" s="659">
        <f t="shared" si="0"/>
        <v>51680000</v>
      </c>
      <c r="I9" s="659">
        <f t="shared" si="0"/>
        <v>128671000</v>
      </c>
      <c r="J9" s="659">
        <f t="shared" si="0"/>
        <v>869379646</v>
      </c>
    </row>
  </sheetData>
  <mergeCells count="1">
    <mergeCell ref="C2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38"/>
  <sheetViews>
    <sheetView tabSelected="1" workbookViewId="0">
      <selection activeCell="F19" sqref="F19"/>
    </sheetView>
  </sheetViews>
  <sheetFormatPr defaultColWidth="31.5703125" defaultRowHeight="15" x14ac:dyDescent="0.25"/>
  <cols>
    <col min="1" max="1" width="31.5703125" customWidth="1"/>
    <col min="2" max="2" width="7.85546875" bestFit="1" customWidth="1"/>
    <col min="3" max="3" width="53.42578125" customWidth="1"/>
    <col min="4" max="4" width="19.28515625" customWidth="1"/>
    <col min="5" max="5" width="15" customWidth="1"/>
    <col min="6" max="6" width="32.42578125" customWidth="1"/>
    <col min="7" max="7" width="16.28515625" customWidth="1"/>
  </cols>
  <sheetData>
    <row r="2" spans="2:7" ht="33" customHeight="1" x14ac:dyDescent="0.25">
      <c r="B2" s="697" t="s">
        <v>1013</v>
      </c>
      <c r="C2" s="698"/>
      <c r="D2" s="699"/>
    </row>
    <row r="3" spans="2:7" x14ac:dyDescent="0.25">
      <c r="B3" s="114" t="s">
        <v>58</v>
      </c>
      <c r="C3" s="114" t="s">
        <v>13</v>
      </c>
      <c r="D3" s="114" t="s">
        <v>558</v>
      </c>
      <c r="E3" t="str">
        <f>B3</f>
        <v>Sl. No.</v>
      </c>
      <c r="F3" t="str">
        <f>C3</f>
        <v>Component</v>
      </c>
      <c r="G3" t="s">
        <v>558</v>
      </c>
    </row>
    <row r="4" spans="2:7" x14ac:dyDescent="0.25">
      <c r="B4" s="113">
        <v>1</v>
      </c>
      <c r="C4" s="114" t="s">
        <v>59</v>
      </c>
      <c r="D4" s="107"/>
      <c r="E4">
        <v>1</v>
      </c>
      <c r="F4" t="str">
        <f>C4</f>
        <v>Community Empowerment</v>
      </c>
      <c r="G4" s="162">
        <f>D7</f>
        <v>303575739</v>
      </c>
    </row>
    <row r="5" spans="2:7" x14ac:dyDescent="0.25">
      <c r="B5" s="106">
        <v>1.1000000000000001</v>
      </c>
      <c r="C5" s="107" t="s">
        <v>63</v>
      </c>
      <c r="D5" s="108">
        <f>'1.1'!H51</f>
        <v>236591114</v>
      </c>
      <c r="E5">
        <v>2</v>
      </c>
      <c r="F5" t="str">
        <f>C8</f>
        <v>Natural Resources Management and Livelihoods Improvement</v>
      </c>
      <c r="G5" s="162">
        <f>D12</f>
        <v>718547892</v>
      </c>
    </row>
    <row r="6" spans="2:7" x14ac:dyDescent="0.25">
      <c r="B6" s="106">
        <v>1.2</v>
      </c>
      <c r="C6" s="107" t="s">
        <v>68</v>
      </c>
      <c r="D6" s="108">
        <f>'1.2'!F66</f>
        <v>66984625</v>
      </c>
      <c r="E6">
        <v>3</v>
      </c>
      <c r="F6" t="str">
        <f>C13</f>
        <v>Community Infrastructure and Drudgery reduction.</v>
      </c>
      <c r="G6" s="162">
        <f>D16</f>
        <v>249545000</v>
      </c>
    </row>
    <row r="7" spans="2:7" x14ac:dyDescent="0.25">
      <c r="B7" s="107"/>
      <c r="C7" s="114" t="s">
        <v>3</v>
      </c>
      <c r="D7" s="109">
        <f>SUM(D5:D6)</f>
        <v>303575739</v>
      </c>
      <c r="E7">
        <v>4</v>
      </c>
      <c r="F7" t="str">
        <f>C17</f>
        <v>Programme Management</v>
      </c>
      <c r="G7" s="162">
        <f>D21</f>
        <v>164279700</v>
      </c>
    </row>
    <row r="8" spans="2:7" ht="30" x14ac:dyDescent="0.25">
      <c r="B8" s="113">
        <v>2</v>
      </c>
      <c r="C8" s="114" t="s">
        <v>89</v>
      </c>
      <c r="D8" s="107"/>
      <c r="F8" t="s">
        <v>17</v>
      </c>
      <c r="G8" s="162">
        <f>SUM(G4:G7)</f>
        <v>1435948331</v>
      </c>
    </row>
    <row r="9" spans="2:7" x14ac:dyDescent="0.25">
      <c r="B9" s="106">
        <v>2.1</v>
      </c>
      <c r="C9" s="107" t="s">
        <v>176</v>
      </c>
      <c r="D9" s="108">
        <f>'2.1'!G102</f>
        <v>311534500</v>
      </c>
    </row>
    <row r="10" spans="2:7" x14ac:dyDescent="0.25">
      <c r="B10" s="106">
        <v>2.2000000000000002</v>
      </c>
      <c r="C10" s="107" t="s">
        <v>522</v>
      </c>
      <c r="D10" s="108">
        <f>'2.2'!H92</f>
        <v>191315582</v>
      </c>
    </row>
    <row r="11" spans="2:7" x14ac:dyDescent="0.25">
      <c r="B11" s="106">
        <v>2.2999999999999998</v>
      </c>
      <c r="C11" s="107" t="s">
        <v>521</v>
      </c>
      <c r="D11" s="108">
        <f>'2.3'!H65</f>
        <v>215697810</v>
      </c>
    </row>
    <row r="12" spans="2:7" x14ac:dyDescent="0.25">
      <c r="B12" s="107"/>
      <c r="C12" s="114" t="s">
        <v>3</v>
      </c>
      <c r="D12" s="109">
        <f>SUM(D9:D11)</f>
        <v>718547892</v>
      </c>
    </row>
    <row r="13" spans="2:7" ht="21" customHeight="1" x14ac:dyDescent="0.25">
      <c r="B13" s="113">
        <v>3</v>
      </c>
      <c r="C13" s="114" t="s">
        <v>91</v>
      </c>
      <c r="D13" s="107"/>
    </row>
    <row r="14" spans="2:7" x14ac:dyDescent="0.25">
      <c r="B14" s="106">
        <v>3.1</v>
      </c>
      <c r="C14" s="107" t="s">
        <v>168</v>
      </c>
      <c r="D14" s="108">
        <f>'3.1'!I53</f>
        <v>142625000</v>
      </c>
    </row>
    <row r="15" spans="2:7" x14ac:dyDescent="0.25">
      <c r="B15" s="106">
        <v>3.2</v>
      </c>
      <c r="C15" s="107" t="s">
        <v>99</v>
      </c>
      <c r="D15" s="108">
        <f>'3.2'!G46</f>
        <v>106920000</v>
      </c>
    </row>
    <row r="16" spans="2:7" x14ac:dyDescent="0.25">
      <c r="B16" s="107"/>
      <c r="C16" s="114" t="s">
        <v>3</v>
      </c>
      <c r="D16" s="109">
        <f>SUM(D14:D15)</f>
        <v>249545000</v>
      </c>
    </row>
    <row r="17" spans="2:5" x14ac:dyDescent="0.25">
      <c r="B17" s="113">
        <v>4</v>
      </c>
      <c r="C17" s="114" t="s">
        <v>160</v>
      </c>
      <c r="D17" s="107"/>
    </row>
    <row r="18" spans="2:5" x14ac:dyDescent="0.25">
      <c r="B18" s="106">
        <v>4.0999999999999996</v>
      </c>
      <c r="C18" s="107" t="s">
        <v>523</v>
      </c>
      <c r="D18" s="108">
        <f>'4.1 '!G89</f>
        <v>85536700</v>
      </c>
    </row>
    <row r="19" spans="2:5" x14ac:dyDescent="0.25">
      <c r="B19" s="106">
        <v>4.2</v>
      </c>
      <c r="C19" s="107" t="s">
        <v>524</v>
      </c>
      <c r="D19" s="108">
        <f>'4.2'!G56</f>
        <v>74173000</v>
      </c>
    </row>
    <row r="20" spans="2:5" x14ac:dyDescent="0.25">
      <c r="B20" s="106">
        <v>4.3</v>
      </c>
      <c r="C20" s="107" t="s">
        <v>525</v>
      </c>
      <c r="D20" s="108">
        <f>'4.3 '!H35</f>
        <v>4570000</v>
      </c>
    </row>
    <row r="21" spans="2:5" x14ac:dyDescent="0.25">
      <c r="B21" s="107"/>
      <c r="C21" s="114" t="s">
        <v>3</v>
      </c>
      <c r="D21" s="109">
        <f>SUM(D18:D20)</f>
        <v>164279700</v>
      </c>
    </row>
    <row r="22" spans="2:5" x14ac:dyDescent="0.25">
      <c r="B22" s="107"/>
      <c r="C22" s="107"/>
      <c r="D22" s="107"/>
    </row>
    <row r="23" spans="2:5" x14ac:dyDescent="0.25">
      <c r="B23" s="107"/>
      <c r="C23" s="114" t="s">
        <v>4</v>
      </c>
      <c r="D23" s="109">
        <f>SUM(D7+D12+D16+D21)</f>
        <v>1435948331</v>
      </c>
    </row>
    <row r="27" spans="2:5" ht="15" customHeight="1" x14ac:dyDescent="0.25">
      <c r="B27" s="695" t="s">
        <v>981</v>
      </c>
      <c r="C27" s="696"/>
      <c r="D27" s="696"/>
    </row>
    <row r="28" spans="2:5" x14ac:dyDescent="0.25">
      <c r="B28" s="105" t="s">
        <v>618</v>
      </c>
      <c r="C28" s="105" t="s">
        <v>619</v>
      </c>
      <c r="D28" s="114" t="s">
        <v>558</v>
      </c>
      <c r="E28" s="165"/>
    </row>
    <row r="29" spans="2:5" x14ac:dyDescent="0.25">
      <c r="B29" s="111">
        <v>1</v>
      </c>
      <c r="C29" s="107" t="s">
        <v>303</v>
      </c>
      <c r="D29" s="110">
        <f>'Sum, scheme'!E30</f>
        <v>189059909.69999999</v>
      </c>
      <c r="E29" s="166"/>
    </row>
    <row r="30" spans="2:5" x14ac:dyDescent="0.25">
      <c r="B30" s="111">
        <v>2</v>
      </c>
      <c r="C30" s="107" t="s">
        <v>227</v>
      </c>
      <c r="D30" s="110">
        <f>'Sum, scheme'!F30</f>
        <v>673803299.60000002</v>
      </c>
      <c r="E30" s="166"/>
    </row>
    <row r="31" spans="2:5" x14ac:dyDescent="0.25">
      <c r="B31" s="111">
        <v>3</v>
      </c>
      <c r="C31" s="107" t="s">
        <v>620</v>
      </c>
      <c r="D31" s="110">
        <f>'Sum, scheme'!G30</f>
        <v>0</v>
      </c>
      <c r="E31" s="166"/>
    </row>
    <row r="32" spans="2:5" x14ac:dyDescent="0.25">
      <c r="B32" s="111">
        <v>4</v>
      </c>
      <c r="C32" s="107" t="s">
        <v>621</v>
      </c>
      <c r="D32" s="110">
        <f>'Sum, scheme'!H30</f>
        <v>10900000</v>
      </c>
      <c r="E32" s="166"/>
    </row>
    <row r="33" spans="2:5" x14ac:dyDescent="0.25">
      <c r="B33" s="111">
        <v>5</v>
      </c>
      <c r="C33" s="107" t="s">
        <v>622</v>
      </c>
      <c r="D33" s="110">
        <f>'Sum, scheme'!I30</f>
        <v>207929935</v>
      </c>
      <c r="E33" s="166"/>
    </row>
    <row r="34" spans="2:5" x14ac:dyDescent="0.25">
      <c r="B34" s="111">
        <v>6</v>
      </c>
      <c r="C34" s="107" t="s">
        <v>623</v>
      </c>
      <c r="D34" s="110">
        <f>'Sum, scheme'!J30</f>
        <v>250900000</v>
      </c>
      <c r="E34" s="166"/>
    </row>
    <row r="35" spans="2:5" x14ac:dyDescent="0.25">
      <c r="B35" s="111">
        <v>7</v>
      </c>
      <c r="C35" s="107" t="s">
        <v>590</v>
      </c>
      <c r="D35" s="110">
        <f>'Sum, scheme'!N30</f>
        <v>0</v>
      </c>
      <c r="E35" s="166"/>
    </row>
    <row r="36" spans="2:5" x14ac:dyDescent="0.25">
      <c r="B36" s="111">
        <v>8</v>
      </c>
      <c r="C36" s="107" t="s">
        <v>920</v>
      </c>
      <c r="D36" s="110">
        <f>'Sum, scheme'!K30</f>
        <v>56838750</v>
      </c>
      <c r="E36" s="166"/>
    </row>
    <row r="37" spans="2:5" x14ac:dyDescent="0.25">
      <c r="B37" s="111">
        <v>9</v>
      </c>
      <c r="C37" s="107" t="s">
        <v>616</v>
      </c>
      <c r="D37" s="110">
        <f>'Sum, scheme'!M30</f>
        <v>46516436.700000003</v>
      </c>
      <c r="E37" s="166"/>
    </row>
    <row r="38" spans="2:5" x14ac:dyDescent="0.25">
      <c r="B38" s="107"/>
      <c r="C38" s="105" t="s">
        <v>17</v>
      </c>
      <c r="D38" s="112">
        <f>SUM(D29:D37)</f>
        <v>1435948331</v>
      </c>
      <c r="E38" s="166"/>
    </row>
  </sheetData>
  <mergeCells count="2">
    <mergeCell ref="B27:D27"/>
    <mergeCell ref="B2:D2"/>
  </mergeCells>
  <printOptions horizontalCentered="1" verticalCentered="1"/>
  <pageMargins left="0" right="0" top="0.5" bottom="0.5" header="0.3" footer="0.3"/>
  <pageSetup paperSize="9" scale="57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S43"/>
  <sheetViews>
    <sheetView view="pageBreakPreview" zoomScale="90" zoomScaleNormal="85" zoomScaleSheetLayoutView="90" workbookViewId="0">
      <pane xSplit="4" ySplit="9" topLeftCell="E23" activePane="bottomRight" state="frozen"/>
      <selection pane="topRight" activeCell="E1" sqref="E1"/>
      <selection pane="bottomLeft" activeCell="A10" sqref="A10"/>
      <selection pane="bottomRight" activeCell="B37" sqref="B37"/>
    </sheetView>
  </sheetViews>
  <sheetFormatPr defaultColWidth="9.140625" defaultRowHeight="15.75" x14ac:dyDescent="0.25"/>
  <cols>
    <col min="1" max="1" width="8.28515625" style="2" customWidth="1"/>
    <col min="2" max="2" width="10.85546875" style="2" bestFit="1" customWidth="1"/>
    <col min="3" max="3" width="33" style="2" customWidth="1"/>
    <col min="4" max="4" width="22.28515625" style="2" bestFit="1" customWidth="1"/>
    <col min="5" max="5" width="13.42578125" style="2" bestFit="1" customWidth="1"/>
    <col min="6" max="6" width="22" style="2" bestFit="1" customWidth="1"/>
    <col min="7" max="7" width="14" style="2" bestFit="1" customWidth="1"/>
    <col min="8" max="8" width="22" style="2" bestFit="1" customWidth="1"/>
    <col min="9" max="9" width="14" style="2" bestFit="1" customWidth="1"/>
    <col min="10" max="10" width="21.5703125" style="2" bestFit="1" customWidth="1"/>
    <col min="11" max="11" width="15.140625" style="2" bestFit="1" customWidth="1"/>
    <col min="12" max="12" width="21.5703125" style="2" bestFit="1" customWidth="1"/>
    <col min="13" max="13" width="14" style="2" bestFit="1" customWidth="1"/>
    <col min="14" max="14" width="22" style="2" bestFit="1" customWidth="1"/>
    <col min="15" max="15" width="14" style="2" bestFit="1" customWidth="1"/>
    <col min="16" max="16" width="21.5703125" style="2" bestFit="1" customWidth="1"/>
    <col min="17" max="17" width="14" style="2" bestFit="1" customWidth="1"/>
    <col min="18" max="18" width="22" style="2" bestFit="1" customWidth="1"/>
    <col min="19" max="19" width="14" style="2" bestFit="1" customWidth="1"/>
    <col min="20" max="20" width="23.28515625" style="2" bestFit="1" customWidth="1"/>
    <col min="21" max="21" width="13.42578125" style="2" bestFit="1" customWidth="1"/>
    <col min="22" max="22" width="22" style="2" bestFit="1" customWidth="1"/>
    <col min="23" max="23" width="13.42578125" style="2" bestFit="1" customWidth="1"/>
    <col min="24" max="24" width="22" style="2" bestFit="1" customWidth="1"/>
    <col min="25" max="25" width="13.42578125" style="2" bestFit="1" customWidth="1"/>
    <col min="26" max="26" width="21.5703125" style="2" bestFit="1" customWidth="1"/>
    <col min="27" max="27" width="14" style="2" bestFit="1" customWidth="1"/>
    <col min="28" max="28" width="22" style="2" bestFit="1" customWidth="1"/>
    <col min="29" max="29" width="14" style="2" bestFit="1" customWidth="1"/>
    <col min="30" max="30" width="22" style="2" bestFit="1" customWidth="1"/>
    <col min="31" max="31" width="14" style="2" bestFit="1" customWidth="1"/>
    <col min="32" max="32" width="22" style="2" bestFit="1" customWidth="1"/>
    <col min="33" max="33" width="14" style="2" bestFit="1" customWidth="1"/>
    <col min="34" max="34" width="22" style="2" bestFit="1" customWidth="1"/>
    <col min="35" max="35" width="14" style="2" bestFit="1" customWidth="1"/>
    <col min="36" max="36" width="21.5703125" style="2" bestFit="1" customWidth="1"/>
    <col min="37" max="37" width="14" style="2" bestFit="1" customWidth="1"/>
    <col min="38" max="38" width="22" style="2" bestFit="1" customWidth="1"/>
    <col min="39" max="39" width="14" style="2" bestFit="1" customWidth="1"/>
    <col min="40" max="40" width="22.28515625" style="2" bestFit="1" customWidth="1"/>
    <col min="41" max="41" width="15.140625" style="2" bestFit="1" customWidth="1"/>
    <col min="42" max="42" width="25.85546875" style="2" bestFit="1" customWidth="1"/>
    <col min="43" max="43" width="9.140625" style="2"/>
    <col min="44" max="44" width="22.7109375" style="2" bestFit="1" customWidth="1"/>
    <col min="45" max="45" width="11.28515625" style="2" bestFit="1" customWidth="1"/>
    <col min="46" max="16384" width="9.140625" style="2"/>
  </cols>
  <sheetData>
    <row r="1" spans="1:45" s="126" customFormat="1" ht="13.5" customHeight="1" x14ac:dyDescent="0.25">
      <c r="A1" s="124"/>
      <c r="B1" s="124"/>
      <c r="C1" s="124"/>
      <c r="D1" s="122"/>
      <c r="E1" s="122"/>
    </row>
    <row r="2" spans="1:45" s="126" customFormat="1" x14ac:dyDescent="0.25">
      <c r="A2" s="124" t="s">
        <v>154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45" s="126" customFormat="1" x14ac:dyDescent="0.25">
      <c r="A3" s="124" t="s">
        <v>952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45" s="126" customFormat="1" x14ac:dyDescent="0.25">
      <c r="A4" s="125" t="s">
        <v>5</v>
      </c>
      <c r="B4" s="125"/>
      <c r="C4" s="125"/>
      <c r="D4" s="123"/>
      <c r="E4" s="123"/>
    </row>
    <row r="5" spans="1:45" s="126" customFormat="1" x14ac:dyDescent="0.25">
      <c r="A5" s="127"/>
      <c r="B5" s="127"/>
      <c r="C5" s="127"/>
      <c r="D5" s="127"/>
      <c r="E5" s="127"/>
    </row>
    <row r="6" spans="1:45" s="19" customFormat="1" ht="22.9" customHeight="1" x14ac:dyDescent="0.25">
      <c r="A6" s="711" t="s">
        <v>58</v>
      </c>
      <c r="B6" s="711" t="s">
        <v>56</v>
      </c>
      <c r="C6" s="713" t="s">
        <v>13</v>
      </c>
      <c r="D6" s="56"/>
      <c r="E6" s="35"/>
    </row>
    <row r="7" spans="1:45" s="20" customFormat="1" ht="54" customHeight="1" x14ac:dyDescent="0.25">
      <c r="A7" s="712"/>
      <c r="B7" s="712"/>
      <c r="C7" s="714"/>
      <c r="D7" s="57" t="s">
        <v>1018</v>
      </c>
      <c r="E7" s="709" t="s">
        <v>298</v>
      </c>
      <c r="F7" s="710"/>
      <c r="G7" s="709" t="s">
        <v>299</v>
      </c>
      <c r="H7" s="710"/>
      <c r="I7" s="709" t="s">
        <v>300</v>
      </c>
      <c r="J7" s="710"/>
      <c r="K7" s="709" t="s">
        <v>301</v>
      </c>
      <c r="L7" s="710"/>
      <c r="M7" s="709" t="s">
        <v>184</v>
      </c>
      <c r="N7" s="710"/>
      <c r="O7" s="709" t="s">
        <v>185</v>
      </c>
      <c r="P7" s="710"/>
      <c r="Q7" s="709" t="s">
        <v>186</v>
      </c>
      <c r="R7" s="710"/>
      <c r="S7" s="709" t="s">
        <v>187</v>
      </c>
      <c r="T7" s="710"/>
      <c r="U7" s="709" t="s">
        <v>188</v>
      </c>
      <c r="V7" s="710"/>
      <c r="W7" s="709" t="s">
        <v>189</v>
      </c>
      <c r="X7" s="710"/>
      <c r="Y7" s="709" t="s">
        <v>190</v>
      </c>
      <c r="Z7" s="710"/>
      <c r="AA7" s="709" t="s">
        <v>191</v>
      </c>
      <c r="AB7" s="710"/>
      <c r="AC7" s="709" t="s">
        <v>192</v>
      </c>
      <c r="AD7" s="710"/>
      <c r="AE7" s="709" t="s">
        <v>193</v>
      </c>
      <c r="AF7" s="710"/>
      <c r="AG7" s="709" t="s">
        <v>194</v>
      </c>
      <c r="AH7" s="710"/>
      <c r="AI7" s="709" t="s">
        <v>195</v>
      </c>
      <c r="AJ7" s="710"/>
      <c r="AK7" s="709" t="s">
        <v>196</v>
      </c>
      <c r="AL7" s="710"/>
      <c r="AM7" s="717" t="s">
        <v>197</v>
      </c>
      <c r="AN7" s="718"/>
      <c r="AO7" s="715" t="s">
        <v>37</v>
      </c>
      <c r="AP7" s="716"/>
      <c r="AR7" s="20" t="s">
        <v>613</v>
      </c>
    </row>
    <row r="8" spans="1:45" ht="9.75" customHeight="1" x14ac:dyDescent="0.25">
      <c r="A8" s="701"/>
      <c r="B8" s="702"/>
      <c r="C8" s="702"/>
      <c r="D8" s="58"/>
      <c r="E8" s="18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</row>
    <row r="9" spans="1:45" s="54" customFormat="1" ht="18" customHeight="1" x14ac:dyDescent="0.25">
      <c r="A9" s="703">
        <v>1</v>
      </c>
      <c r="B9" s="42">
        <v>10000</v>
      </c>
      <c r="C9" s="43" t="s">
        <v>0</v>
      </c>
      <c r="D9" s="59"/>
      <c r="E9" s="53" t="s">
        <v>14</v>
      </c>
      <c r="F9" s="33" t="s">
        <v>15</v>
      </c>
      <c r="G9" s="53" t="s">
        <v>14</v>
      </c>
      <c r="H9" s="33" t="s">
        <v>15</v>
      </c>
      <c r="I9" s="53" t="s">
        <v>14</v>
      </c>
      <c r="J9" s="33" t="s">
        <v>15</v>
      </c>
      <c r="K9" s="53" t="s">
        <v>14</v>
      </c>
      <c r="L9" s="33" t="s">
        <v>15</v>
      </c>
      <c r="M9" s="53" t="s">
        <v>14</v>
      </c>
      <c r="N9" s="33" t="s">
        <v>15</v>
      </c>
      <c r="O9" s="53" t="s">
        <v>14</v>
      </c>
      <c r="P9" s="33" t="s">
        <v>15</v>
      </c>
      <c r="Q9" s="53" t="s">
        <v>14</v>
      </c>
      <c r="R9" s="33" t="s">
        <v>15</v>
      </c>
      <c r="S9" s="53" t="s">
        <v>14</v>
      </c>
      <c r="T9" s="33" t="s">
        <v>15</v>
      </c>
      <c r="U9" s="53" t="s">
        <v>14</v>
      </c>
      <c r="V9" s="33" t="s">
        <v>15</v>
      </c>
      <c r="W9" s="53" t="s">
        <v>14</v>
      </c>
      <c r="X9" s="33" t="s">
        <v>15</v>
      </c>
      <c r="Y9" s="53" t="s">
        <v>14</v>
      </c>
      <c r="Z9" s="33" t="s">
        <v>15</v>
      </c>
      <c r="AA9" s="53" t="s">
        <v>14</v>
      </c>
      <c r="AB9" s="33" t="s">
        <v>15</v>
      </c>
      <c r="AC9" s="53" t="s">
        <v>14</v>
      </c>
      <c r="AD9" s="33" t="s">
        <v>15</v>
      </c>
      <c r="AE9" s="53" t="s">
        <v>14</v>
      </c>
      <c r="AF9" s="33" t="s">
        <v>15</v>
      </c>
      <c r="AG9" s="53" t="s">
        <v>14</v>
      </c>
      <c r="AH9" s="33" t="s">
        <v>15</v>
      </c>
      <c r="AI9" s="53" t="s">
        <v>14</v>
      </c>
      <c r="AJ9" s="33" t="s">
        <v>15</v>
      </c>
      <c r="AK9" s="53" t="s">
        <v>14</v>
      </c>
      <c r="AL9" s="33" t="s">
        <v>15</v>
      </c>
      <c r="AM9" s="53" t="s">
        <v>14</v>
      </c>
      <c r="AN9" s="33" t="s">
        <v>15</v>
      </c>
      <c r="AO9" s="53" t="s">
        <v>14</v>
      </c>
      <c r="AP9" s="33" t="s">
        <v>15</v>
      </c>
    </row>
    <row r="10" spans="1:45" s="3" customFormat="1" ht="31.5" x14ac:dyDescent="0.25">
      <c r="A10" s="704"/>
      <c r="B10" s="39">
        <v>11000</v>
      </c>
      <c r="C10" s="49" t="s">
        <v>63</v>
      </c>
      <c r="D10" s="62">
        <f>'1.1'!H51</f>
        <v>236591114</v>
      </c>
      <c r="E10" s="36">
        <f>'1.1'!AA51</f>
        <v>3270</v>
      </c>
      <c r="F10" s="36">
        <f>'1.1'!AB51</f>
        <v>12737600</v>
      </c>
      <c r="G10" s="36">
        <f>'1.1'!AC51</f>
        <v>971</v>
      </c>
      <c r="H10" s="36">
        <f>'1.1'!AD51</f>
        <v>8646864</v>
      </c>
      <c r="I10" s="36">
        <f>'1.1'!AE51</f>
        <v>2447</v>
      </c>
      <c r="J10" s="36">
        <f>'1.1'!AF51</f>
        <v>10082500</v>
      </c>
      <c r="K10" s="36">
        <f>'1.1'!AG51</f>
        <v>3807.5</v>
      </c>
      <c r="L10" s="36">
        <f>'1.1'!AH51</f>
        <v>13560850</v>
      </c>
      <c r="M10" s="36">
        <f>'1.1'!AI51</f>
        <v>1774</v>
      </c>
      <c r="N10" s="36">
        <f>'1.1'!AJ51</f>
        <v>9770500</v>
      </c>
      <c r="O10" s="36">
        <f>'1.1'!AK51</f>
        <v>2048</v>
      </c>
      <c r="P10" s="36">
        <f>'1.1'!AL51</f>
        <v>9621050</v>
      </c>
      <c r="Q10" s="36">
        <f>'1.1'!AM51</f>
        <v>1860</v>
      </c>
      <c r="R10" s="36">
        <f>'1.1'!AN51</f>
        <v>8661900</v>
      </c>
      <c r="S10" s="36">
        <f>'1.1'!AO51</f>
        <v>3064</v>
      </c>
      <c r="T10" s="36">
        <f>'1.1'!AP51</f>
        <v>9893300</v>
      </c>
      <c r="U10" s="36">
        <f>'1.1'!AQ51</f>
        <v>638</v>
      </c>
      <c r="V10" s="36">
        <f>'1.1'!AR51</f>
        <v>7487600</v>
      </c>
      <c r="W10" s="36">
        <f>'1.1'!AS51</f>
        <v>1440</v>
      </c>
      <c r="X10" s="36">
        <f>'1.1'!AT51</f>
        <v>13284100</v>
      </c>
      <c r="Y10" s="36">
        <f>'1.1'!AU51</f>
        <v>1903</v>
      </c>
      <c r="Z10" s="36">
        <f>'1.1'!AV51</f>
        <v>11631700</v>
      </c>
      <c r="AA10" s="36">
        <f>'1.1'!AW51</f>
        <v>1895</v>
      </c>
      <c r="AB10" s="36">
        <f>'1.1'!AX51</f>
        <v>9566300</v>
      </c>
      <c r="AC10" s="36">
        <f>'1.1'!AY51</f>
        <v>1917</v>
      </c>
      <c r="AD10" s="36">
        <f>'1.1'!AZ51</f>
        <v>9646050</v>
      </c>
      <c r="AE10" s="36">
        <f>'1.1'!BA51</f>
        <v>2677</v>
      </c>
      <c r="AF10" s="36">
        <f>'1.1'!BB51</f>
        <v>9985850</v>
      </c>
      <c r="AG10" s="36">
        <f>'1.1'!BC51</f>
        <v>2717</v>
      </c>
      <c r="AH10" s="36">
        <f>'1.1'!BD51</f>
        <v>12226350</v>
      </c>
      <c r="AI10" s="36">
        <f>'1.1'!BE51</f>
        <v>4808</v>
      </c>
      <c r="AJ10" s="36">
        <f>'1.1'!BF51</f>
        <v>15371200</v>
      </c>
      <c r="AK10" s="36">
        <f>'1.1'!BG51</f>
        <v>2118</v>
      </c>
      <c r="AL10" s="36">
        <f>'1.1'!BH51</f>
        <v>9965400</v>
      </c>
      <c r="AM10" s="36">
        <f>'1.1'!BI51</f>
        <v>1429</v>
      </c>
      <c r="AN10" s="36">
        <f>'1.1'!BJ51</f>
        <v>54452000</v>
      </c>
      <c r="AO10" s="45">
        <f>AM10+AK10+AI10+AG10+AE10+AC10+AA10+Y10+W10+U10+S10+Q10+O10+M10+K10+I10+G10+E10</f>
        <v>40783.5</v>
      </c>
      <c r="AP10" s="45">
        <f>AN10+AL10+AJ10+AH10+AF10+AD10+AB10+Z10+X10+V10+T10+R10+P10+N10+L10+J10+H10+F10</f>
        <v>236591114</v>
      </c>
      <c r="AR10" s="4">
        <f>D10-AP10</f>
        <v>0</v>
      </c>
    </row>
    <row r="11" spans="1:45" s="3" customFormat="1" ht="29.25" customHeight="1" x14ac:dyDescent="0.25">
      <c r="A11" s="704"/>
      <c r="B11" s="39">
        <v>12000</v>
      </c>
      <c r="C11" s="49" t="s">
        <v>68</v>
      </c>
      <c r="D11" s="62">
        <f>'1.2'!F66</f>
        <v>66984625</v>
      </c>
      <c r="E11" s="37">
        <f>'1.2'!Y66</f>
        <v>1420</v>
      </c>
      <c r="F11" s="37">
        <f>'1.2'!Z66</f>
        <v>5054700</v>
      </c>
      <c r="G11" s="37">
        <f>'1.2'!AA66</f>
        <v>865</v>
      </c>
      <c r="H11" s="37">
        <f>'1.2'!AB66</f>
        <v>2140900</v>
      </c>
      <c r="I11" s="37">
        <f>'1.2'!AC66</f>
        <v>1635</v>
      </c>
      <c r="J11" s="37">
        <f>'1.2'!AD66</f>
        <v>4934600</v>
      </c>
      <c r="K11" s="37">
        <f>'1.2'!AE66</f>
        <v>1650</v>
      </c>
      <c r="L11" s="37">
        <f>'1.2'!AF66</f>
        <v>6522250</v>
      </c>
      <c r="M11" s="37">
        <f>'1.2'!AG66</f>
        <v>741</v>
      </c>
      <c r="N11" s="37">
        <f>'1.2'!AH66</f>
        <v>1275850</v>
      </c>
      <c r="O11" s="37">
        <f>'1.2'!AI66</f>
        <v>1588</v>
      </c>
      <c r="P11" s="37">
        <f>'1.2'!AJ66</f>
        <v>6019300</v>
      </c>
      <c r="Q11" s="37">
        <f>'1.2'!AK66</f>
        <v>1154</v>
      </c>
      <c r="R11" s="37">
        <f>'1.2'!AL66</f>
        <v>3183400</v>
      </c>
      <c r="S11" s="37">
        <f>'1.2'!AM66</f>
        <v>1872</v>
      </c>
      <c r="T11" s="37">
        <f>'1.2'!AN66</f>
        <v>2272050</v>
      </c>
      <c r="U11" s="37">
        <f>'1.2'!AO66</f>
        <v>821</v>
      </c>
      <c r="V11" s="37">
        <f>'1.2'!AP66</f>
        <v>2682650</v>
      </c>
      <c r="W11" s="37">
        <f>'1.2'!AQ66</f>
        <v>1348</v>
      </c>
      <c r="X11" s="37">
        <f>'1.2'!AR66</f>
        <v>5194600</v>
      </c>
      <c r="Y11" s="37">
        <f>'1.2'!AS66</f>
        <v>1712</v>
      </c>
      <c r="Z11" s="37">
        <f>'1.2'!AT66</f>
        <v>4000450</v>
      </c>
      <c r="AA11" s="37">
        <f>'1.2'!AU66</f>
        <v>1418</v>
      </c>
      <c r="AB11" s="37">
        <f>'1.2'!AV66</f>
        <v>4957700</v>
      </c>
      <c r="AC11" s="37">
        <f>'1.2'!AW66</f>
        <v>1664</v>
      </c>
      <c r="AD11" s="37">
        <f>'1.2'!AX66</f>
        <v>2991000</v>
      </c>
      <c r="AE11" s="37">
        <f>'1.2'!AY66</f>
        <v>1810</v>
      </c>
      <c r="AF11" s="37">
        <f>'1.2'!AZ66</f>
        <v>3807500</v>
      </c>
      <c r="AG11" s="37">
        <f>'1.2'!BA66</f>
        <v>1255.5</v>
      </c>
      <c r="AH11" s="37">
        <f>'1.2'!BB66</f>
        <v>2956825</v>
      </c>
      <c r="AI11" s="37">
        <f>'1.2'!BC66</f>
        <v>1844</v>
      </c>
      <c r="AJ11" s="37">
        <f>'1.2'!BD66</f>
        <v>1968800</v>
      </c>
      <c r="AK11" s="37">
        <f>'1.2'!BE66</f>
        <v>1503</v>
      </c>
      <c r="AL11" s="37">
        <f>'1.2'!BF66</f>
        <v>6467050</v>
      </c>
      <c r="AM11" s="37">
        <f>'1.2'!BG66</f>
        <v>511</v>
      </c>
      <c r="AN11" s="37">
        <f>'1.2'!BH66</f>
        <v>555000</v>
      </c>
      <c r="AO11" s="45">
        <f>AM11+AK11+AI11+AG11+AE11+AC11+AA11+Y11+W11+U11+S11+Q11+O11+M11+K11+I11+G11+E11</f>
        <v>24811.5</v>
      </c>
      <c r="AP11" s="45">
        <f>AN11+AL11+AJ11+AH11+AF11+AD11+AB11+Z11+X11+V11+T11+R11+P11+N11+L11+J11+H11+F11</f>
        <v>66984625</v>
      </c>
      <c r="AR11" s="4">
        <f>D11-AP11</f>
        <v>0</v>
      </c>
    </row>
    <row r="12" spans="1:45" s="3" customFormat="1" x14ac:dyDescent="0.25">
      <c r="A12" s="705"/>
      <c r="B12" s="42"/>
      <c r="C12" s="50" t="s">
        <v>3</v>
      </c>
      <c r="D12" s="47">
        <f t="shared" ref="D12:AP12" si="0">SUM(D10:D11)</f>
        <v>303575739</v>
      </c>
      <c r="E12" s="47">
        <f t="shared" si="0"/>
        <v>4690</v>
      </c>
      <c r="F12" s="47">
        <f t="shared" si="0"/>
        <v>17792300</v>
      </c>
      <c r="G12" s="47">
        <f t="shared" si="0"/>
        <v>1836</v>
      </c>
      <c r="H12" s="47">
        <f t="shared" si="0"/>
        <v>10787764</v>
      </c>
      <c r="I12" s="47">
        <f t="shared" si="0"/>
        <v>4082</v>
      </c>
      <c r="J12" s="47">
        <f t="shared" si="0"/>
        <v>15017100</v>
      </c>
      <c r="K12" s="47">
        <f t="shared" si="0"/>
        <v>5457.5</v>
      </c>
      <c r="L12" s="47">
        <f t="shared" si="0"/>
        <v>20083100</v>
      </c>
      <c r="M12" s="47">
        <f t="shared" si="0"/>
        <v>2515</v>
      </c>
      <c r="N12" s="47">
        <f t="shared" si="0"/>
        <v>11046350</v>
      </c>
      <c r="O12" s="47">
        <f t="shared" si="0"/>
        <v>3636</v>
      </c>
      <c r="P12" s="47">
        <f t="shared" si="0"/>
        <v>15640350</v>
      </c>
      <c r="Q12" s="47">
        <f t="shared" si="0"/>
        <v>3014</v>
      </c>
      <c r="R12" s="47">
        <f t="shared" si="0"/>
        <v>11845300</v>
      </c>
      <c r="S12" s="47">
        <f t="shared" si="0"/>
        <v>4936</v>
      </c>
      <c r="T12" s="47">
        <f t="shared" si="0"/>
        <v>12165350</v>
      </c>
      <c r="U12" s="47">
        <f t="shared" si="0"/>
        <v>1459</v>
      </c>
      <c r="V12" s="47">
        <f t="shared" si="0"/>
        <v>10170250</v>
      </c>
      <c r="W12" s="47">
        <f t="shared" si="0"/>
        <v>2788</v>
      </c>
      <c r="X12" s="47">
        <f t="shared" si="0"/>
        <v>18478700</v>
      </c>
      <c r="Y12" s="47">
        <f t="shared" si="0"/>
        <v>3615</v>
      </c>
      <c r="Z12" s="47">
        <f t="shared" si="0"/>
        <v>15632150</v>
      </c>
      <c r="AA12" s="47">
        <f t="shared" si="0"/>
        <v>3313</v>
      </c>
      <c r="AB12" s="47">
        <f t="shared" si="0"/>
        <v>14524000</v>
      </c>
      <c r="AC12" s="47">
        <f t="shared" si="0"/>
        <v>3581</v>
      </c>
      <c r="AD12" s="47">
        <f>SUM(AD10:AD11)</f>
        <v>12637050</v>
      </c>
      <c r="AE12" s="47">
        <f t="shared" si="0"/>
        <v>4487</v>
      </c>
      <c r="AF12" s="47">
        <f t="shared" si="0"/>
        <v>13793350</v>
      </c>
      <c r="AG12" s="47">
        <f t="shared" si="0"/>
        <v>3972.5</v>
      </c>
      <c r="AH12" s="47">
        <f t="shared" si="0"/>
        <v>15183175</v>
      </c>
      <c r="AI12" s="47">
        <f t="shared" si="0"/>
        <v>6652</v>
      </c>
      <c r="AJ12" s="47">
        <f t="shared" si="0"/>
        <v>17340000</v>
      </c>
      <c r="AK12" s="47">
        <f t="shared" si="0"/>
        <v>3621</v>
      </c>
      <c r="AL12" s="47">
        <f t="shared" si="0"/>
        <v>16432450</v>
      </c>
      <c r="AM12" s="47">
        <f t="shared" si="0"/>
        <v>1940</v>
      </c>
      <c r="AN12" s="47">
        <f t="shared" si="0"/>
        <v>55007000</v>
      </c>
      <c r="AO12" s="47">
        <f t="shared" si="0"/>
        <v>65595</v>
      </c>
      <c r="AP12" s="47">
        <f t="shared" si="0"/>
        <v>303575739</v>
      </c>
      <c r="AR12" s="4">
        <f>D12-AP12</f>
        <v>0</v>
      </c>
    </row>
    <row r="13" spans="1:45" s="3" customFormat="1" x14ac:dyDescent="0.25">
      <c r="A13" s="48"/>
      <c r="B13" s="48"/>
      <c r="C13" s="51"/>
      <c r="D13" s="51"/>
      <c r="E13" s="36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34"/>
    </row>
    <row r="14" spans="1:45" s="3" customFormat="1" x14ac:dyDescent="0.25">
      <c r="A14" s="703">
        <v>2</v>
      </c>
      <c r="B14" s="42">
        <v>20000</v>
      </c>
      <c r="C14" s="38" t="s">
        <v>89</v>
      </c>
      <c r="D14" s="60"/>
      <c r="E14" s="36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34"/>
    </row>
    <row r="15" spans="1:45" s="3" customFormat="1" x14ac:dyDescent="0.25">
      <c r="A15" s="704"/>
      <c r="B15" s="39">
        <v>21000</v>
      </c>
      <c r="C15" s="40" t="s">
        <v>176</v>
      </c>
      <c r="D15" s="63">
        <f>'2.1'!G102</f>
        <v>311534500</v>
      </c>
      <c r="E15" s="36">
        <f>'2.1'!Z102</f>
        <v>1138</v>
      </c>
      <c r="F15" s="36">
        <f>'2.1'!AA102</f>
        <v>25777500</v>
      </c>
      <c r="G15" s="36">
        <f>'2.1'!AB102</f>
        <v>2352</v>
      </c>
      <c r="H15" s="36">
        <f>'2.1'!AC102</f>
        <v>20984638</v>
      </c>
      <c r="I15" s="36">
        <f>'2.1'!AD102</f>
        <v>847</v>
      </c>
      <c r="J15" s="36">
        <f>'2.1'!AE102</f>
        <v>5643500</v>
      </c>
      <c r="K15" s="36">
        <f>'2.1'!AF102</f>
        <v>2908</v>
      </c>
      <c r="L15" s="36">
        <f>'2.1'!AG102</f>
        <v>29677232</v>
      </c>
      <c r="M15" s="36">
        <f>'2.1'!AH102</f>
        <v>2079</v>
      </c>
      <c r="N15" s="36">
        <f>'2.1'!AI102</f>
        <v>14005500</v>
      </c>
      <c r="O15" s="36">
        <f>'2.1'!AJ102</f>
        <v>1567</v>
      </c>
      <c r="P15" s="36">
        <f>'2.1'!AK102</f>
        <v>18289000</v>
      </c>
      <c r="Q15" s="36">
        <f>'2.1'!AL102</f>
        <v>2148</v>
      </c>
      <c r="R15" s="36">
        <f>'2.1'!AM102</f>
        <v>8703500</v>
      </c>
      <c r="S15" s="36">
        <f>'2.1'!AN102</f>
        <v>3011</v>
      </c>
      <c r="T15" s="36">
        <f>'2.1'!AO102</f>
        <v>20779000</v>
      </c>
      <c r="U15" s="36">
        <f>'2.1'!AP102</f>
        <v>539</v>
      </c>
      <c r="V15" s="36">
        <f>'2.1'!AQ102</f>
        <v>7892500</v>
      </c>
      <c r="W15" s="36">
        <f>'2.1'!AR102</f>
        <v>8890</v>
      </c>
      <c r="X15" s="36">
        <f>'2.1'!AS102</f>
        <v>51501100</v>
      </c>
      <c r="Y15" s="36">
        <f>'2.1'!AT102</f>
        <v>2130</v>
      </c>
      <c r="Z15" s="36">
        <f>'2.1'!AU102</f>
        <v>14052430</v>
      </c>
      <c r="AA15" s="36">
        <f>'2.1'!AV102</f>
        <v>1099</v>
      </c>
      <c r="AB15" s="36">
        <f>'2.1'!AW102</f>
        <v>13607600</v>
      </c>
      <c r="AC15" s="36">
        <f>'2.1'!AX102</f>
        <v>7040.5</v>
      </c>
      <c r="AD15" s="36">
        <f>'2.1'!AY102</f>
        <v>15895500</v>
      </c>
      <c r="AE15" s="36">
        <f>'2.1'!AZ102</f>
        <v>1075</v>
      </c>
      <c r="AF15" s="36">
        <f>'2.1'!BA102</f>
        <v>22243000</v>
      </c>
      <c r="AG15" s="36">
        <f>'2.1'!BB102</f>
        <v>797</v>
      </c>
      <c r="AH15" s="36">
        <f>'2.1'!BC102</f>
        <v>20834500</v>
      </c>
      <c r="AI15" s="36">
        <f>'2.1'!BD102</f>
        <v>500</v>
      </c>
      <c r="AJ15" s="36">
        <f>'2.1'!BE102</f>
        <v>5628500</v>
      </c>
      <c r="AK15" s="36">
        <f>'2.1'!BF102</f>
        <v>1642</v>
      </c>
      <c r="AL15" s="36">
        <f>'2.1'!BG102</f>
        <v>13919500</v>
      </c>
      <c r="AM15" s="36">
        <f>'2.1'!BH102</f>
        <v>2</v>
      </c>
      <c r="AN15" s="36">
        <f>'2.1'!BI102</f>
        <v>2100000</v>
      </c>
      <c r="AO15" s="45">
        <f>AM15+AK15+AI15+AG15+AE15+AC15+AA15+Y15+W15+U15+S15+Q15+O15+M15+K15+I15+G15+E15</f>
        <v>39764.5</v>
      </c>
      <c r="AP15" s="45">
        <f>AN15+AL15+AJ15+AH15+AF15+AD15+AB15+Z15+X15+V15+T15+R15+P15+N15+L15+J15+H15+F15</f>
        <v>311534500</v>
      </c>
      <c r="AR15" s="4">
        <f>D15-AP15</f>
        <v>0</v>
      </c>
      <c r="AS15" s="4">
        <f>D15-AP15</f>
        <v>0</v>
      </c>
    </row>
    <row r="16" spans="1:45" s="3" customFormat="1" x14ac:dyDescent="0.25">
      <c r="A16" s="704"/>
      <c r="B16" s="39">
        <v>22000</v>
      </c>
      <c r="C16" s="40" t="s">
        <v>522</v>
      </c>
      <c r="D16" s="63">
        <f>'2.2'!H92</f>
        <v>191315582</v>
      </c>
      <c r="E16" s="36">
        <f>'2.2'!AA92</f>
        <v>885.5</v>
      </c>
      <c r="F16" s="36">
        <f>'2.2'!AB92</f>
        <v>13972930</v>
      </c>
      <c r="G16" s="36">
        <f>'2.2'!AC92</f>
        <v>609</v>
      </c>
      <c r="H16" s="36">
        <f>'2.2'!AD92</f>
        <v>9560316</v>
      </c>
      <c r="I16" s="36">
        <f>'2.2'!AE92</f>
        <v>840</v>
      </c>
      <c r="J16" s="36">
        <f>'2.2'!AF92</f>
        <v>12332168</v>
      </c>
      <c r="K16" s="36">
        <f>'2.2'!AG92</f>
        <v>906</v>
      </c>
      <c r="L16" s="36">
        <f>'2.2'!AH92</f>
        <v>17513676</v>
      </c>
      <c r="M16" s="36">
        <f>'2.2'!AI92</f>
        <v>670</v>
      </c>
      <c r="N16" s="36">
        <f>'2.2'!AJ92</f>
        <v>9588392</v>
      </c>
      <c r="O16" s="36">
        <f>'2.2'!AK92</f>
        <v>739</v>
      </c>
      <c r="P16" s="36">
        <f>'2.2'!AL92</f>
        <v>8060454</v>
      </c>
      <c r="Q16" s="36">
        <f>'2.2'!AM92</f>
        <v>963</v>
      </c>
      <c r="R16" s="36">
        <f>'2.2'!AN92</f>
        <v>12045174</v>
      </c>
      <c r="S16" s="36">
        <f>'2.2'!AO92</f>
        <v>910</v>
      </c>
      <c r="T16" s="36">
        <f>'2.2'!AP92</f>
        <v>10554612</v>
      </c>
      <c r="U16" s="36">
        <f>'2.2'!AQ92</f>
        <v>799</v>
      </c>
      <c r="V16" s="36">
        <f>'2.2'!AR92</f>
        <v>10628749</v>
      </c>
      <c r="W16" s="36">
        <f>'2.2'!AS92</f>
        <v>891</v>
      </c>
      <c r="X16" s="36">
        <f>'2.2'!AT92</f>
        <v>12911740</v>
      </c>
      <c r="Y16" s="36">
        <f>'2.2'!AU92</f>
        <v>1030.8699999999999</v>
      </c>
      <c r="Z16" s="36">
        <f>'2.2'!AV92</f>
        <v>11844997</v>
      </c>
      <c r="AA16" s="36">
        <f>'2.2'!AW92</f>
        <v>684</v>
      </c>
      <c r="AB16" s="36">
        <f>'2.2'!AX92</f>
        <v>6824081</v>
      </c>
      <c r="AC16" s="36">
        <f>'2.2'!AY92</f>
        <v>865</v>
      </c>
      <c r="AD16" s="36">
        <f>'2.2'!AZ92</f>
        <v>8806487</v>
      </c>
      <c r="AE16" s="36">
        <f>'2.2'!BA92</f>
        <v>1003</v>
      </c>
      <c r="AF16" s="36">
        <f>'2.2'!BB92</f>
        <v>12091185</v>
      </c>
      <c r="AG16" s="36">
        <f>'2.2'!BC92</f>
        <v>1215</v>
      </c>
      <c r="AH16" s="36">
        <f>'2.2'!BD92</f>
        <v>12610622</v>
      </c>
      <c r="AI16" s="36">
        <f>'2.2'!BE92</f>
        <v>731</v>
      </c>
      <c r="AJ16" s="36">
        <f>'2.2'!BF92</f>
        <v>9372712</v>
      </c>
      <c r="AK16" s="36">
        <f>'2.2'!BG92</f>
        <v>1402</v>
      </c>
      <c r="AL16" s="36">
        <f>'2.2'!BH92</f>
        <v>12097287</v>
      </c>
      <c r="AM16" s="36">
        <f>'2.2'!BI92</f>
        <v>1</v>
      </c>
      <c r="AN16" s="36">
        <f>'2.2'!BJ92</f>
        <v>500000</v>
      </c>
      <c r="AO16" s="45">
        <f t="shared" ref="AO16:AO17" si="1">AM16+AK16+AI16+AG16+AE16+AC16+AA16+Y16+W16+U16+S16+Q16+O16+M16+K16+I16+G16+E16</f>
        <v>15144.369999999999</v>
      </c>
      <c r="AP16" s="45">
        <f>AN16+AL16+AJ16+AH16+AF16+AD16+AB16+Z16+X16+V16+T16+R16+P16+N16+L16+J16+H16+F16</f>
        <v>191315582</v>
      </c>
      <c r="AR16" s="4">
        <f>D16-AP16</f>
        <v>0</v>
      </c>
    </row>
    <row r="17" spans="1:44" s="3" customFormat="1" x14ac:dyDescent="0.25">
      <c r="A17" s="704"/>
      <c r="B17" s="39">
        <v>23000</v>
      </c>
      <c r="C17" s="40" t="s">
        <v>521</v>
      </c>
      <c r="D17" s="63">
        <f>'2.3'!H65</f>
        <v>215697810</v>
      </c>
      <c r="E17" s="36">
        <f>'2.3'!AA65</f>
        <v>2062</v>
      </c>
      <c r="F17" s="36">
        <f>'2.3'!AB65</f>
        <v>14355490</v>
      </c>
      <c r="G17" s="36">
        <f>'2.3'!AC65</f>
        <v>146</v>
      </c>
      <c r="H17" s="36">
        <f>'2.3'!AD65</f>
        <v>5521500</v>
      </c>
      <c r="I17" s="36">
        <f>'2.3'!AE65</f>
        <v>1923</v>
      </c>
      <c r="J17" s="36">
        <f>'2.3'!AF65</f>
        <v>15542100</v>
      </c>
      <c r="K17" s="36">
        <f>'2.3'!AG65</f>
        <v>1758</v>
      </c>
      <c r="L17" s="36">
        <f>'2.3'!AH65</f>
        <v>15900500</v>
      </c>
      <c r="M17" s="36">
        <f>'2.3'!AI65</f>
        <v>504</v>
      </c>
      <c r="N17" s="36">
        <f>'2.3'!AJ65</f>
        <v>7586600</v>
      </c>
      <c r="O17" s="36">
        <f>'2.3'!AK65</f>
        <v>167</v>
      </c>
      <c r="P17" s="36">
        <f>'2.3'!AL65</f>
        <v>7571550</v>
      </c>
      <c r="Q17" s="36">
        <f>'2.3'!AM65</f>
        <v>380</v>
      </c>
      <c r="R17" s="36">
        <f>'2.3'!AN65</f>
        <v>14624100</v>
      </c>
      <c r="S17" s="36">
        <f>'2.3'!AO65</f>
        <v>1342</v>
      </c>
      <c r="T17" s="36">
        <f>'2.3'!AP65</f>
        <v>10917600</v>
      </c>
      <c r="U17" s="36">
        <f>'2.3'!AQ65</f>
        <v>923</v>
      </c>
      <c r="V17" s="36">
        <f>'2.3'!AR65</f>
        <v>12325650</v>
      </c>
      <c r="W17" s="36">
        <f>'2.3'!AS65</f>
        <v>3020</v>
      </c>
      <c r="X17" s="36">
        <f>'2.3'!AT65</f>
        <v>24215300</v>
      </c>
      <c r="Y17" s="36">
        <f>'2.3'!AU65</f>
        <v>1778</v>
      </c>
      <c r="Z17" s="36">
        <f>'2.3'!AV65</f>
        <v>17087600</v>
      </c>
      <c r="AA17" s="36">
        <f>'2.3'!AW65</f>
        <v>377</v>
      </c>
      <c r="AB17" s="36">
        <f>'2.3'!AX65</f>
        <v>7805650</v>
      </c>
      <c r="AC17" s="36">
        <f>'2.3'!AY65</f>
        <v>231</v>
      </c>
      <c r="AD17" s="36">
        <f>'2.3'!AZ65</f>
        <v>10847900</v>
      </c>
      <c r="AE17" s="36">
        <f>'2.3'!BA65</f>
        <v>1261</v>
      </c>
      <c r="AF17" s="36">
        <f>'2.3'!BB65</f>
        <v>16551870</v>
      </c>
      <c r="AG17" s="36">
        <f>'2.3'!BC65</f>
        <v>203</v>
      </c>
      <c r="AH17" s="36">
        <f>'2.3'!BD65</f>
        <v>8645400</v>
      </c>
      <c r="AI17" s="36">
        <f>'2.3'!BE65</f>
        <v>716</v>
      </c>
      <c r="AJ17" s="36">
        <f>'2.3'!BF65</f>
        <v>9248550</v>
      </c>
      <c r="AK17" s="36">
        <f>'2.3'!BG65</f>
        <v>2011</v>
      </c>
      <c r="AL17" s="36">
        <f>'2.3'!BH65</f>
        <v>16950450</v>
      </c>
      <c r="AM17" s="36">
        <f>'2.3'!BI65</f>
        <v>0</v>
      </c>
      <c r="AN17" s="36">
        <f>'2.3'!BJ65</f>
        <v>0</v>
      </c>
      <c r="AO17" s="45">
        <f t="shared" si="1"/>
        <v>18802</v>
      </c>
      <c r="AP17" s="45">
        <f>AN17+AL17+AJ17+AH17+AF17+AD17+AB17+Z17+X17+V17+T17+R17+P17+N17+L17+J17+H17+F17</f>
        <v>215697810</v>
      </c>
      <c r="AR17" s="4">
        <f>D17-AP17</f>
        <v>0</v>
      </c>
    </row>
    <row r="18" spans="1:44" s="3" customFormat="1" x14ac:dyDescent="0.25">
      <c r="A18" s="705"/>
      <c r="B18" s="42"/>
      <c r="C18" s="50" t="s">
        <v>3</v>
      </c>
      <c r="D18" s="47">
        <f t="shared" ref="D18:AP18" si="2">SUM(D15:D17)</f>
        <v>718547892</v>
      </c>
      <c r="E18" s="47">
        <f t="shared" si="2"/>
        <v>4085.5</v>
      </c>
      <c r="F18" s="47">
        <f t="shared" si="2"/>
        <v>54105920</v>
      </c>
      <c r="G18" s="47">
        <f t="shared" si="2"/>
        <v>3107</v>
      </c>
      <c r="H18" s="47">
        <f t="shared" si="2"/>
        <v>36066454</v>
      </c>
      <c r="I18" s="47">
        <f t="shared" si="2"/>
        <v>3610</v>
      </c>
      <c r="J18" s="47">
        <f t="shared" si="2"/>
        <v>33517768</v>
      </c>
      <c r="K18" s="47">
        <f t="shared" si="2"/>
        <v>5572</v>
      </c>
      <c r="L18" s="47">
        <f t="shared" si="2"/>
        <v>63091408</v>
      </c>
      <c r="M18" s="47">
        <f t="shared" si="2"/>
        <v>3253</v>
      </c>
      <c r="N18" s="47">
        <f t="shared" si="2"/>
        <v>31180492</v>
      </c>
      <c r="O18" s="47">
        <f t="shared" si="2"/>
        <v>2473</v>
      </c>
      <c r="P18" s="47">
        <f t="shared" si="2"/>
        <v>33921004</v>
      </c>
      <c r="Q18" s="47">
        <f t="shared" si="2"/>
        <v>3491</v>
      </c>
      <c r="R18" s="47">
        <f t="shared" si="2"/>
        <v>35372774</v>
      </c>
      <c r="S18" s="47">
        <f t="shared" si="2"/>
        <v>5263</v>
      </c>
      <c r="T18" s="47">
        <f t="shared" si="2"/>
        <v>42251212</v>
      </c>
      <c r="U18" s="47">
        <f t="shared" si="2"/>
        <v>2261</v>
      </c>
      <c r="V18" s="47">
        <f t="shared" si="2"/>
        <v>30846899</v>
      </c>
      <c r="W18" s="47">
        <f t="shared" si="2"/>
        <v>12801</v>
      </c>
      <c r="X18" s="47">
        <f t="shared" si="2"/>
        <v>88628140</v>
      </c>
      <c r="Y18" s="47">
        <f t="shared" si="2"/>
        <v>4938.87</v>
      </c>
      <c r="Z18" s="47">
        <f t="shared" si="2"/>
        <v>42985027</v>
      </c>
      <c r="AA18" s="47">
        <f t="shared" si="2"/>
        <v>2160</v>
      </c>
      <c r="AB18" s="47">
        <f t="shared" si="2"/>
        <v>28237331</v>
      </c>
      <c r="AC18" s="47">
        <f t="shared" si="2"/>
        <v>8136.5</v>
      </c>
      <c r="AD18" s="47">
        <f t="shared" si="2"/>
        <v>35549887</v>
      </c>
      <c r="AE18" s="47">
        <f t="shared" si="2"/>
        <v>3339</v>
      </c>
      <c r="AF18" s="47">
        <f t="shared" si="2"/>
        <v>50886055</v>
      </c>
      <c r="AG18" s="47">
        <f t="shared" si="2"/>
        <v>2215</v>
      </c>
      <c r="AH18" s="47">
        <f t="shared" si="2"/>
        <v>42090522</v>
      </c>
      <c r="AI18" s="47">
        <f t="shared" si="2"/>
        <v>1947</v>
      </c>
      <c r="AJ18" s="47">
        <f t="shared" si="2"/>
        <v>24249762</v>
      </c>
      <c r="AK18" s="47">
        <f t="shared" si="2"/>
        <v>5055</v>
      </c>
      <c r="AL18" s="47">
        <f t="shared" si="2"/>
        <v>42967237</v>
      </c>
      <c r="AM18" s="47">
        <f t="shared" si="2"/>
        <v>3</v>
      </c>
      <c r="AN18" s="47">
        <f t="shared" si="2"/>
        <v>2600000</v>
      </c>
      <c r="AO18" s="47">
        <f t="shared" si="2"/>
        <v>73710.87</v>
      </c>
      <c r="AP18" s="47">
        <f t="shared" si="2"/>
        <v>718547892</v>
      </c>
      <c r="AR18" s="4">
        <f>D18-AP18</f>
        <v>0</v>
      </c>
    </row>
    <row r="19" spans="1:44" s="3" customFormat="1" ht="13.5" customHeight="1" x14ac:dyDescent="0.25">
      <c r="A19" s="48"/>
      <c r="B19" s="48"/>
      <c r="C19" s="51"/>
      <c r="D19" s="51"/>
      <c r="E19" s="36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34"/>
    </row>
    <row r="20" spans="1:44" s="3" customFormat="1" ht="31.5" x14ac:dyDescent="0.25">
      <c r="A20" s="703">
        <v>3</v>
      </c>
      <c r="B20" s="42">
        <v>30000</v>
      </c>
      <c r="C20" s="52" t="s">
        <v>91</v>
      </c>
      <c r="D20" s="61"/>
      <c r="E20" s="36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34"/>
    </row>
    <row r="21" spans="1:44" s="3" customFormat="1" x14ac:dyDescent="0.25">
      <c r="A21" s="704"/>
      <c r="B21" s="39">
        <v>31000</v>
      </c>
      <c r="C21" s="40" t="s">
        <v>168</v>
      </c>
      <c r="D21" s="63">
        <f>'3.1'!I53</f>
        <v>142625000</v>
      </c>
      <c r="E21" s="36">
        <f>'3.1'!AB53</f>
        <v>94</v>
      </c>
      <c r="F21" s="36">
        <f>'3.1'!AC53</f>
        <v>8195000</v>
      </c>
      <c r="G21" s="36">
        <f>'3.1'!AD53</f>
        <v>17</v>
      </c>
      <c r="H21" s="36">
        <f>'3.1'!AE53</f>
        <v>2800000</v>
      </c>
      <c r="I21" s="36">
        <f>'3.1'!AF53</f>
        <v>149</v>
      </c>
      <c r="J21" s="36">
        <f>'3.1'!AG53</f>
        <v>12530000</v>
      </c>
      <c r="K21" s="36">
        <f>'3.1'!AH53</f>
        <v>126</v>
      </c>
      <c r="L21" s="36">
        <f>'3.1'!AI53</f>
        <v>14690000</v>
      </c>
      <c r="M21" s="36">
        <f>'3.1'!AJ53</f>
        <v>37</v>
      </c>
      <c r="N21" s="36">
        <f>'3.1'!AK53</f>
        <v>4130000</v>
      </c>
      <c r="O21" s="36">
        <f>'3.1'!AL53</f>
        <v>32</v>
      </c>
      <c r="P21" s="36">
        <f>'3.1'!AM53</f>
        <v>7100000</v>
      </c>
      <c r="Q21" s="36">
        <f>'3.1'!AN53</f>
        <v>82</v>
      </c>
      <c r="R21" s="36">
        <f>'3.1'!AO53</f>
        <v>4480000</v>
      </c>
      <c r="S21" s="36">
        <f>'3.1'!AP53</f>
        <v>154</v>
      </c>
      <c r="T21" s="36">
        <f>'3.1'!AQ53</f>
        <v>7615000</v>
      </c>
      <c r="U21" s="36">
        <f>'3.1'!AR53</f>
        <v>61</v>
      </c>
      <c r="V21" s="36">
        <f>'3.1'!AS53</f>
        <v>3755000</v>
      </c>
      <c r="W21" s="36">
        <f>'3.1'!AT53</f>
        <v>137</v>
      </c>
      <c r="X21" s="36">
        <f>'3.1'!AU53</f>
        <v>12700000</v>
      </c>
      <c r="Y21" s="36">
        <f>'3.1'!AV53</f>
        <v>168</v>
      </c>
      <c r="Z21" s="36">
        <f>'3.1'!AW53</f>
        <v>13300000</v>
      </c>
      <c r="AA21" s="36">
        <f>'3.1'!AX53</f>
        <v>232</v>
      </c>
      <c r="AB21" s="36">
        <f>'3.1'!AY53</f>
        <v>12050000</v>
      </c>
      <c r="AC21" s="36">
        <f>'3.1'!AZ53</f>
        <v>302</v>
      </c>
      <c r="AD21" s="36">
        <f>'3.1'!BA53</f>
        <v>13500000</v>
      </c>
      <c r="AE21" s="36">
        <f>'3.1'!BB53</f>
        <v>41</v>
      </c>
      <c r="AF21" s="36">
        <f>'3.1'!BC53</f>
        <v>3135000</v>
      </c>
      <c r="AG21" s="36">
        <f>'3.1'!BD53</f>
        <v>182</v>
      </c>
      <c r="AH21" s="36">
        <f>'3.1'!BE53</f>
        <v>8925000</v>
      </c>
      <c r="AI21" s="36">
        <f>'3.1'!BF53</f>
        <v>157</v>
      </c>
      <c r="AJ21" s="36">
        <f>'3.1'!BG53</f>
        <v>4630000</v>
      </c>
      <c r="AK21" s="36">
        <f>'3.1'!BH53</f>
        <v>114</v>
      </c>
      <c r="AL21" s="36">
        <f>'3.1'!BI53</f>
        <v>8090000</v>
      </c>
      <c r="AM21" s="36">
        <f>'3.1'!BJ53</f>
        <v>1</v>
      </c>
      <c r="AN21" s="36">
        <f>'3.1'!BK53</f>
        <v>1000000</v>
      </c>
      <c r="AO21" s="45">
        <f>AM21+AK21+AI21+AG21+AE21+AC21+AA21+Y21+W21+U21+S21+Q21+O21+M21+K21+I21+G21+E21</f>
        <v>2086</v>
      </c>
      <c r="AP21" s="45">
        <f>AN21+AL21+AJ21+AH21+AF21+AD21+AB21+Z21+X21+V21+T21+R21+P21+N21+L21+J21+H21+F21</f>
        <v>142625000</v>
      </c>
      <c r="AR21" s="4">
        <f>D21-AP21</f>
        <v>0</v>
      </c>
    </row>
    <row r="22" spans="1:44" s="3" customFormat="1" x14ac:dyDescent="0.25">
      <c r="A22" s="704"/>
      <c r="B22" s="39">
        <v>32000</v>
      </c>
      <c r="C22" s="40" t="s">
        <v>99</v>
      </c>
      <c r="D22" s="63">
        <f>'3.2'!G46</f>
        <v>106920000</v>
      </c>
      <c r="E22" s="36">
        <f>'3.2'!Z46</f>
        <v>895</v>
      </c>
      <c r="F22" s="36">
        <f>'3.2'!AA46</f>
        <v>7180000</v>
      </c>
      <c r="G22" s="36">
        <f>'3.2'!AB46</f>
        <v>33</v>
      </c>
      <c r="H22" s="36">
        <f>'3.2'!AC46</f>
        <v>2820000</v>
      </c>
      <c r="I22" s="36">
        <f>'3.2'!AD46</f>
        <v>464</v>
      </c>
      <c r="J22" s="36">
        <f>'3.2'!AE46</f>
        <v>8120000</v>
      </c>
      <c r="K22" s="36">
        <f>'3.2'!AF46</f>
        <v>1912</v>
      </c>
      <c r="L22" s="36">
        <f>'3.2'!AG46</f>
        <v>8640000</v>
      </c>
      <c r="M22" s="36">
        <f>'3.2'!AH46</f>
        <v>1022</v>
      </c>
      <c r="N22" s="36">
        <f>'3.2'!AI46</f>
        <v>6350000</v>
      </c>
      <c r="O22" s="36">
        <f>'3.2'!AJ46</f>
        <v>27</v>
      </c>
      <c r="P22" s="36">
        <f>'3.2'!AK46</f>
        <v>7650000</v>
      </c>
      <c r="Q22" s="36">
        <f>'3.2'!AL46</f>
        <v>30</v>
      </c>
      <c r="R22" s="36">
        <f>'3.2'!AM46</f>
        <v>6750000</v>
      </c>
      <c r="S22" s="36">
        <f>'3.2'!AN46</f>
        <v>287</v>
      </c>
      <c r="T22" s="36">
        <f>'3.2'!AO46</f>
        <v>3875000</v>
      </c>
      <c r="U22" s="36">
        <f>'3.2'!AP46</f>
        <v>437</v>
      </c>
      <c r="V22" s="36">
        <f>'3.2'!AQ46</f>
        <v>2720000</v>
      </c>
      <c r="W22" s="36">
        <f>'3.2'!AR46</f>
        <v>2707</v>
      </c>
      <c r="X22" s="36">
        <f>'3.2'!AS46</f>
        <v>10270000</v>
      </c>
      <c r="Y22" s="36">
        <f>'3.2'!AT46</f>
        <v>658</v>
      </c>
      <c r="Z22" s="36">
        <f>'3.2'!AU46</f>
        <v>9280000</v>
      </c>
      <c r="AA22" s="36">
        <f>'3.2'!AV46</f>
        <v>489</v>
      </c>
      <c r="AB22" s="36">
        <f>'3.2'!AW46</f>
        <v>3975000</v>
      </c>
      <c r="AC22" s="36">
        <f>'3.2'!AX46</f>
        <v>748</v>
      </c>
      <c r="AD22" s="36">
        <f>'3.2'!AY46</f>
        <v>2900000</v>
      </c>
      <c r="AE22" s="36">
        <f>'3.2'!AZ46</f>
        <v>534</v>
      </c>
      <c r="AF22" s="36">
        <f>'3.2'!BA46</f>
        <v>8440000</v>
      </c>
      <c r="AG22" s="36">
        <f>'3.2'!BB46</f>
        <v>28</v>
      </c>
      <c r="AH22" s="36">
        <f>'3.2'!BC46</f>
        <v>4000000</v>
      </c>
      <c r="AI22" s="36">
        <f>'3.2'!BD46</f>
        <v>687</v>
      </c>
      <c r="AJ22" s="36">
        <f>'3.2'!BE46</f>
        <v>7350000</v>
      </c>
      <c r="AK22" s="36">
        <f>'3.2'!BF46</f>
        <v>2030</v>
      </c>
      <c r="AL22" s="36">
        <f>'3.2'!BG46</f>
        <v>3600000</v>
      </c>
      <c r="AM22" s="36">
        <f>'3.2'!BH46</f>
        <v>3</v>
      </c>
      <c r="AN22" s="36">
        <f>'3.2'!BI46</f>
        <v>3000000</v>
      </c>
      <c r="AO22" s="45">
        <f>AM22+AK22+AI22+AG22+AE22+AC22+AA22+Y22+W22+U22+S22+Q22+O22+M22+K22+I22+G22+E22</f>
        <v>12991</v>
      </c>
      <c r="AP22" s="45">
        <f>AN22+AL22+AJ22+AH22+AF22+AD22+AB22+Z22+X22+V22+T22+R22+P22+N22+L22+J22+H22+F22</f>
        <v>106920000</v>
      </c>
      <c r="AR22" s="4">
        <f>D22-AP22</f>
        <v>0</v>
      </c>
    </row>
    <row r="23" spans="1:44" s="3" customFormat="1" x14ac:dyDescent="0.25">
      <c r="A23" s="705"/>
      <c r="B23" s="42"/>
      <c r="C23" s="50" t="s">
        <v>3</v>
      </c>
      <c r="D23" s="47">
        <f t="shared" ref="D23:AP23" si="3">SUM(D21:D22)</f>
        <v>249545000</v>
      </c>
      <c r="E23" s="47">
        <f>SUM(E21:E22)</f>
        <v>989</v>
      </c>
      <c r="F23" s="47">
        <f t="shared" si="3"/>
        <v>15375000</v>
      </c>
      <c r="G23" s="47">
        <f t="shared" si="3"/>
        <v>50</v>
      </c>
      <c r="H23" s="47">
        <f t="shared" si="3"/>
        <v>5620000</v>
      </c>
      <c r="I23" s="47">
        <f t="shared" si="3"/>
        <v>613</v>
      </c>
      <c r="J23" s="47">
        <f t="shared" si="3"/>
        <v>20650000</v>
      </c>
      <c r="K23" s="47">
        <f t="shared" si="3"/>
        <v>2038</v>
      </c>
      <c r="L23" s="47">
        <f t="shared" si="3"/>
        <v>23330000</v>
      </c>
      <c r="M23" s="47">
        <f t="shared" si="3"/>
        <v>1059</v>
      </c>
      <c r="N23" s="47">
        <f t="shared" si="3"/>
        <v>10480000</v>
      </c>
      <c r="O23" s="47">
        <f t="shared" si="3"/>
        <v>59</v>
      </c>
      <c r="P23" s="47">
        <f t="shared" si="3"/>
        <v>14750000</v>
      </c>
      <c r="Q23" s="47">
        <f t="shared" si="3"/>
        <v>112</v>
      </c>
      <c r="R23" s="47">
        <f t="shared" si="3"/>
        <v>11230000</v>
      </c>
      <c r="S23" s="47">
        <f t="shared" si="3"/>
        <v>441</v>
      </c>
      <c r="T23" s="47">
        <f t="shared" si="3"/>
        <v>11490000</v>
      </c>
      <c r="U23" s="47">
        <f t="shared" si="3"/>
        <v>498</v>
      </c>
      <c r="V23" s="47">
        <f t="shared" si="3"/>
        <v>6475000</v>
      </c>
      <c r="W23" s="47">
        <f t="shared" si="3"/>
        <v>2844</v>
      </c>
      <c r="X23" s="47">
        <f t="shared" si="3"/>
        <v>22970000</v>
      </c>
      <c r="Y23" s="47">
        <f t="shared" si="3"/>
        <v>826</v>
      </c>
      <c r="Z23" s="47">
        <f t="shared" si="3"/>
        <v>22580000</v>
      </c>
      <c r="AA23" s="47">
        <f t="shared" si="3"/>
        <v>721</v>
      </c>
      <c r="AB23" s="47">
        <f t="shared" si="3"/>
        <v>16025000</v>
      </c>
      <c r="AC23" s="47">
        <f t="shared" si="3"/>
        <v>1050</v>
      </c>
      <c r="AD23" s="47">
        <f t="shared" si="3"/>
        <v>16400000</v>
      </c>
      <c r="AE23" s="47">
        <f t="shared" si="3"/>
        <v>575</v>
      </c>
      <c r="AF23" s="47">
        <f t="shared" si="3"/>
        <v>11575000</v>
      </c>
      <c r="AG23" s="47">
        <f t="shared" si="3"/>
        <v>210</v>
      </c>
      <c r="AH23" s="47">
        <f t="shared" si="3"/>
        <v>12925000</v>
      </c>
      <c r="AI23" s="47">
        <f t="shared" si="3"/>
        <v>844</v>
      </c>
      <c r="AJ23" s="47">
        <f t="shared" si="3"/>
        <v>11980000</v>
      </c>
      <c r="AK23" s="47">
        <f t="shared" si="3"/>
        <v>2144</v>
      </c>
      <c r="AL23" s="47">
        <f t="shared" si="3"/>
        <v>11690000</v>
      </c>
      <c r="AM23" s="47">
        <f t="shared" si="3"/>
        <v>4</v>
      </c>
      <c r="AN23" s="47">
        <f t="shared" si="3"/>
        <v>4000000</v>
      </c>
      <c r="AO23" s="47">
        <f t="shared" si="3"/>
        <v>15077</v>
      </c>
      <c r="AP23" s="47">
        <f t="shared" si="3"/>
        <v>249545000</v>
      </c>
      <c r="AR23" s="4">
        <f>D23-AP23</f>
        <v>0</v>
      </c>
    </row>
    <row r="24" spans="1:44" s="3" customFormat="1" x14ac:dyDescent="0.25">
      <c r="A24" s="48"/>
      <c r="B24" s="48"/>
      <c r="C24" s="51"/>
      <c r="D24" s="51"/>
      <c r="E24" s="36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5"/>
    </row>
    <row r="25" spans="1:44" s="3" customFormat="1" x14ac:dyDescent="0.25">
      <c r="A25" s="703">
        <v>4</v>
      </c>
      <c r="B25" s="42">
        <v>40000</v>
      </c>
      <c r="C25" s="52" t="s">
        <v>160</v>
      </c>
      <c r="D25" s="61"/>
      <c r="E25" s="41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5"/>
    </row>
    <row r="26" spans="1:44" s="3" customFormat="1" ht="15.75" customHeight="1" x14ac:dyDescent="0.25">
      <c r="A26" s="704"/>
      <c r="B26" s="39">
        <v>41000</v>
      </c>
      <c r="C26" s="49" t="s">
        <v>523</v>
      </c>
      <c r="D26" s="62">
        <f>'4.1 '!G89</f>
        <v>85536700</v>
      </c>
      <c r="E26" s="37">
        <f>'4.1 '!Z89</f>
        <v>0</v>
      </c>
      <c r="F26" s="37">
        <f>'4.1 '!AA89</f>
        <v>0</v>
      </c>
      <c r="G26" s="37">
        <f>'4.1 '!AB89</f>
        <v>0</v>
      </c>
      <c r="H26" s="37">
        <f>'4.1 '!AC89</f>
        <v>0</v>
      </c>
      <c r="I26" s="37">
        <f>'4.1 '!AD89</f>
        <v>0</v>
      </c>
      <c r="J26" s="37">
        <f>'4.1 '!AE89</f>
        <v>0</v>
      </c>
      <c r="K26" s="37">
        <f>'4.1 '!AF89</f>
        <v>0</v>
      </c>
      <c r="L26" s="37">
        <f>'4.1 '!AG89</f>
        <v>0</v>
      </c>
      <c r="M26" s="37">
        <f>'4.1 '!AH89</f>
        <v>0</v>
      </c>
      <c r="N26" s="37">
        <f>'4.1 '!AI89</f>
        <v>0</v>
      </c>
      <c r="O26" s="37">
        <f>'4.1 '!AJ89</f>
        <v>0</v>
      </c>
      <c r="P26" s="37">
        <f>'4.1 '!AK89</f>
        <v>0</v>
      </c>
      <c r="Q26" s="37">
        <f>'4.1 '!AL89</f>
        <v>0</v>
      </c>
      <c r="R26" s="37">
        <f>'4.1 '!AM89</f>
        <v>0</v>
      </c>
      <c r="S26" s="37">
        <f>'4.1 '!AN89</f>
        <v>0</v>
      </c>
      <c r="T26" s="37">
        <f>'4.1 '!AO89</f>
        <v>0</v>
      </c>
      <c r="U26" s="37">
        <f>'4.1 '!AP89</f>
        <v>0</v>
      </c>
      <c r="V26" s="37">
        <f>'4.1 '!AQ89</f>
        <v>0</v>
      </c>
      <c r="W26" s="37">
        <f>'4.1 '!AR89</f>
        <v>0</v>
      </c>
      <c r="X26" s="37">
        <f>'4.1 '!AS89</f>
        <v>0</v>
      </c>
      <c r="Y26" s="37">
        <f>'4.1 '!AT89</f>
        <v>0</v>
      </c>
      <c r="Z26" s="37">
        <f>'4.1 '!AU89</f>
        <v>0</v>
      </c>
      <c r="AA26" s="37">
        <f>'4.1 '!AV89</f>
        <v>0</v>
      </c>
      <c r="AB26" s="37">
        <f>'4.1 '!AW89</f>
        <v>0</v>
      </c>
      <c r="AC26" s="37">
        <f>'4.1 '!AX89</f>
        <v>0</v>
      </c>
      <c r="AD26" s="37">
        <f>'4.1 '!AY89</f>
        <v>0</v>
      </c>
      <c r="AE26" s="37">
        <f>'4.1 '!AZ89</f>
        <v>0</v>
      </c>
      <c r="AF26" s="37">
        <f>'4.1 '!BA89</f>
        <v>0</v>
      </c>
      <c r="AG26" s="37">
        <f>'4.1 '!BB89</f>
        <v>0</v>
      </c>
      <c r="AH26" s="37">
        <f>'4.1 '!BC89</f>
        <v>0</v>
      </c>
      <c r="AI26" s="37">
        <f>'4.1 '!BD89</f>
        <v>0</v>
      </c>
      <c r="AJ26" s="37">
        <f>'4.1 '!BE89</f>
        <v>0</v>
      </c>
      <c r="AK26" s="37">
        <f>'4.1 '!BF89</f>
        <v>0</v>
      </c>
      <c r="AL26" s="37">
        <f>'4.1 '!BG89</f>
        <v>0</v>
      </c>
      <c r="AM26" s="37">
        <f>'4.1 '!BH89</f>
        <v>1373</v>
      </c>
      <c r="AN26" s="37">
        <f>'4.1 '!BI89</f>
        <v>85536700</v>
      </c>
      <c r="AO26" s="45">
        <f>AM26+AK26+AI26+AG26+AE26+AC26+AA26+Y26+W26+U26+S26+Q26+O26+M26+K26+I26+G26+E26</f>
        <v>1373</v>
      </c>
      <c r="AP26" s="45">
        <f>AN26+AL26+AJ26+AH26+AF26+AD26+AB26+Z26+X26+V26+T26+R26+P26+N26+L26+J26+H26+F26</f>
        <v>85536700</v>
      </c>
      <c r="AR26" s="4">
        <f>D26-AP26</f>
        <v>0</v>
      </c>
    </row>
    <row r="27" spans="1:44" s="3" customFormat="1" ht="15.75" customHeight="1" x14ac:dyDescent="0.25">
      <c r="A27" s="704"/>
      <c r="B27" s="39">
        <v>42000</v>
      </c>
      <c r="C27" s="49" t="s">
        <v>524</v>
      </c>
      <c r="D27" s="62">
        <f>'4.2'!G56</f>
        <v>74173000</v>
      </c>
      <c r="E27" s="37">
        <f>'4.2'!Z56</f>
        <v>185</v>
      </c>
      <c r="F27" s="37">
        <f>'4.2'!AA56</f>
        <v>4515000</v>
      </c>
      <c r="G27" s="37">
        <f>'4.2'!AB56</f>
        <v>184</v>
      </c>
      <c r="H27" s="37">
        <f>'4.2'!AC56</f>
        <v>4365000</v>
      </c>
      <c r="I27" s="37">
        <f>'4.2'!AD56</f>
        <v>185</v>
      </c>
      <c r="J27" s="37">
        <f>'4.2'!AE56</f>
        <v>4365000</v>
      </c>
      <c r="K27" s="37">
        <f>'4.2'!AF56</f>
        <v>208</v>
      </c>
      <c r="L27" s="37">
        <f>'4.2'!AG56</f>
        <v>4461000</v>
      </c>
      <c r="M27" s="37">
        <f>'4.2'!AH56</f>
        <v>186</v>
      </c>
      <c r="N27" s="37">
        <f>'4.2'!AI56</f>
        <v>4515000</v>
      </c>
      <c r="O27" s="37">
        <f>'4.2'!AJ56</f>
        <v>185</v>
      </c>
      <c r="P27" s="37">
        <f>'4.2'!AK56</f>
        <v>4365000</v>
      </c>
      <c r="Q27" s="37">
        <f>'4.2'!AL56</f>
        <v>185</v>
      </c>
      <c r="R27" s="37">
        <f>'4.2'!AM56</f>
        <v>4245000</v>
      </c>
      <c r="S27" s="37">
        <f>'4.2'!AN56</f>
        <v>197</v>
      </c>
      <c r="T27" s="37">
        <f>'4.2'!AO56</f>
        <v>4293000</v>
      </c>
      <c r="U27" s="37">
        <f>'4.2'!AP56</f>
        <v>174</v>
      </c>
      <c r="V27" s="37">
        <f>'4.2'!AQ56</f>
        <v>4365000</v>
      </c>
      <c r="W27" s="37">
        <f>'4.2'!AR56</f>
        <v>184</v>
      </c>
      <c r="X27" s="37">
        <f>'4.2'!AS56</f>
        <v>4245000</v>
      </c>
      <c r="Y27" s="37">
        <f>'4.2'!AT56</f>
        <v>185</v>
      </c>
      <c r="Z27" s="37">
        <f>'4.2'!AU56</f>
        <v>4245000</v>
      </c>
      <c r="AA27" s="37">
        <f>'4.2'!AV56</f>
        <v>184</v>
      </c>
      <c r="AB27" s="37">
        <f>'4.2'!AW56</f>
        <v>4425000</v>
      </c>
      <c r="AC27" s="37">
        <f>'4.2'!AX56</f>
        <v>196</v>
      </c>
      <c r="AD27" s="37">
        <f>'4.2'!AY56</f>
        <v>4413000</v>
      </c>
      <c r="AE27" s="37">
        <f>'4.2'!AZ56</f>
        <v>197</v>
      </c>
      <c r="AF27" s="37">
        <f>'4.2'!BA56</f>
        <v>4213000</v>
      </c>
      <c r="AG27" s="37">
        <f>'4.2'!BB56</f>
        <v>185</v>
      </c>
      <c r="AH27" s="37">
        <f>'4.2'!BC56</f>
        <v>4365000</v>
      </c>
      <c r="AI27" s="37">
        <f>'4.2'!BD56</f>
        <v>196</v>
      </c>
      <c r="AJ27" s="37">
        <f>'4.2'!BE56</f>
        <v>4413000</v>
      </c>
      <c r="AK27" s="37">
        <f>'4.2'!BF56</f>
        <v>184</v>
      </c>
      <c r="AL27" s="37">
        <f>'4.2'!BG56</f>
        <v>4365000</v>
      </c>
      <c r="AM27" s="37">
        <f>'4.2'!BH56</f>
        <v>0</v>
      </c>
      <c r="AN27" s="37">
        <f>'4.2'!BI56</f>
        <v>0</v>
      </c>
      <c r="AO27" s="45">
        <f t="shared" ref="AO27:AO28" si="4">AM27+AK27+AI27+AG27+AE27+AC27+AA27+Y27+W27+U27+S27+Q27+O27+M27+K27+I27+G27+E27</f>
        <v>3200</v>
      </c>
      <c r="AP27" s="45">
        <f>AN27+AL27+AJ27+AH27+AF27+AD27+AB27+Z27+X27+V27+T27+R27+P27+N27+L27+J27+H27+F27</f>
        <v>74173000</v>
      </c>
      <c r="AR27" s="4">
        <f>D27-AP27</f>
        <v>0</v>
      </c>
    </row>
    <row r="28" spans="1:44" s="3" customFormat="1" x14ac:dyDescent="0.25">
      <c r="A28" s="704"/>
      <c r="B28" s="39">
        <v>43000</v>
      </c>
      <c r="C28" s="49" t="s">
        <v>525</v>
      </c>
      <c r="D28" s="62">
        <f>'4.3 '!H35</f>
        <v>4570000</v>
      </c>
      <c r="E28" s="37">
        <f>'4.3 '!AA35</f>
        <v>14</v>
      </c>
      <c r="F28" s="37">
        <f>'4.3 '!AB35</f>
        <v>68000</v>
      </c>
      <c r="G28" s="37">
        <f>'4.3 '!AC35</f>
        <v>14</v>
      </c>
      <c r="H28" s="37">
        <f>'4.3 '!AD35</f>
        <v>68000</v>
      </c>
      <c r="I28" s="37">
        <f>'4.3 '!AE35</f>
        <v>14</v>
      </c>
      <c r="J28" s="37">
        <f>'4.3 '!AF35</f>
        <v>68000</v>
      </c>
      <c r="K28" s="37">
        <f>'4.3 '!AG35</f>
        <v>26</v>
      </c>
      <c r="L28" s="37">
        <f>'4.3 '!AH35</f>
        <v>134000</v>
      </c>
      <c r="M28" s="37">
        <f>'4.3 '!AI35</f>
        <v>14</v>
      </c>
      <c r="N28" s="37">
        <f>'4.3 '!AJ35</f>
        <v>68000</v>
      </c>
      <c r="O28" s="37">
        <f>'4.3 '!AK35</f>
        <v>14</v>
      </c>
      <c r="P28" s="37">
        <f>'4.3 '!AL35</f>
        <v>68000</v>
      </c>
      <c r="Q28" s="37">
        <f>'4.3 '!AM35</f>
        <v>14</v>
      </c>
      <c r="R28" s="37">
        <f>'4.3 '!AN35</f>
        <v>68000</v>
      </c>
      <c r="S28" s="37">
        <f>'4.3 '!AO35</f>
        <v>26</v>
      </c>
      <c r="T28" s="37">
        <f>'4.3 '!AP35</f>
        <v>116000</v>
      </c>
      <c r="U28" s="37">
        <f>'4.3 '!AQ35</f>
        <v>14</v>
      </c>
      <c r="V28" s="37">
        <f>'4.3 '!AR35</f>
        <v>44000</v>
      </c>
      <c r="W28" s="37">
        <f>'4.3 '!AS35</f>
        <v>14</v>
      </c>
      <c r="X28" s="37">
        <f>'4.3 '!AT35</f>
        <v>68000</v>
      </c>
      <c r="Y28" s="37">
        <f>'4.3 '!AU35</f>
        <v>14</v>
      </c>
      <c r="Z28" s="37">
        <f>'4.3 '!AV35</f>
        <v>68000</v>
      </c>
      <c r="AA28" s="37">
        <f>'4.3 '!AW35</f>
        <v>14</v>
      </c>
      <c r="AB28" s="37">
        <f>'4.3 '!AX35</f>
        <v>68000</v>
      </c>
      <c r="AC28" s="37">
        <f>'4.3 '!AY35</f>
        <v>14</v>
      </c>
      <c r="AD28" s="37">
        <f>'4.3 '!AZ35</f>
        <v>68000</v>
      </c>
      <c r="AE28" s="37">
        <f>'4.3 '!BA35</f>
        <v>14</v>
      </c>
      <c r="AF28" s="37">
        <f>'4.3 '!BB35</f>
        <v>68000</v>
      </c>
      <c r="AG28" s="37">
        <f>'4.3 '!BC35</f>
        <v>14</v>
      </c>
      <c r="AH28" s="37">
        <f>'4.3 '!BD35</f>
        <v>68000</v>
      </c>
      <c r="AI28" s="37">
        <f>'4.3 '!BE35</f>
        <v>26</v>
      </c>
      <c r="AJ28" s="37">
        <f>'4.3 '!BF35</f>
        <v>212000</v>
      </c>
      <c r="AK28" s="37">
        <f>'4.3 '!BG35</f>
        <v>14</v>
      </c>
      <c r="AL28" s="37">
        <f>'4.3 '!BH35</f>
        <v>68000</v>
      </c>
      <c r="AM28" s="37">
        <f>'4.3 '!BI35</f>
        <v>16</v>
      </c>
      <c r="AN28" s="37">
        <f>'4.3 '!BJ35</f>
        <v>3180000</v>
      </c>
      <c r="AO28" s="45">
        <f t="shared" si="4"/>
        <v>290</v>
      </c>
      <c r="AP28" s="45">
        <f>AN28+AL28+AJ28+AH28+AF28+AD28+AB28+Z28+X28+V28+T28+R28+P28+N28+L28+J28+H28+F28</f>
        <v>4570000</v>
      </c>
      <c r="AR28" s="4">
        <f>D28-AP28</f>
        <v>0</v>
      </c>
    </row>
    <row r="29" spans="1:44" s="3" customFormat="1" x14ac:dyDescent="0.25">
      <c r="A29" s="705"/>
      <c r="B29" s="42"/>
      <c r="C29" s="46" t="s">
        <v>3</v>
      </c>
      <c r="D29" s="164">
        <f t="shared" ref="D29:AP29" si="5">SUM(D26:D28)</f>
        <v>164279700</v>
      </c>
      <c r="E29" s="21">
        <f>SUM(E26:E28)</f>
        <v>199</v>
      </c>
      <c r="F29" s="21">
        <f t="shared" si="5"/>
        <v>4583000</v>
      </c>
      <c r="G29" s="21">
        <f t="shared" si="5"/>
        <v>198</v>
      </c>
      <c r="H29" s="21">
        <f t="shared" si="5"/>
        <v>4433000</v>
      </c>
      <c r="I29" s="21">
        <f t="shared" si="5"/>
        <v>199</v>
      </c>
      <c r="J29" s="21">
        <f t="shared" si="5"/>
        <v>4433000</v>
      </c>
      <c r="K29" s="21">
        <f t="shared" si="5"/>
        <v>234</v>
      </c>
      <c r="L29" s="21">
        <f t="shared" si="5"/>
        <v>4595000</v>
      </c>
      <c r="M29" s="21">
        <f t="shared" si="5"/>
        <v>200</v>
      </c>
      <c r="N29" s="21">
        <f t="shared" si="5"/>
        <v>4583000</v>
      </c>
      <c r="O29" s="21">
        <f t="shared" si="5"/>
        <v>199</v>
      </c>
      <c r="P29" s="21">
        <f t="shared" si="5"/>
        <v>4433000</v>
      </c>
      <c r="Q29" s="21">
        <f t="shared" si="5"/>
        <v>199</v>
      </c>
      <c r="R29" s="21">
        <f t="shared" si="5"/>
        <v>4313000</v>
      </c>
      <c r="S29" s="21">
        <f t="shared" si="5"/>
        <v>223</v>
      </c>
      <c r="T29" s="21">
        <f t="shared" si="5"/>
        <v>4409000</v>
      </c>
      <c r="U29" s="21">
        <f t="shared" si="5"/>
        <v>188</v>
      </c>
      <c r="V29" s="21">
        <f t="shared" si="5"/>
        <v>4409000</v>
      </c>
      <c r="W29" s="21">
        <f t="shared" si="5"/>
        <v>198</v>
      </c>
      <c r="X29" s="21">
        <f t="shared" si="5"/>
        <v>4313000</v>
      </c>
      <c r="Y29" s="21">
        <f t="shared" si="5"/>
        <v>199</v>
      </c>
      <c r="Z29" s="21">
        <f t="shared" si="5"/>
        <v>4313000</v>
      </c>
      <c r="AA29" s="21">
        <f t="shared" si="5"/>
        <v>198</v>
      </c>
      <c r="AB29" s="21">
        <f t="shared" si="5"/>
        <v>4493000</v>
      </c>
      <c r="AC29" s="21">
        <f t="shared" si="5"/>
        <v>210</v>
      </c>
      <c r="AD29" s="21">
        <f t="shared" si="5"/>
        <v>4481000</v>
      </c>
      <c r="AE29" s="21">
        <f t="shared" si="5"/>
        <v>211</v>
      </c>
      <c r="AF29" s="21">
        <f t="shared" si="5"/>
        <v>4281000</v>
      </c>
      <c r="AG29" s="21">
        <f t="shared" si="5"/>
        <v>199</v>
      </c>
      <c r="AH29" s="21">
        <f t="shared" si="5"/>
        <v>4433000</v>
      </c>
      <c r="AI29" s="21">
        <f t="shared" si="5"/>
        <v>222</v>
      </c>
      <c r="AJ29" s="21">
        <f t="shared" si="5"/>
        <v>4625000</v>
      </c>
      <c r="AK29" s="21">
        <f t="shared" si="5"/>
        <v>198</v>
      </c>
      <c r="AL29" s="21">
        <f t="shared" si="5"/>
        <v>4433000</v>
      </c>
      <c r="AM29" s="21">
        <f t="shared" si="5"/>
        <v>1389</v>
      </c>
      <c r="AN29" s="21">
        <f t="shared" si="5"/>
        <v>88716700</v>
      </c>
      <c r="AO29" s="21">
        <f t="shared" si="5"/>
        <v>4863</v>
      </c>
      <c r="AP29" s="21">
        <f t="shared" si="5"/>
        <v>164279700</v>
      </c>
      <c r="AR29" s="4">
        <f>D29-AP29</f>
        <v>0</v>
      </c>
    </row>
    <row r="30" spans="1:44" s="3" customFormat="1" x14ac:dyDescent="0.25">
      <c r="A30" s="48"/>
      <c r="B30" s="48"/>
      <c r="C30" s="48"/>
      <c r="D30" s="62"/>
      <c r="E30" s="22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5"/>
    </row>
    <row r="31" spans="1:44" s="3" customFormat="1" x14ac:dyDescent="0.25">
      <c r="A31" s="706" t="s">
        <v>4</v>
      </c>
      <c r="B31" s="707"/>
      <c r="C31" s="708"/>
      <c r="D31" s="164">
        <f t="shared" ref="D31:AP31" si="6">D29+D23+D18+D12</f>
        <v>1435948331</v>
      </c>
      <c r="E31" s="21">
        <f>E29+E23+E18+E12</f>
        <v>9963.5</v>
      </c>
      <c r="F31" s="21">
        <f t="shared" si="6"/>
        <v>91856220</v>
      </c>
      <c r="G31" s="21">
        <f t="shared" si="6"/>
        <v>5191</v>
      </c>
      <c r="H31" s="21">
        <f t="shared" si="6"/>
        <v>56907218</v>
      </c>
      <c r="I31" s="21">
        <f t="shared" si="6"/>
        <v>8504</v>
      </c>
      <c r="J31" s="21">
        <f t="shared" si="6"/>
        <v>73617868</v>
      </c>
      <c r="K31" s="21">
        <f t="shared" si="6"/>
        <v>13301.5</v>
      </c>
      <c r="L31" s="21">
        <f t="shared" si="6"/>
        <v>111099508</v>
      </c>
      <c r="M31" s="21">
        <f t="shared" si="6"/>
        <v>7027</v>
      </c>
      <c r="N31" s="21">
        <f t="shared" si="6"/>
        <v>57289842</v>
      </c>
      <c r="O31" s="21">
        <f t="shared" si="6"/>
        <v>6367</v>
      </c>
      <c r="P31" s="21">
        <f t="shared" si="6"/>
        <v>68744354</v>
      </c>
      <c r="Q31" s="21">
        <f t="shared" si="6"/>
        <v>6816</v>
      </c>
      <c r="R31" s="21">
        <f t="shared" si="6"/>
        <v>62761074</v>
      </c>
      <c r="S31" s="21">
        <f t="shared" si="6"/>
        <v>10863</v>
      </c>
      <c r="T31" s="21">
        <f t="shared" si="6"/>
        <v>70315562</v>
      </c>
      <c r="U31" s="21">
        <f t="shared" si="6"/>
        <v>4406</v>
      </c>
      <c r="V31" s="21">
        <f t="shared" si="6"/>
        <v>51901149</v>
      </c>
      <c r="W31" s="21">
        <f t="shared" si="6"/>
        <v>18631</v>
      </c>
      <c r="X31" s="21">
        <f t="shared" si="6"/>
        <v>134389840</v>
      </c>
      <c r="Y31" s="21">
        <f t="shared" si="6"/>
        <v>9578.869999999999</v>
      </c>
      <c r="Z31" s="21">
        <f t="shared" si="6"/>
        <v>85510177</v>
      </c>
      <c r="AA31" s="21">
        <f t="shared" si="6"/>
        <v>6392</v>
      </c>
      <c r="AB31" s="21">
        <f t="shared" si="6"/>
        <v>63279331</v>
      </c>
      <c r="AC31" s="21">
        <f t="shared" si="6"/>
        <v>12977.5</v>
      </c>
      <c r="AD31" s="21">
        <f t="shared" si="6"/>
        <v>69067937</v>
      </c>
      <c r="AE31" s="21">
        <f t="shared" si="6"/>
        <v>8612</v>
      </c>
      <c r="AF31" s="21">
        <f t="shared" si="6"/>
        <v>80535405</v>
      </c>
      <c r="AG31" s="21">
        <f t="shared" si="6"/>
        <v>6596.5</v>
      </c>
      <c r="AH31" s="21">
        <f t="shared" si="6"/>
        <v>74631697</v>
      </c>
      <c r="AI31" s="21">
        <f t="shared" si="6"/>
        <v>9665</v>
      </c>
      <c r="AJ31" s="21">
        <f t="shared" si="6"/>
        <v>58194762</v>
      </c>
      <c r="AK31" s="21">
        <f t="shared" si="6"/>
        <v>11018</v>
      </c>
      <c r="AL31" s="21">
        <f t="shared" si="6"/>
        <v>75522687</v>
      </c>
      <c r="AM31" s="21">
        <f t="shared" si="6"/>
        <v>3336</v>
      </c>
      <c r="AN31" s="21">
        <f t="shared" si="6"/>
        <v>150323700</v>
      </c>
      <c r="AO31" s="21">
        <f t="shared" si="6"/>
        <v>159245.87</v>
      </c>
      <c r="AP31" s="21">
        <f t="shared" si="6"/>
        <v>1435948331</v>
      </c>
      <c r="AR31" s="4">
        <f>D31-AP31</f>
        <v>0</v>
      </c>
    </row>
    <row r="32" spans="1:44" x14ac:dyDescent="0.25">
      <c r="A32" s="18"/>
      <c r="B32" s="18"/>
      <c r="C32" s="18"/>
      <c r="D32" s="18"/>
      <c r="E32" s="18"/>
    </row>
    <row r="33" spans="1:40" hidden="1" x14ac:dyDescent="0.25">
      <c r="A33" s="23" t="s">
        <v>199</v>
      </c>
      <c r="B33" s="24"/>
      <c r="C33" s="24"/>
      <c r="D33" s="24"/>
      <c r="E33" s="25"/>
    </row>
    <row r="34" spans="1:40" x14ac:dyDescent="0.25">
      <c r="A34" s="26"/>
      <c r="B34" s="700"/>
      <c r="C34" s="700"/>
      <c r="D34" s="55"/>
      <c r="E34" s="26"/>
    </row>
    <row r="35" spans="1:40" x14ac:dyDescent="0.25">
      <c r="A35" s="26"/>
      <c r="B35" s="26"/>
      <c r="C35" s="26"/>
      <c r="D35" s="26"/>
      <c r="E35" s="26"/>
      <c r="AN35" s="13"/>
    </row>
    <row r="36" spans="1:40" x14ac:dyDescent="0.25">
      <c r="E36" s="27"/>
      <c r="X36" s="13"/>
      <c r="Y36" s="13"/>
      <c r="AJ36" s="13"/>
    </row>
    <row r="37" spans="1:40" x14ac:dyDescent="0.25">
      <c r="X37" s="13"/>
      <c r="Y37" s="13"/>
    </row>
    <row r="38" spans="1:40" x14ac:dyDescent="0.25">
      <c r="E38" s="13"/>
    </row>
    <row r="40" spans="1:40" x14ac:dyDescent="0.25">
      <c r="X40" s="13"/>
      <c r="Y40" s="13"/>
    </row>
    <row r="41" spans="1:40" x14ac:dyDescent="0.25">
      <c r="X41" s="13"/>
      <c r="Y41" s="13"/>
    </row>
    <row r="42" spans="1:40" x14ac:dyDescent="0.25">
      <c r="X42" s="13"/>
      <c r="Y42" s="13"/>
    </row>
    <row r="43" spans="1:40" x14ac:dyDescent="0.25">
      <c r="X43" s="29"/>
      <c r="Y43" s="29"/>
    </row>
  </sheetData>
  <mergeCells count="29">
    <mergeCell ref="S7:T7"/>
    <mergeCell ref="AE7:AF7"/>
    <mergeCell ref="AC7:AD7"/>
    <mergeCell ref="AA7:AB7"/>
    <mergeCell ref="Y7:Z7"/>
    <mergeCell ref="W7:X7"/>
    <mergeCell ref="U7:V7"/>
    <mergeCell ref="AO7:AP7"/>
    <mergeCell ref="AM7:AN7"/>
    <mergeCell ref="AK7:AL7"/>
    <mergeCell ref="AI7:AJ7"/>
    <mergeCell ref="AG7:AH7"/>
    <mergeCell ref="Q7:R7"/>
    <mergeCell ref="O7:P7"/>
    <mergeCell ref="M7:N7"/>
    <mergeCell ref="A6:A7"/>
    <mergeCell ref="B6:B7"/>
    <mergeCell ref="C6:C7"/>
    <mergeCell ref="K7:L7"/>
    <mergeCell ref="I7:J7"/>
    <mergeCell ref="G7:H7"/>
    <mergeCell ref="E7:F7"/>
    <mergeCell ref="B34:C34"/>
    <mergeCell ref="A8:C8"/>
    <mergeCell ref="A9:A12"/>
    <mergeCell ref="A14:A18"/>
    <mergeCell ref="A20:A23"/>
    <mergeCell ref="A25:A29"/>
    <mergeCell ref="A31:C31"/>
  </mergeCells>
  <pageMargins left="0.25" right="0.25" top="0.75" bottom="0.75" header="0.3" footer="0.3"/>
  <pageSetup paperSize="9" scale="68" fitToHeight="0" orientation="landscape" r:id="rId1"/>
  <colBreaks count="4" manualBreakCount="4">
    <brk id="10" max="33" man="1"/>
    <brk id="18" max="33" man="1"/>
    <brk id="26" max="33" man="1"/>
    <brk id="34" max="3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29"/>
  <sheetViews>
    <sheetView zoomScale="85" zoomScaleNormal="85" workbookViewId="0">
      <selection activeCell="I31" sqref="I31"/>
    </sheetView>
  </sheetViews>
  <sheetFormatPr defaultRowHeight="15" x14ac:dyDescent="0.25"/>
  <cols>
    <col min="1" max="1" width="6" bestFit="1" customWidth="1"/>
    <col min="2" max="2" width="19.28515625" bestFit="1" customWidth="1"/>
    <col min="3" max="3" width="23.85546875" customWidth="1"/>
    <col min="4" max="4" width="11.28515625" customWidth="1"/>
    <col min="5" max="5" width="15.5703125" customWidth="1"/>
    <col min="6" max="6" width="22.28515625" bestFit="1" customWidth="1"/>
    <col min="7" max="7" width="20.85546875" bestFit="1" customWidth="1"/>
    <col min="8" max="8" width="16.42578125" bestFit="1" customWidth="1"/>
    <col min="9" max="16" width="15.42578125" customWidth="1"/>
    <col min="17" max="32" width="6.5703125" customWidth="1"/>
  </cols>
  <sheetData>
    <row r="1" spans="1:9" s="2" customFormat="1" ht="15.75" x14ac:dyDescent="0.25">
      <c r="A1" s="719" t="s">
        <v>951</v>
      </c>
      <c r="B1" s="719"/>
      <c r="C1" s="719"/>
      <c r="D1" s="719"/>
    </row>
    <row r="2" spans="1:9" s="2" customFormat="1" ht="47.25" x14ac:dyDescent="0.25">
      <c r="A2" s="16" t="s">
        <v>294</v>
      </c>
      <c r="B2" s="16" t="s">
        <v>295</v>
      </c>
      <c r="C2" s="16" t="s">
        <v>558</v>
      </c>
      <c r="D2" s="28" t="s">
        <v>577</v>
      </c>
      <c r="E2" s="506" t="s">
        <v>968</v>
      </c>
      <c r="F2" s="507" t="s">
        <v>970</v>
      </c>
      <c r="G2" s="507" t="s">
        <v>971</v>
      </c>
      <c r="H2" s="508" t="s">
        <v>967</v>
      </c>
      <c r="I2" s="508" t="s">
        <v>973</v>
      </c>
    </row>
    <row r="3" spans="1:9" s="2" customFormat="1" ht="15.75" x14ac:dyDescent="0.25">
      <c r="A3" s="8">
        <v>1</v>
      </c>
      <c r="B3" s="14" t="s">
        <v>180</v>
      </c>
      <c r="C3" s="7">
        <f>'Sum , MPA'!F31</f>
        <v>91856220</v>
      </c>
      <c r="D3" s="7">
        <f>C3/10000000</f>
        <v>9.1856220000000004</v>
      </c>
      <c r="E3" s="12">
        <f>C3*D26</f>
        <v>5091002797.1417141</v>
      </c>
      <c r="F3" s="516">
        <f>E3/E23*100</f>
        <v>7.1448708888341139</v>
      </c>
      <c r="G3" s="517">
        <f>C3/C23*100</f>
        <v>7.1448708888341139</v>
      </c>
      <c r="H3" s="12">
        <v>2560</v>
      </c>
      <c r="I3" s="509">
        <f>H3/H21*100</f>
        <v>9.3080754826746173</v>
      </c>
    </row>
    <row r="4" spans="1:9" s="2" customFormat="1" ht="15.75" x14ac:dyDescent="0.25">
      <c r="A4" s="8">
        <v>2</v>
      </c>
      <c r="B4" s="14" t="s">
        <v>181</v>
      </c>
      <c r="C4" s="7">
        <f>'Sum , MPA'!H31</f>
        <v>56907218</v>
      </c>
      <c r="D4" s="7">
        <f t="shared" ref="D4:D21" si="0">C4/10000000</f>
        <v>5.6907218000000004</v>
      </c>
      <c r="E4" s="12">
        <f>C4*D26</f>
        <v>3154003136.8104773</v>
      </c>
      <c r="F4" s="516">
        <f>E4/E23*100</f>
        <v>4.4264256166075278</v>
      </c>
      <c r="G4" s="517">
        <f>C4/C23*100</f>
        <v>4.4264256166075278</v>
      </c>
      <c r="H4" s="12">
        <v>831</v>
      </c>
      <c r="I4" s="509">
        <f>H4/H21*100</f>
        <v>3.021488564883831</v>
      </c>
    </row>
    <row r="5" spans="1:9" s="2" customFormat="1" ht="13.5" customHeight="1" x14ac:dyDescent="0.25">
      <c r="A5" s="8">
        <v>3</v>
      </c>
      <c r="B5" s="14" t="s">
        <v>182</v>
      </c>
      <c r="C5" s="7">
        <f>'Sum , MPA'!J31</f>
        <v>73617868</v>
      </c>
      <c r="D5" s="7">
        <f t="shared" si="0"/>
        <v>7.3617868</v>
      </c>
      <c r="E5" s="12">
        <f>C5*D26</f>
        <v>4080167591.3466668</v>
      </c>
      <c r="F5" s="516">
        <f>E5/E23*100</f>
        <v>5.7262334763093072</v>
      </c>
      <c r="G5" s="517">
        <f>C5/C23*100</f>
        <v>5.7262334763093072</v>
      </c>
      <c r="H5" s="12">
        <v>1907</v>
      </c>
      <c r="I5" s="509">
        <f>H5/H21*100</f>
        <v>6.9337890411955057</v>
      </c>
    </row>
    <row r="6" spans="1:9" s="500" customFormat="1" ht="15.75" x14ac:dyDescent="0.25">
      <c r="A6" s="168">
        <v>4</v>
      </c>
      <c r="B6" s="64" t="s">
        <v>183</v>
      </c>
      <c r="C6" s="499">
        <f>'Sum , MPA'!L31</f>
        <v>111099508</v>
      </c>
      <c r="D6" s="499">
        <f t="shared" si="0"/>
        <v>11.1099508</v>
      </c>
      <c r="E6" s="510">
        <f>C6*D26</f>
        <v>6157535178.2281952</v>
      </c>
      <c r="F6" s="518">
        <f>E6/E23*100</f>
        <v>8.6416754409553622</v>
      </c>
      <c r="G6" s="519">
        <f>C6/C23*100</f>
        <v>8.6416754409553622</v>
      </c>
      <c r="H6" s="510">
        <v>1853</v>
      </c>
      <c r="I6" s="511">
        <f>H6/H21*100</f>
        <v>6.7374468239828387</v>
      </c>
    </row>
    <row r="7" spans="1:9" s="2" customFormat="1" ht="15.75" x14ac:dyDescent="0.25">
      <c r="A7" s="8">
        <v>5</v>
      </c>
      <c r="B7" s="14" t="s">
        <v>184</v>
      </c>
      <c r="C7" s="7">
        <f>'Sum , MPA'!N31</f>
        <v>57289842</v>
      </c>
      <c r="D7" s="7">
        <f t="shared" si="0"/>
        <v>5.7289842000000002</v>
      </c>
      <c r="E7" s="12">
        <f>C7*D26</f>
        <v>3175209538.0128517</v>
      </c>
      <c r="F7" s="516">
        <f>E7/E23*100</f>
        <v>4.4561873363796805</v>
      </c>
      <c r="G7" s="517">
        <f>C7/C23*100</f>
        <v>4.4561873363796805</v>
      </c>
      <c r="H7" s="12">
        <v>730</v>
      </c>
      <c r="I7" s="509">
        <f>H7/H21*100</f>
        <v>2.6542558993564338</v>
      </c>
    </row>
    <row r="8" spans="1:9" s="2" customFormat="1" ht="15.75" x14ac:dyDescent="0.25">
      <c r="A8" s="8">
        <v>6</v>
      </c>
      <c r="B8" s="14" t="s">
        <v>185</v>
      </c>
      <c r="C8" s="7">
        <f>'Sum , MPA'!P31</f>
        <v>68744354</v>
      </c>
      <c r="D8" s="7">
        <f t="shared" si="0"/>
        <v>6.8744354000000003</v>
      </c>
      <c r="E8" s="12">
        <f>C8*D26</f>
        <v>3810059879.4692421</v>
      </c>
      <c r="F8" s="516">
        <f>E8/E23*100</f>
        <v>5.3471559537972162</v>
      </c>
      <c r="G8" s="517">
        <f>C8/C23*100</f>
        <v>5.3471559537972171</v>
      </c>
      <c r="H8" s="12">
        <v>1661</v>
      </c>
      <c r="I8" s="509">
        <f>H8/H21*100</f>
        <v>6.0393411627822422</v>
      </c>
    </row>
    <row r="9" spans="1:9" s="2" customFormat="1" ht="15.75" x14ac:dyDescent="0.25">
      <c r="A9" s="8">
        <v>7</v>
      </c>
      <c r="B9" s="14" t="s">
        <v>186</v>
      </c>
      <c r="C9" s="7">
        <f>'Sum , MPA'!R31</f>
        <v>62761074</v>
      </c>
      <c r="D9" s="7">
        <f t="shared" si="0"/>
        <v>6.2761073999999999</v>
      </c>
      <c r="E9" s="12">
        <f>C9*D26</f>
        <v>3478444935.8532076</v>
      </c>
      <c r="F9" s="516">
        <f>E9/E23*100</f>
        <v>4.8817572786531347</v>
      </c>
      <c r="G9" s="517">
        <f>C9/C23*100</f>
        <v>4.8817572786531347</v>
      </c>
      <c r="H9" s="12">
        <v>930</v>
      </c>
      <c r="I9" s="509">
        <f>H9/H21*100</f>
        <v>3.3814492964403886</v>
      </c>
    </row>
    <row r="10" spans="1:9" s="2" customFormat="1" ht="15.75" x14ac:dyDescent="0.25">
      <c r="A10" s="8">
        <v>8</v>
      </c>
      <c r="B10" s="14" t="s">
        <v>187</v>
      </c>
      <c r="C10" s="7">
        <f>'Sum , MPA'!T31</f>
        <v>70315562</v>
      </c>
      <c r="D10" s="7">
        <f t="shared" si="0"/>
        <v>7.0315561999999998</v>
      </c>
      <c r="E10" s="12">
        <f>C10*D26</f>
        <v>3897141890.0602665</v>
      </c>
      <c r="F10" s="516">
        <f>E10/E23*100</f>
        <v>5.4693695425939612</v>
      </c>
      <c r="G10" s="517">
        <f>C10/C23*100</f>
        <v>5.4693695425939612</v>
      </c>
      <c r="H10" s="12">
        <v>1232</v>
      </c>
      <c r="I10" s="509">
        <f>H10/H21*100</f>
        <v>4.4795113260371595</v>
      </c>
    </row>
    <row r="11" spans="1:9" s="2" customFormat="1" ht="15.75" x14ac:dyDescent="0.25">
      <c r="A11" s="8">
        <v>9</v>
      </c>
      <c r="B11" s="14" t="s">
        <v>188</v>
      </c>
      <c r="C11" s="7">
        <f>'Sum , MPA'!V31</f>
        <v>51901149</v>
      </c>
      <c r="D11" s="7">
        <f t="shared" si="0"/>
        <v>5.1901149000000002</v>
      </c>
      <c r="E11" s="12">
        <f>C11*D26</f>
        <v>2876548749.0544343</v>
      </c>
      <c r="F11" s="516">
        <f>E11/E23*100</f>
        <v>4.0370375417923992</v>
      </c>
      <c r="G11" s="517">
        <f>C11/C23*100</f>
        <v>4.0370375417923992</v>
      </c>
      <c r="H11" s="12">
        <v>1301</v>
      </c>
      <c r="I11" s="509">
        <f>H11/H21*100</f>
        <v>4.7303930480311234</v>
      </c>
    </row>
    <row r="12" spans="1:9" s="500" customFormat="1" ht="15.75" x14ac:dyDescent="0.25">
      <c r="A12" s="168">
        <v>10</v>
      </c>
      <c r="B12" s="64" t="s">
        <v>189</v>
      </c>
      <c r="C12" s="499">
        <f>'Sum , MPA'!X31</f>
        <v>134389840</v>
      </c>
      <c r="D12" s="499">
        <f t="shared" si="0"/>
        <v>13.438984</v>
      </c>
      <c r="E12" s="510">
        <f>C12*D26</f>
        <v>7448369324.8799858</v>
      </c>
      <c r="F12" s="518">
        <f>E12/E23*100</f>
        <v>10.453272032869133</v>
      </c>
      <c r="G12" s="519">
        <f>C12/C23*100</f>
        <v>10.453272032869133</v>
      </c>
      <c r="H12" s="510">
        <v>2876</v>
      </c>
      <c r="I12" s="511">
        <f>H12/H21*100</f>
        <v>10.457041050067266</v>
      </c>
    </row>
    <row r="13" spans="1:9" s="2" customFormat="1" ht="15.75" x14ac:dyDescent="0.25">
      <c r="A13" s="8">
        <v>11</v>
      </c>
      <c r="B13" s="14" t="s">
        <v>190</v>
      </c>
      <c r="C13" s="7">
        <f>'Sum , MPA'!Z31</f>
        <v>85510177</v>
      </c>
      <c r="D13" s="7">
        <f t="shared" si="0"/>
        <v>8.5510176999999992</v>
      </c>
      <c r="E13" s="12">
        <f>C13*D26</f>
        <v>4739282220.5299006</v>
      </c>
      <c r="F13" s="516">
        <f>E13/E23*100</f>
        <v>6.6512553460870958</v>
      </c>
      <c r="G13" s="517">
        <f>C13/C23*100</f>
        <v>6.6512553460870958</v>
      </c>
      <c r="H13" s="12">
        <v>1842</v>
      </c>
      <c r="I13" s="509">
        <f>H13/H21*100</f>
        <v>6.6974511871432201</v>
      </c>
    </row>
    <row r="14" spans="1:9" s="2" customFormat="1" ht="15.75" x14ac:dyDescent="0.25">
      <c r="A14" s="8">
        <v>12</v>
      </c>
      <c r="B14" s="14" t="s">
        <v>191</v>
      </c>
      <c r="C14" s="7">
        <f>'Sum , MPA'!AB31</f>
        <v>63279331</v>
      </c>
      <c r="D14" s="7">
        <f t="shared" si="0"/>
        <v>6.3279331000000001</v>
      </c>
      <c r="E14" s="12">
        <f>C14*D26</f>
        <v>3507168606.7884831</v>
      </c>
      <c r="F14" s="516">
        <f>E14/E23*100</f>
        <v>4.9220689674231979</v>
      </c>
      <c r="G14" s="517">
        <f>C14/C23*100</f>
        <v>4.9220689674231979</v>
      </c>
      <c r="H14" s="12">
        <v>1376</v>
      </c>
      <c r="I14" s="509">
        <f>H14/H21*100</f>
        <v>5.0030905719376069</v>
      </c>
    </row>
    <row r="15" spans="1:9" s="2" customFormat="1" ht="15.75" x14ac:dyDescent="0.25">
      <c r="A15" s="8">
        <v>13</v>
      </c>
      <c r="B15" s="14" t="s">
        <v>192</v>
      </c>
      <c r="C15" s="7">
        <f>'Sum , MPA'!AD31</f>
        <v>69067937</v>
      </c>
      <c r="D15" s="7">
        <f t="shared" si="0"/>
        <v>6.9067936999999997</v>
      </c>
      <c r="E15" s="12">
        <f>C15*D26</f>
        <v>3827994015.6454043</v>
      </c>
      <c r="F15" s="516">
        <f>E15/E23*100</f>
        <v>5.3723252755570456</v>
      </c>
      <c r="G15" s="517">
        <f>C15/C23*100</f>
        <v>5.3723252755570456</v>
      </c>
      <c r="H15" s="12">
        <v>1131</v>
      </c>
      <c r="I15" s="509">
        <f>H15/H21*100</f>
        <v>4.1122786605097623</v>
      </c>
    </row>
    <row r="16" spans="1:9" s="2" customFormat="1" ht="15.75" x14ac:dyDescent="0.25">
      <c r="A16" s="8">
        <v>14</v>
      </c>
      <c r="B16" s="14" t="s">
        <v>193</v>
      </c>
      <c r="C16" s="7">
        <f>'Sum , MPA'!AF31</f>
        <v>80535405</v>
      </c>
      <c r="D16" s="7">
        <f t="shared" si="0"/>
        <v>8.0535405000000004</v>
      </c>
      <c r="E16" s="12">
        <f>C16*D26</f>
        <v>4463562425.3201447</v>
      </c>
      <c r="F16" s="516">
        <f>E16/E23*100</f>
        <v>6.2643016521359716</v>
      </c>
      <c r="G16" s="517">
        <f>C16/C23*100</f>
        <v>6.2643016521359733</v>
      </c>
      <c r="H16" s="12">
        <v>1314</v>
      </c>
      <c r="I16" s="509">
        <f>H16/H21*100</f>
        <v>4.7776606188415807</v>
      </c>
    </row>
    <row r="17" spans="1:32" s="2" customFormat="1" ht="15.75" x14ac:dyDescent="0.25">
      <c r="A17" s="8">
        <v>15</v>
      </c>
      <c r="B17" s="14" t="s">
        <v>194</v>
      </c>
      <c r="C17" s="7">
        <f>'Sum , MPA'!AH31</f>
        <v>74631697</v>
      </c>
      <c r="D17" s="7">
        <f t="shared" si="0"/>
        <v>7.4631696999999999</v>
      </c>
      <c r="E17" s="12">
        <f>C17*D26</f>
        <v>4136357648.7518525</v>
      </c>
      <c r="F17" s="516">
        <f>E17/E23*100</f>
        <v>5.8050923419185798</v>
      </c>
      <c r="G17" s="517">
        <f>C17/C23*100</f>
        <v>5.8050923419185798</v>
      </c>
      <c r="H17" s="12">
        <v>2691</v>
      </c>
      <c r="I17" s="509">
        <f>H17/H21*100</f>
        <v>9.7843871577646073</v>
      </c>
    </row>
    <row r="18" spans="1:32" s="133" customFormat="1" ht="15.75" x14ac:dyDescent="0.25">
      <c r="A18" s="8">
        <v>16</v>
      </c>
      <c r="B18" s="14" t="s">
        <v>195</v>
      </c>
      <c r="C18" s="7">
        <f>'Sum , MPA'!AJ31</f>
        <v>58194762</v>
      </c>
      <c r="D18" s="7">
        <f t="shared" si="0"/>
        <v>5.8194762000000004</v>
      </c>
      <c r="E18" s="12">
        <f>C18*D26</f>
        <v>3225363466.088593</v>
      </c>
      <c r="F18" s="516">
        <f>E18/E23*100</f>
        <v>4.5265749112736158</v>
      </c>
      <c r="G18" s="517">
        <f>C18/C23*100</f>
        <v>4.5265749112736158</v>
      </c>
      <c r="H18" s="134">
        <v>682</v>
      </c>
      <c r="I18" s="509">
        <f>H18/H21*100</f>
        <v>2.4797294840562847</v>
      </c>
    </row>
    <row r="19" spans="1:32" s="504" customFormat="1" ht="15.75" x14ac:dyDescent="0.25">
      <c r="A19" s="501">
        <v>17</v>
      </c>
      <c r="B19" s="502" t="s">
        <v>196</v>
      </c>
      <c r="C19" s="503">
        <f>'Sum , MPA'!AL31</f>
        <v>75522687</v>
      </c>
      <c r="D19" s="503">
        <f t="shared" si="0"/>
        <v>7.5522686999999999</v>
      </c>
      <c r="E19" s="512">
        <f>C19*D26</f>
        <v>4185739526.0185776</v>
      </c>
      <c r="F19" s="520">
        <f>E19/E23*100</f>
        <v>5.8743963968126556</v>
      </c>
      <c r="G19" s="521">
        <f>C19/C23*100</f>
        <v>5.8743963968126556</v>
      </c>
      <c r="H19" s="512">
        <v>2586</v>
      </c>
      <c r="I19" s="513">
        <f>H19/H21*100</f>
        <v>9.4026106242955318</v>
      </c>
    </row>
    <row r="20" spans="1:32" s="2" customFormat="1" ht="15.75" x14ac:dyDescent="0.25">
      <c r="A20" s="8">
        <v>18</v>
      </c>
      <c r="B20" s="15" t="s">
        <v>197</v>
      </c>
      <c r="C20" s="7">
        <f>'Sum , MPA'!AN31</f>
        <v>150323700</v>
      </c>
      <c r="D20" s="7">
        <f t="shared" si="0"/>
        <v>15.03237</v>
      </c>
      <c r="E20" s="12"/>
      <c r="F20" s="12"/>
      <c r="G20" s="12"/>
      <c r="H20" s="12"/>
      <c r="I20" s="12"/>
    </row>
    <row r="21" spans="1:32" s="5" customFormat="1" ht="15.75" x14ac:dyDescent="0.25">
      <c r="A21" s="16"/>
      <c r="B21" s="17" t="s">
        <v>37</v>
      </c>
      <c r="C21" s="11">
        <f>SUM(C3:C20)</f>
        <v>1435948331</v>
      </c>
      <c r="D21" s="7">
        <f t="shared" si="0"/>
        <v>143.59483309999999</v>
      </c>
      <c r="E21" s="508"/>
      <c r="F21" s="514">
        <f>SUM(F3:F20)</f>
        <v>100</v>
      </c>
      <c r="G21" s="515">
        <f>SUM(G3:G20)</f>
        <v>100</v>
      </c>
      <c r="H21" s="508">
        <f>SUM(H3:H20)</f>
        <v>27503</v>
      </c>
      <c r="I21" s="514">
        <f>SUM(I3:I20)</f>
        <v>100</v>
      </c>
    </row>
    <row r="23" spans="1:32" x14ac:dyDescent="0.25">
      <c r="C23" s="162">
        <f>C21-C20</f>
        <v>1285624631</v>
      </c>
      <c r="E23">
        <f>SUM(E3:E22)</f>
        <v>71253950930</v>
      </c>
    </row>
    <row r="25" spans="1:32" x14ac:dyDescent="0.25">
      <c r="B25" t="s">
        <v>969</v>
      </c>
      <c r="C25" s="162">
        <f>'Sum, scheme'!F34</f>
        <v>862863209.29999995</v>
      </c>
    </row>
    <row r="26" spans="1:32" ht="30" x14ac:dyDescent="0.25">
      <c r="B26" s="505" t="s">
        <v>972</v>
      </c>
      <c r="C26" s="162">
        <f>C25-C20</f>
        <v>712539509.29999995</v>
      </c>
      <c r="D26">
        <f>C26/C23*100</f>
        <v>55.42360438021197</v>
      </c>
    </row>
    <row r="27" spans="1:32" ht="0.75" customHeight="1" x14ac:dyDescent="0.25">
      <c r="E27" s="9"/>
      <c r="F27" s="9"/>
      <c r="G27" s="9"/>
      <c r="I27" s="9"/>
      <c r="K27" s="9"/>
      <c r="M27" s="9"/>
      <c r="O27" s="9"/>
      <c r="Q27" s="9"/>
      <c r="S27" s="9"/>
      <c r="U27" s="9"/>
      <c r="W27" s="9"/>
      <c r="Y27" s="9"/>
      <c r="AA27" s="9"/>
      <c r="AC27" s="9"/>
      <c r="AE27" s="9"/>
    </row>
    <row r="28" spans="1:32" ht="15.75" hidden="1" x14ac:dyDescent="0.25">
      <c r="C28" s="9">
        <v>48</v>
      </c>
      <c r="D28" s="9"/>
      <c r="E28" s="9"/>
      <c r="F28" s="9"/>
      <c r="G28" s="9"/>
      <c r="H28" s="9">
        <v>43</v>
      </c>
      <c r="I28" s="9"/>
      <c r="J28" s="9">
        <v>75</v>
      </c>
      <c r="K28" s="9"/>
      <c r="L28" s="9">
        <v>41</v>
      </c>
      <c r="M28" s="9"/>
      <c r="N28" s="9">
        <v>101</v>
      </c>
      <c r="O28" s="9"/>
      <c r="P28" s="9">
        <v>8</v>
      </c>
      <c r="Q28" s="9"/>
      <c r="R28" s="9">
        <v>33</v>
      </c>
      <c r="S28" s="9"/>
      <c r="T28" s="9">
        <v>53</v>
      </c>
      <c r="U28" s="9"/>
      <c r="V28" s="9">
        <v>52</v>
      </c>
      <c r="W28" s="9"/>
      <c r="X28" s="9">
        <v>76</v>
      </c>
      <c r="Y28" s="9"/>
      <c r="Z28" s="9">
        <v>82</v>
      </c>
      <c r="AA28" s="9"/>
      <c r="AB28" s="9">
        <v>104</v>
      </c>
      <c r="AC28" s="9"/>
      <c r="AD28" s="9">
        <v>147</v>
      </c>
      <c r="AE28" s="9"/>
      <c r="AF28" s="9">
        <v>54</v>
      </c>
    </row>
    <row r="29" spans="1:32" ht="15.75" hidden="1" x14ac:dyDescent="0.25">
      <c r="E29" s="10">
        <f>E28/1125*100</f>
        <v>0</v>
      </c>
      <c r="F29" s="10"/>
      <c r="G29" s="10"/>
      <c r="I29" s="10">
        <f>I28/1125*100</f>
        <v>0</v>
      </c>
      <c r="K29" s="10">
        <f>K28/1125*100</f>
        <v>0</v>
      </c>
      <c r="M29" s="10">
        <f>M28/1125*100</f>
        <v>0</v>
      </c>
      <c r="O29" s="10">
        <f>O28/1125*100</f>
        <v>0</v>
      </c>
      <c r="Q29" s="10">
        <f>Q28/1125*100</f>
        <v>0</v>
      </c>
      <c r="S29" s="10">
        <f>S28/1125*100</f>
        <v>0</v>
      </c>
      <c r="U29" s="10">
        <f>U28/1125*100</f>
        <v>0</v>
      </c>
      <c r="W29" s="10">
        <f>W28/1125*100</f>
        <v>0</v>
      </c>
      <c r="Y29" s="10">
        <f>Y28/1125*100</f>
        <v>0</v>
      </c>
      <c r="AA29" s="10">
        <f>AA28/1125*100</f>
        <v>0</v>
      </c>
      <c r="AC29" s="10">
        <f>AC28/1125*100</f>
        <v>0</v>
      </c>
      <c r="AE29" s="10">
        <f>AE28/1125*100</f>
        <v>0</v>
      </c>
    </row>
  </sheetData>
  <mergeCells count="1">
    <mergeCell ref="A1:D1"/>
  </mergeCells>
  <pageMargins left="0.7" right="0.7" top="0.75" bottom="0.75" header="0.3" footer="0.3"/>
  <pageSetup scale="3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0">
    <tabColor rgb="FF00B0F0"/>
    <pageSetUpPr fitToPage="1"/>
  </sheetPr>
  <dimension ref="B1:BW51"/>
  <sheetViews>
    <sheetView topLeftCell="C4" zoomScale="80" zoomScaleNormal="80" workbookViewId="0">
      <pane xSplit="6" ySplit="7" topLeftCell="BN35" activePane="bottomRight" state="frozen"/>
      <selection activeCell="C4" sqref="C4"/>
      <selection pane="topRight" activeCell="I4" sqref="I4"/>
      <selection pane="bottomLeft" activeCell="C11" sqref="C11"/>
      <selection pane="bottomRight" activeCell="BP54" sqref="BP54"/>
    </sheetView>
  </sheetViews>
  <sheetFormatPr defaultColWidth="9.140625" defaultRowHeight="15.75" x14ac:dyDescent="0.25"/>
  <cols>
    <col min="1" max="1" width="8" style="171" customWidth="1"/>
    <col min="2" max="2" width="6" style="171" customWidth="1"/>
    <col min="3" max="3" width="11.28515625" style="171" bestFit="1" customWidth="1"/>
    <col min="4" max="4" width="46.28515625" style="171" bestFit="1" customWidth="1"/>
    <col min="5" max="5" width="12.7109375" style="171" bestFit="1" customWidth="1"/>
    <col min="6" max="6" width="12.85546875" style="131" customWidth="1"/>
    <col min="7" max="7" width="11.7109375" style="171" customWidth="1"/>
    <col min="8" max="8" width="16.7109375" style="136" bestFit="1" customWidth="1"/>
    <col min="9" max="9" width="14.28515625" style="136" customWidth="1"/>
    <col min="10" max="10" width="15.42578125" style="136" customWidth="1"/>
    <col min="11" max="11" width="11.28515625" style="136" customWidth="1"/>
    <col min="12" max="12" width="13.85546875" style="136" customWidth="1"/>
    <col min="13" max="13" width="7" style="136" customWidth="1"/>
    <col min="14" max="14" width="13.140625" style="136" customWidth="1"/>
    <col min="15" max="15" width="7.85546875" style="136" customWidth="1"/>
    <col min="16" max="16" width="7.7109375" style="171" customWidth="1"/>
    <col min="17" max="17" width="13.140625" style="171" customWidth="1"/>
    <col min="18" max="18" width="8.28515625" style="171" customWidth="1"/>
    <col min="19" max="21" width="9" style="171" customWidth="1"/>
    <col min="22" max="22" width="9" style="171" bestFit="1" customWidth="1"/>
    <col min="23" max="25" width="14.28515625" style="171" customWidth="1"/>
    <col min="26" max="26" width="14.28515625" style="171" bestFit="1" customWidth="1"/>
    <col min="27" max="27" width="9" style="171" bestFit="1" customWidth="1"/>
    <col min="28" max="28" width="14.28515625" style="136" bestFit="1" customWidth="1"/>
    <col min="29" max="29" width="7.28515625" style="171" bestFit="1" customWidth="1"/>
    <col min="30" max="30" width="13.140625" style="171" bestFit="1" customWidth="1"/>
    <col min="31" max="31" width="9" style="171" bestFit="1" customWidth="1"/>
    <col min="32" max="32" width="14.28515625" style="171" bestFit="1" customWidth="1"/>
    <col min="33" max="33" width="9" style="171" bestFit="1" customWidth="1"/>
    <col min="34" max="34" width="14.28515625" style="171" bestFit="1" customWidth="1"/>
    <col min="35" max="35" width="9" style="171" bestFit="1" customWidth="1"/>
    <col min="36" max="36" width="13.140625" style="171" bestFit="1" customWidth="1"/>
    <col min="37" max="37" width="9" style="171" bestFit="1" customWidth="1"/>
    <col min="38" max="38" width="13.140625" style="171" bestFit="1" customWidth="1"/>
    <col min="39" max="39" width="9" style="171" bestFit="1" customWidth="1"/>
    <col min="40" max="40" width="13.140625" style="171" bestFit="1" customWidth="1"/>
    <col min="41" max="41" width="9" style="171" bestFit="1" customWidth="1"/>
    <col min="42" max="42" width="13.140625" style="171" bestFit="1" customWidth="1"/>
    <col min="43" max="43" width="7.28515625" style="171" bestFit="1" customWidth="1"/>
    <col min="44" max="44" width="13.140625" style="171" bestFit="1" customWidth="1"/>
    <col min="45" max="45" width="9" style="171" bestFit="1" customWidth="1"/>
    <col min="46" max="46" width="14.28515625" style="171" bestFit="1" customWidth="1"/>
    <col min="47" max="47" width="9" style="171" bestFit="1" customWidth="1"/>
    <col min="48" max="48" width="14.28515625" style="171" bestFit="1" customWidth="1"/>
    <col min="49" max="49" width="9" style="171" bestFit="1" customWidth="1"/>
    <col min="50" max="50" width="13.140625" style="171" bestFit="1" customWidth="1"/>
    <col min="51" max="51" width="9" style="171" bestFit="1" customWidth="1"/>
    <col min="52" max="52" width="13.140625" style="171" bestFit="1" customWidth="1"/>
    <col min="53" max="53" width="9" style="171" bestFit="1" customWidth="1"/>
    <col min="54" max="54" width="13.140625" style="171" bestFit="1" customWidth="1"/>
    <col min="55" max="55" width="9" style="171" bestFit="1" customWidth="1"/>
    <col min="56" max="56" width="14.28515625" style="171" bestFit="1" customWidth="1"/>
    <col min="57" max="57" width="9" style="171" bestFit="1" customWidth="1"/>
    <col min="58" max="58" width="14.28515625" style="171" bestFit="1" customWidth="1"/>
    <col min="59" max="59" width="9" style="171" bestFit="1" customWidth="1"/>
    <col min="60" max="60" width="13.140625" style="171" bestFit="1" customWidth="1"/>
    <col min="61" max="61" width="9" style="171" bestFit="1" customWidth="1"/>
    <col min="62" max="62" width="14.28515625" style="171" bestFit="1" customWidth="1"/>
    <col min="63" max="63" width="10.140625" style="171" bestFit="1" customWidth="1"/>
    <col min="64" max="64" width="15.42578125" style="171" bestFit="1" customWidth="1"/>
    <col min="65" max="65" width="22.140625" style="170" bestFit="1" customWidth="1"/>
    <col min="66" max="66" width="5" style="171" bestFit="1" customWidth="1"/>
    <col min="67" max="67" width="7.28515625" style="171" bestFit="1" customWidth="1"/>
    <col min="68" max="68" width="17.7109375" style="171" bestFit="1" customWidth="1"/>
    <col min="69" max="69" width="18.140625" style="171" bestFit="1" customWidth="1"/>
    <col min="70" max="70" width="7.42578125" style="171" bestFit="1" customWidth="1"/>
    <col min="71" max="71" width="17.85546875" style="171" bestFit="1" customWidth="1"/>
    <col min="72" max="72" width="12" style="171" bestFit="1" customWidth="1"/>
    <col min="73" max="73" width="10.85546875" style="171" bestFit="1" customWidth="1"/>
    <col min="74" max="74" width="16.140625" style="171" bestFit="1" customWidth="1"/>
    <col min="75" max="75" width="18.140625" style="171" bestFit="1" customWidth="1"/>
    <col min="76" max="78" width="9.140625" style="171" customWidth="1"/>
    <col min="79" max="16384" width="9.140625" style="171"/>
  </cols>
  <sheetData>
    <row r="1" spans="2:75" x14ac:dyDescent="0.25"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  <c r="O1" s="731"/>
      <c r="P1" s="731"/>
      <c r="Q1" s="731"/>
      <c r="R1" s="731"/>
    </row>
    <row r="2" spans="2:75" x14ac:dyDescent="0.25">
      <c r="B2" s="730" t="s">
        <v>159</v>
      </c>
      <c r="C2" s="730"/>
      <c r="D2" s="730" t="s">
        <v>153</v>
      </c>
      <c r="E2" s="730"/>
      <c r="F2" s="730"/>
      <c r="G2" s="730"/>
      <c r="H2" s="730"/>
      <c r="I2" s="730"/>
      <c r="J2" s="730"/>
      <c r="K2" s="730"/>
      <c r="L2" s="730"/>
      <c r="M2" s="730"/>
      <c r="N2" s="730"/>
      <c r="O2" s="730"/>
      <c r="P2" s="730"/>
      <c r="Q2" s="730"/>
      <c r="R2" s="730"/>
      <c r="S2" s="170"/>
      <c r="T2" s="170"/>
      <c r="U2" s="170"/>
      <c r="V2" s="170"/>
      <c r="W2" s="170"/>
      <c r="X2" s="170"/>
      <c r="Y2" s="170"/>
      <c r="Z2" s="170"/>
      <c r="AA2" s="171" t="s">
        <v>288</v>
      </c>
      <c r="AB2" s="171">
        <v>8.34</v>
      </c>
      <c r="AD2" s="171">
        <v>2.85</v>
      </c>
      <c r="AF2" s="171">
        <v>8.3800000000000008</v>
      </c>
      <c r="AH2" s="171">
        <v>7.49</v>
      </c>
      <c r="AJ2" s="171">
        <v>3.33</v>
      </c>
      <c r="AL2" s="171">
        <v>6.64</v>
      </c>
      <c r="AN2" s="171">
        <v>3.67</v>
      </c>
      <c r="AP2" s="171">
        <v>5.0599999999999996</v>
      </c>
      <c r="AR2" s="171">
        <v>5.94</v>
      </c>
      <c r="AT2" s="171">
        <v>6.85</v>
      </c>
      <c r="AV2" s="171">
        <v>7.45</v>
      </c>
      <c r="AX2" s="171">
        <v>5.13</v>
      </c>
      <c r="AZ2" s="171">
        <v>4.8600000000000003</v>
      </c>
      <c r="BB2" s="171">
        <v>5.79</v>
      </c>
      <c r="BD2" s="171">
        <v>5.3</v>
      </c>
      <c r="BF2" s="171">
        <v>3.47</v>
      </c>
      <c r="BH2" s="171">
        <v>9.42</v>
      </c>
    </row>
    <row r="3" spans="2:75" x14ac:dyDescent="0.25">
      <c r="B3" s="730" t="s">
        <v>155</v>
      </c>
      <c r="C3" s="730"/>
      <c r="D3" s="730" t="s">
        <v>154</v>
      </c>
      <c r="E3" s="730"/>
      <c r="F3" s="730"/>
      <c r="G3" s="730"/>
      <c r="H3" s="730"/>
      <c r="I3" s="730"/>
      <c r="J3" s="730"/>
      <c r="K3" s="730"/>
      <c r="L3" s="730"/>
      <c r="M3" s="730"/>
      <c r="N3" s="730"/>
      <c r="O3" s="730"/>
      <c r="P3" s="730"/>
      <c r="Q3" s="730"/>
      <c r="R3" s="730"/>
      <c r="S3" s="170"/>
      <c r="T3" s="170"/>
      <c r="U3" s="170"/>
      <c r="V3" s="170"/>
      <c r="W3" s="170"/>
      <c r="X3" s="170"/>
      <c r="Y3" s="170"/>
      <c r="Z3" s="170"/>
      <c r="AA3" s="171" t="s">
        <v>286</v>
      </c>
      <c r="AB3" s="171">
        <v>48</v>
      </c>
      <c r="AD3" s="171">
        <v>23</v>
      </c>
      <c r="AF3" s="171">
        <v>80</v>
      </c>
      <c r="AH3" s="171">
        <v>105</v>
      </c>
      <c r="AJ3" s="171">
        <v>43</v>
      </c>
      <c r="AL3" s="171">
        <v>75</v>
      </c>
      <c r="AN3" s="171">
        <v>41</v>
      </c>
      <c r="AP3" s="171">
        <v>101</v>
      </c>
      <c r="AR3" s="171">
        <v>8</v>
      </c>
      <c r="AT3" s="171">
        <v>33</v>
      </c>
      <c r="AV3" s="171">
        <v>53</v>
      </c>
      <c r="AX3" s="171">
        <v>52</v>
      </c>
      <c r="AZ3" s="171">
        <v>76</v>
      </c>
      <c r="BB3" s="171">
        <v>82</v>
      </c>
      <c r="BD3" s="171">
        <v>104</v>
      </c>
      <c r="BF3" s="171">
        <v>147</v>
      </c>
      <c r="BH3" s="171">
        <v>54</v>
      </c>
    </row>
    <row r="4" spans="2:75" x14ac:dyDescent="0.25">
      <c r="B4" s="730" t="s">
        <v>156</v>
      </c>
      <c r="C4" s="730"/>
      <c r="D4" s="730" t="s">
        <v>950</v>
      </c>
      <c r="E4" s="730"/>
      <c r="F4" s="730"/>
      <c r="G4" s="730"/>
      <c r="H4" s="730"/>
      <c r="I4" s="730"/>
      <c r="J4" s="730"/>
      <c r="K4" s="730"/>
      <c r="L4" s="730"/>
      <c r="M4" s="730"/>
      <c r="N4" s="730"/>
      <c r="O4" s="730"/>
      <c r="P4" s="730"/>
      <c r="Q4" s="730"/>
      <c r="R4" s="730"/>
      <c r="S4" s="170"/>
      <c r="T4" s="170"/>
      <c r="U4" s="170"/>
      <c r="V4" s="170"/>
      <c r="W4" s="170"/>
      <c r="X4" s="170"/>
      <c r="Y4" s="170"/>
      <c r="Z4" s="170"/>
      <c r="AA4" s="171" t="s">
        <v>287</v>
      </c>
      <c r="AB4" s="152">
        <f>AB3/1125*100</f>
        <v>4.2666666666666666</v>
      </c>
      <c r="AC4" s="152">
        <f t="shared" ref="AC4:BH4" si="0">AC3/1125*100</f>
        <v>0</v>
      </c>
      <c r="AD4" s="152">
        <f t="shared" si="0"/>
        <v>2.0444444444444447</v>
      </c>
      <c r="AE4" s="152">
        <f t="shared" si="0"/>
        <v>0</v>
      </c>
      <c r="AF4" s="152">
        <f t="shared" si="0"/>
        <v>7.1111111111111107</v>
      </c>
      <c r="AG4" s="152">
        <f t="shared" si="0"/>
        <v>0</v>
      </c>
      <c r="AH4" s="152">
        <f t="shared" si="0"/>
        <v>9.3333333333333339</v>
      </c>
      <c r="AI4" s="152">
        <f t="shared" si="0"/>
        <v>0</v>
      </c>
      <c r="AJ4" s="152">
        <f t="shared" si="0"/>
        <v>3.822222222222222</v>
      </c>
      <c r="AK4" s="152">
        <f t="shared" si="0"/>
        <v>0</v>
      </c>
      <c r="AL4" s="152">
        <f t="shared" si="0"/>
        <v>6.666666666666667</v>
      </c>
      <c r="AM4" s="152">
        <f t="shared" si="0"/>
        <v>0</v>
      </c>
      <c r="AN4" s="152">
        <f t="shared" si="0"/>
        <v>3.6444444444444448</v>
      </c>
      <c r="AO4" s="152">
        <f t="shared" si="0"/>
        <v>0</v>
      </c>
      <c r="AP4" s="152">
        <f t="shared" si="0"/>
        <v>8.9777777777777779</v>
      </c>
      <c r="AQ4" s="152">
        <f t="shared" si="0"/>
        <v>0</v>
      </c>
      <c r="AR4" s="152">
        <f t="shared" si="0"/>
        <v>0.71111111111111114</v>
      </c>
      <c r="AS4" s="152">
        <f t="shared" si="0"/>
        <v>0</v>
      </c>
      <c r="AT4" s="152">
        <f t="shared" si="0"/>
        <v>2.9333333333333331</v>
      </c>
      <c r="AU4" s="152">
        <f t="shared" si="0"/>
        <v>0</v>
      </c>
      <c r="AV4" s="152">
        <f t="shared" si="0"/>
        <v>4.7111111111111112</v>
      </c>
      <c r="AW4" s="152">
        <f t="shared" si="0"/>
        <v>0</v>
      </c>
      <c r="AX4" s="152">
        <f t="shared" si="0"/>
        <v>4.6222222222222218</v>
      </c>
      <c r="AY4" s="152">
        <f t="shared" si="0"/>
        <v>0</v>
      </c>
      <c r="AZ4" s="152">
        <f t="shared" si="0"/>
        <v>6.7555555555555546</v>
      </c>
      <c r="BA4" s="152">
        <f t="shared" si="0"/>
        <v>0</v>
      </c>
      <c r="BB4" s="152">
        <f t="shared" si="0"/>
        <v>7.2888888888888896</v>
      </c>
      <c r="BC4" s="152">
        <f t="shared" si="0"/>
        <v>0</v>
      </c>
      <c r="BD4" s="152">
        <f t="shared" si="0"/>
        <v>9.2444444444444436</v>
      </c>
      <c r="BE4" s="152">
        <f t="shared" si="0"/>
        <v>0</v>
      </c>
      <c r="BF4" s="152">
        <f t="shared" si="0"/>
        <v>13.066666666666665</v>
      </c>
      <c r="BG4" s="152">
        <f t="shared" si="0"/>
        <v>0</v>
      </c>
      <c r="BH4" s="152">
        <f t="shared" si="0"/>
        <v>4.8</v>
      </c>
    </row>
    <row r="5" spans="2:75" x14ac:dyDescent="0.25">
      <c r="B5" s="730" t="s">
        <v>157</v>
      </c>
      <c r="C5" s="730"/>
      <c r="D5" s="730" t="s">
        <v>0</v>
      </c>
      <c r="E5" s="730"/>
      <c r="F5" s="730"/>
      <c r="G5" s="730"/>
      <c r="H5" s="730"/>
      <c r="I5" s="730"/>
      <c r="J5" s="730"/>
      <c r="K5" s="730"/>
      <c r="L5" s="730"/>
      <c r="M5" s="730"/>
      <c r="N5" s="730"/>
      <c r="O5" s="730"/>
      <c r="P5" s="730"/>
      <c r="Q5" s="730"/>
      <c r="R5" s="730"/>
      <c r="S5" s="170"/>
      <c r="T5" s="170"/>
      <c r="U5" s="170"/>
      <c r="V5" s="170"/>
      <c r="W5" s="170"/>
      <c r="X5" s="170"/>
      <c r="Y5" s="170"/>
      <c r="Z5" s="170"/>
      <c r="AB5" s="171"/>
    </row>
    <row r="6" spans="2:75" x14ac:dyDescent="0.25">
      <c r="B6" s="730" t="s">
        <v>158</v>
      </c>
      <c r="C6" s="730"/>
      <c r="D6" s="730" t="s">
        <v>63</v>
      </c>
      <c r="E6" s="730"/>
      <c r="F6" s="730"/>
      <c r="G6" s="730"/>
      <c r="H6" s="730"/>
      <c r="I6" s="730"/>
      <c r="J6" s="730"/>
      <c r="K6" s="730"/>
      <c r="L6" s="730"/>
      <c r="M6" s="730"/>
      <c r="N6" s="730"/>
      <c r="O6" s="730"/>
      <c r="P6" s="730"/>
      <c r="Q6" s="730"/>
      <c r="R6" s="730"/>
      <c r="S6" s="170"/>
      <c r="T6" s="170"/>
      <c r="U6" s="170"/>
      <c r="V6" s="170"/>
      <c r="W6" s="170"/>
      <c r="X6" s="170"/>
      <c r="Y6" s="170"/>
      <c r="Z6" s="170"/>
    </row>
    <row r="7" spans="2:75" x14ac:dyDescent="0.25">
      <c r="B7" s="726"/>
      <c r="C7" s="727"/>
      <c r="D7" s="727"/>
      <c r="E7" s="727"/>
      <c r="F7" s="728"/>
      <c r="G7" s="724" t="s">
        <v>11</v>
      </c>
      <c r="H7" s="725"/>
      <c r="I7" s="726" t="s">
        <v>152</v>
      </c>
      <c r="J7" s="727"/>
      <c r="K7" s="727"/>
      <c r="L7" s="727"/>
      <c r="M7" s="727"/>
      <c r="N7" s="727"/>
      <c r="O7" s="727"/>
      <c r="P7" s="727"/>
      <c r="Q7" s="727"/>
      <c r="R7" s="728"/>
      <c r="S7" s="726" t="s">
        <v>60</v>
      </c>
      <c r="T7" s="727"/>
      <c r="U7" s="727"/>
      <c r="V7" s="728"/>
      <c r="W7" s="726" t="s">
        <v>6</v>
      </c>
      <c r="X7" s="727"/>
      <c r="Y7" s="727"/>
      <c r="Z7" s="728"/>
      <c r="AA7" s="724" t="s">
        <v>180</v>
      </c>
      <c r="AB7" s="725"/>
      <c r="AC7" s="724" t="s">
        <v>181</v>
      </c>
      <c r="AD7" s="725"/>
      <c r="AE7" s="724" t="s">
        <v>182</v>
      </c>
      <c r="AF7" s="725"/>
      <c r="AG7" s="724" t="s">
        <v>183</v>
      </c>
      <c r="AH7" s="725"/>
      <c r="AI7" s="724" t="s">
        <v>184</v>
      </c>
      <c r="AJ7" s="725"/>
      <c r="AK7" s="724" t="s">
        <v>185</v>
      </c>
      <c r="AL7" s="725"/>
      <c r="AM7" s="724" t="s">
        <v>186</v>
      </c>
      <c r="AN7" s="725"/>
      <c r="AO7" s="724" t="s">
        <v>187</v>
      </c>
      <c r="AP7" s="725"/>
      <c r="AQ7" s="724" t="s">
        <v>188</v>
      </c>
      <c r="AR7" s="725"/>
      <c r="AS7" s="724" t="s">
        <v>189</v>
      </c>
      <c r="AT7" s="725"/>
      <c r="AU7" s="724" t="s">
        <v>190</v>
      </c>
      <c r="AV7" s="725"/>
      <c r="AW7" s="724" t="s">
        <v>191</v>
      </c>
      <c r="AX7" s="725"/>
      <c r="AY7" s="724" t="s">
        <v>192</v>
      </c>
      <c r="AZ7" s="725"/>
      <c r="BA7" s="724" t="s">
        <v>193</v>
      </c>
      <c r="BB7" s="725"/>
      <c r="BC7" s="724" t="s">
        <v>194</v>
      </c>
      <c r="BD7" s="725"/>
      <c r="BE7" s="724" t="s">
        <v>195</v>
      </c>
      <c r="BF7" s="725"/>
      <c r="BG7" s="722" t="s">
        <v>196</v>
      </c>
      <c r="BH7" s="722"/>
      <c r="BI7" s="723" t="s">
        <v>197</v>
      </c>
      <c r="BJ7" s="723"/>
      <c r="BK7" s="723" t="s">
        <v>17</v>
      </c>
      <c r="BL7" s="723"/>
      <c r="BM7" s="172" t="s">
        <v>217</v>
      </c>
      <c r="BO7" s="729" t="s">
        <v>228</v>
      </c>
      <c r="BP7" s="729"/>
      <c r="BQ7" s="729"/>
      <c r="BR7" s="729"/>
      <c r="BS7" s="729"/>
      <c r="BT7" s="729" t="s">
        <v>229</v>
      </c>
      <c r="BU7" s="729"/>
      <c r="BV7" s="729"/>
      <c r="BW7" s="729" t="s">
        <v>17</v>
      </c>
    </row>
    <row r="8" spans="2:75" ht="47.25" x14ac:dyDescent="0.25">
      <c r="B8" s="132" t="s">
        <v>41</v>
      </c>
      <c r="C8" s="132" t="s">
        <v>20</v>
      </c>
      <c r="D8" s="138" t="s">
        <v>12</v>
      </c>
      <c r="E8" s="138" t="s">
        <v>14</v>
      </c>
      <c r="F8" s="137" t="s">
        <v>18</v>
      </c>
      <c r="G8" s="132" t="s">
        <v>19</v>
      </c>
      <c r="H8" s="132" t="s">
        <v>15</v>
      </c>
      <c r="I8" s="138" t="s">
        <v>200</v>
      </c>
      <c r="J8" s="138" t="s">
        <v>201</v>
      </c>
      <c r="K8" s="138" t="s">
        <v>202</v>
      </c>
      <c r="L8" s="138" t="s">
        <v>203</v>
      </c>
      <c r="M8" s="138" t="s">
        <v>204</v>
      </c>
      <c r="N8" s="138" t="s">
        <v>205</v>
      </c>
      <c r="O8" s="138" t="s">
        <v>919</v>
      </c>
      <c r="P8" s="138" t="s">
        <v>206</v>
      </c>
      <c r="Q8" s="138" t="s">
        <v>207</v>
      </c>
      <c r="R8" s="138" t="s">
        <v>768</v>
      </c>
      <c r="S8" s="138" t="s">
        <v>7</v>
      </c>
      <c r="T8" s="138" t="s">
        <v>8</v>
      </c>
      <c r="U8" s="138" t="s">
        <v>9</v>
      </c>
      <c r="V8" s="138" t="s">
        <v>10</v>
      </c>
      <c r="W8" s="138" t="s">
        <v>7</v>
      </c>
      <c r="X8" s="138" t="s">
        <v>8</v>
      </c>
      <c r="Y8" s="138" t="s">
        <v>9</v>
      </c>
      <c r="Z8" s="138" t="s">
        <v>10</v>
      </c>
      <c r="AA8" s="138" t="s">
        <v>14</v>
      </c>
      <c r="AB8" s="138" t="s">
        <v>15</v>
      </c>
      <c r="AC8" s="138" t="s">
        <v>14</v>
      </c>
      <c r="AD8" s="138" t="s">
        <v>15</v>
      </c>
      <c r="AE8" s="138" t="s">
        <v>14</v>
      </c>
      <c r="AF8" s="138" t="s">
        <v>15</v>
      </c>
      <c r="AG8" s="138" t="s">
        <v>14</v>
      </c>
      <c r="AH8" s="138" t="s">
        <v>15</v>
      </c>
      <c r="AI8" s="138" t="s">
        <v>14</v>
      </c>
      <c r="AJ8" s="138" t="s">
        <v>15</v>
      </c>
      <c r="AK8" s="138" t="s">
        <v>14</v>
      </c>
      <c r="AL8" s="138" t="s">
        <v>15</v>
      </c>
      <c r="AM8" s="138" t="s">
        <v>14</v>
      </c>
      <c r="AN8" s="138" t="s">
        <v>15</v>
      </c>
      <c r="AO8" s="138" t="s">
        <v>14</v>
      </c>
      <c r="AP8" s="138" t="s">
        <v>15</v>
      </c>
      <c r="AQ8" s="138" t="s">
        <v>14</v>
      </c>
      <c r="AR8" s="138" t="s">
        <v>15</v>
      </c>
      <c r="AS8" s="138" t="s">
        <v>14</v>
      </c>
      <c r="AT8" s="138" t="s">
        <v>15</v>
      </c>
      <c r="AU8" s="138" t="s">
        <v>14</v>
      </c>
      <c r="AV8" s="138" t="s">
        <v>15</v>
      </c>
      <c r="AW8" s="138" t="s">
        <v>14</v>
      </c>
      <c r="AX8" s="138" t="s">
        <v>15</v>
      </c>
      <c r="AY8" s="138" t="s">
        <v>14</v>
      </c>
      <c r="AZ8" s="138" t="s">
        <v>15</v>
      </c>
      <c r="BA8" s="138" t="s">
        <v>14</v>
      </c>
      <c r="BB8" s="138" t="s">
        <v>15</v>
      </c>
      <c r="BC8" s="138" t="s">
        <v>14</v>
      </c>
      <c r="BD8" s="138" t="s">
        <v>15</v>
      </c>
      <c r="BE8" s="138" t="s">
        <v>14</v>
      </c>
      <c r="BF8" s="138" t="s">
        <v>15</v>
      </c>
      <c r="BG8" s="138" t="s">
        <v>14</v>
      </c>
      <c r="BH8" s="138" t="s">
        <v>15</v>
      </c>
      <c r="BI8" s="138" t="s">
        <v>14</v>
      </c>
      <c r="BJ8" s="138" t="s">
        <v>15</v>
      </c>
      <c r="BK8" s="138" t="s">
        <v>14</v>
      </c>
      <c r="BL8" s="138" t="s">
        <v>15</v>
      </c>
      <c r="BM8" s="139"/>
      <c r="BO8" s="173" t="s">
        <v>219</v>
      </c>
      <c r="BP8" s="135" t="s">
        <v>220</v>
      </c>
      <c r="BQ8" s="135" t="s">
        <v>221</v>
      </c>
      <c r="BR8" s="173" t="s">
        <v>222</v>
      </c>
      <c r="BS8" s="135" t="s">
        <v>223</v>
      </c>
      <c r="BT8" s="135" t="s">
        <v>224</v>
      </c>
      <c r="BU8" s="135" t="s">
        <v>225</v>
      </c>
      <c r="BV8" s="135" t="s">
        <v>226</v>
      </c>
      <c r="BW8" s="729"/>
    </row>
    <row r="9" spans="2:75" x14ac:dyDescent="0.25">
      <c r="B9" s="720" t="s">
        <v>59</v>
      </c>
      <c r="C9" s="153"/>
      <c r="D9" s="140" t="s">
        <v>316</v>
      </c>
      <c r="E9" s="154"/>
      <c r="F9" s="130"/>
      <c r="G9" s="154"/>
      <c r="H9" s="6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72"/>
      <c r="T9" s="172"/>
      <c r="U9" s="172"/>
      <c r="V9" s="172"/>
      <c r="W9" s="172"/>
      <c r="X9" s="172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154"/>
      <c r="BO9" s="65"/>
      <c r="BP9" s="65"/>
      <c r="BQ9" s="65"/>
      <c r="BR9" s="65"/>
      <c r="BS9" s="65"/>
      <c r="BT9" s="65"/>
      <c r="BU9" s="65"/>
      <c r="BV9" s="65"/>
      <c r="BW9" s="142">
        <f>BS9+BV9</f>
        <v>0</v>
      </c>
    </row>
    <row r="10" spans="2:75" s="170" customFormat="1" x14ac:dyDescent="0.25">
      <c r="B10" s="721"/>
      <c r="C10" s="155" t="s">
        <v>694</v>
      </c>
      <c r="D10" s="140" t="s">
        <v>474</v>
      </c>
      <c r="E10" s="156" t="s">
        <v>64</v>
      </c>
      <c r="F10" s="143">
        <v>6300000</v>
      </c>
      <c r="G10" s="157">
        <f>BK10</f>
        <v>17.5</v>
      </c>
      <c r="H10" s="172">
        <f>BL10</f>
        <v>112332000</v>
      </c>
      <c r="I10" s="172">
        <f>H10*0.5</f>
        <v>56166000</v>
      </c>
      <c r="J10" s="172">
        <f>H10*0.5</f>
        <v>56166000</v>
      </c>
      <c r="K10" s="172"/>
      <c r="L10" s="172"/>
      <c r="M10" s="172"/>
      <c r="N10" s="172"/>
      <c r="O10" s="172"/>
      <c r="P10" s="172"/>
      <c r="Q10" s="172"/>
      <c r="R10" s="172"/>
      <c r="S10" s="172">
        <v>4</v>
      </c>
      <c r="T10" s="172">
        <v>4</v>
      </c>
      <c r="U10" s="172">
        <v>4</v>
      </c>
      <c r="V10" s="172">
        <v>5</v>
      </c>
      <c r="W10" s="172">
        <f>S10*F10</f>
        <v>25200000</v>
      </c>
      <c r="X10" s="172">
        <f>T10*F10</f>
        <v>25200000</v>
      </c>
      <c r="Y10" s="172">
        <f>U10*F10</f>
        <v>25200000</v>
      </c>
      <c r="Z10" s="172">
        <f>V10*F10+3000000</f>
        <v>34500000</v>
      </c>
      <c r="AA10" s="172">
        <v>1</v>
      </c>
      <c r="AB10" s="172">
        <f>AA10*F10</f>
        <v>6300000</v>
      </c>
      <c r="AC10" s="172">
        <v>1</v>
      </c>
      <c r="AD10" s="172">
        <f>AC10*F10</f>
        <v>6300000</v>
      </c>
      <c r="AE10" s="172">
        <v>1</v>
      </c>
      <c r="AF10" s="172">
        <f>AE10*F10</f>
        <v>6300000</v>
      </c>
      <c r="AG10" s="172">
        <v>1.5</v>
      </c>
      <c r="AH10" s="172">
        <v>8052000</v>
      </c>
      <c r="AI10" s="172">
        <v>1</v>
      </c>
      <c r="AJ10" s="172">
        <f>AI10*F10</f>
        <v>6300000</v>
      </c>
      <c r="AK10" s="172">
        <v>1</v>
      </c>
      <c r="AL10" s="172">
        <f>AK10*F10</f>
        <v>6300000</v>
      </c>
      <c r="AM10" s="172">
        <v>1</v>
      </c>
      <c r="AN10" s="172">
        <f>AM10*F10</f>
        <v>6300000</v>
      </c>
      <c r="AO10" s="172">
        <v>1</v>
      </c>
      <c r="AP10" s="172">
        <f>AO10*F10</f>
        <v>6300000</v>
      </c>
      <c r="AQ10" s="172">
        <v>1</v>
      </c>
      <c r="AR10" s="172">
        <v>6300000</v>
      </c>
      <c r="AS10" s="172">
        <v>1</v>
      </c>
      <c r="AT10" s="172">
        <f>AS10*F10</f>
        <v>6300000</v>
      </c>
      <c r="AU10" s="172">
        <v>1</v>
      </c>
      <c r="AV10" s="172">
        <f>AU10*F10</f>
        <v>6300000</v>
      </c>
      <c r="AW10" s="172">
        <v>1</v>
      </c>
      <c r="AX10" s="172">
        <f>AW10*F10</f>
        <v>6300000</v>
      </c>
      <c r="AY10" s="172">
        <v>1</v>
      </c>
      <c r="AZ10" s="172">
        <f>AY10*F10</f>
        <v>6300000</v>
      </c>
      <c r="BA10" s="172">
        <v>1</v>
      </c>
      <c r="BB10" s="172">
        <f>BA10*F10</f>
        <v>6300000</v>
      </c>
      <c r="BC10" s="172">
        <v>1</v>
      </c>
      <c r="BD10" s="172">
        <f>BC10*F10</f>
        <v>6300000</v>
      </c>
      <c r="BE10" s="172">
        <v>1</v>
      </c>
      <c r="BF10" s="172">
        <v>9780000</v>
      </c>
      <c r="BG10" s="172">
        <v>1</v>
      </c>
      <c r="BH10" s="172">
        <f>BG10*F10</f>
        <v>6300000</v>
      </c>
      <c r="BI10" s="144"/>
      <c r="BJ10" s="172">
        <f>BI10*F10</f>
        <v>0</v>
      </c>
      <c r="BK10" s="172">
        <f>AA10+AC10+AE10+AG10+AI10+AK10+AM10+AO10+AQ10+AS10+AU10+AW10+AY10+BA10+BC10+BE10+BG10+BI10</f>
        <v>17.5</v>
      </c>
      <c r="BL10" s="172">
        <f>AB10+AD10+AF10+AH10+AJ10+AL10+AN10+AP10+AR10+AT10+AV10+AX10+AZ10+BB10+BD10+BF10+BH10+BJ10</f>
        <v>112332000</v>
      </c>
      <c r="BM10" s="156" t="s">
        <v>212</v>
      </c>
      <c r="BO10" s="145"/>
      <c r="BP10" s="145"/>
      <c r="BQ10" s="65">
        <f>H10</f>
        <v>112332000</v>
      </c>
      <c r="BR10" s="65"/>
      <c r="BS10" s="65">
        <f>BO10+BP10+BQ10+BR10</f>
        <v>112332000</v>
      </c>
      <c r="BT10" s="65"/>
      <c r="BU10" s="65"/>
      <c r="BV10" s="65">
        <f>BT10+BU10</f>
        <v>0</v>
      </c>
      <c r="BW10" s="146">
        <f t="shared" ref="BW10:BW34" si="1">BS10+BV10</f>
        <v>112332000</v>
      </c>
    </row>
    <row r="11" spans="2:75" s="170" customFormat="1" x14ac:dyDescent="0.25">
      <c r="B11" s="721"/>
      <c r="C11" s="153"/>
      <c r="D11" s="140" t="s">
        <v>475</v>
      </c>
      <c r="E11" s="154"/>
      <c r="F11" s="130"/>
      <c r="G11" s="154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154"/>
      <c r="BO11" s="147"/>
      <c r="BP11" s="147"/>
      <c r="BQ11" s="147"/>
      <c r="BR11" s="147"/>
      <c r="BS11" s="147"/>
      <c r="BT11" s="147"/>
      <c r="BU11" s="147"/>
      <c r="BV11" s="147"/>
      <c r="BW11" s="147"/>
    </row>
    <row r="12" spans="2:75" ht="31.5" x14ac:dyDescent="0.25">
      <c r="B12" s="721"/>
      <c r="C12" s="158" t="s">
        <v>695</v>
      </c>
      <c r="D12" s="129" t="s">
        <v>476</v>
      </c>
      <c r="E12" s="154" t="s">
        <v>16</v>
      </c>
      <c r="F12" s="130">
        <v>3000000</v>
      </c>
      <c r="G12" s="159">
        <f>BK12</f>
        <v>1</v>
      </c>
      <c r="H12" s="6">
        <f>F12*G12</f>
        <v>3000000</v>
      </c>
      <c r="I12" s="6">
        <f>H12*0.2</f>
        <v>600000</v>
      </c>
      <c r="J12" s="6">
        <f>H12*0.8</f>
        <v>2400000</v>
      </c>
      <c r="K12" s="6"/>
      <c r="L12" s="6"/>
      <c r="M12" s="6"/>
      <c r="N12" s="6"/>
      <c r="O12" s="6"/>
      <c r="P12" s="172"/>
      <c r="Q12" s="172"/>
      <c r="R12" s="172"/>
      <c r="S12" s="6">
        <f>G12*0.25</f>
        <v>0.25</v>
      </c>
      <c r="T12" s="6">
        <f>G12*0.25</f>
        <v>0.25</v>
      </c>
      <c r="U12" s="6">
        <f>G12*0.25</f>
        <v>0.25</v>
      </c>
      <c r="V12" s="6">
        <f>G12*0.25</f>
        <v>0.25</v>
      </c>
      <c r="W12" s="6">
        <f>S12*F12</f>
        <v>750000</v>
      </c>
      <c r="X12" s="6">
        <f>T12*F12</f>
        <v>750000</v>
      </c>
      <c r="Y12" s="148">
        <f>U12*F12</f>
        <v>750000</v>
      </c>
      <c r="Z12" s="148">
        <f>V12*F12</f>
        <v>750000</v>
      </c>
      <c r="AA12" s="6">
        <f>SUM(AA11)</f>
        <v>0</v>
      </c>
      <c r="AB12" s="6">
        <f>AA12*F12</f>
        <v>0</v>
      </c>
      <c r="AC12" s="6"/>
      <c r="AD12" s="6">
        <f>AC12*F12</f>
        <v>0</v>
      </c>
      <c r="AE12" s="6">
        <v>0</v>
      </c>
      <c r="AF12" s="6">
        <f>AE12*F12</f>
        <v>0</v>
      </c>
      <c r="AG12" s="6">
        <v>0</v>
      </c>
      <c r="AH12" s="6">
        <f>AG12*F12</f>
        <v>0</v>
      </c>
      <c r="AI12" s="6">
        <v>0</v>
      </c>
      <c r="AJ12" s="6">
        <f>AI12*F12</f>
        <v>0</v>
      </c>
      <c r="AK12" s="6">
        <v>0</v>
      </c>
      <c r="AL12" s="6">
        <f>AK12*F12</f>
        <v>0</v>
      </c>
      <c r="AM12" s="6"/>
      <c r="AN12" s="6">
        <f>AM12*F12</f>
        <v>0</v>
      </c>
      <c r="AO12" s="6"/>
      <c r="AP12" s="6">
        <f>AO12*F12</f>
        <v>0</v>
      </c>
      <c r="AQ12" s="6"/>
      <c r="AR12" s="6">
        <f>AQ12*F12</f>
        <v>0</v>
      </c>
      <c r="AS12" s="6"/>
      <c r="AT12" s="6">
        <f>AS12*F12</f>
        <v>0</v>
      </c>
      <c r="AU12" s="6"/>
      <c r="AV12" s="6">
        <f>AU12*F12</f>
        <v>0</v>
      </c>
      <c r="AW12" s="6">
        <v>0</v>
      </c>
      <c r="AX12" s="6">
        <f>AW12*F12</f>
        <v>0</v>
      </c>
      <c r="AY12" s="6">
        <v>0</v>
      </c>
      <c r="AZ12" s="6">
        <f>AY12*F12</f>
        <v>0</v>
      </c>
      <c r="BA12" s="6">
        <v>0</v>
      </c>
      <c r="BB12" s="6">
        <f>BA12*F12</f>
        <v>0</v>
      </c>
      <c r="BC12" s="6">
        <v>0</v>
      </c>
      <c r="BD12" s="6">
        <f>BC12*F12</f>
        <v>0</v>
      </c>
      <c r="BE12" s="6">
        <v>0</v>
      </c>
      <c r="BF12" s="6">
        <f>BE12*F12</f>
        <v>0</v>
      </c>
      <c r="BG12" s="6">
        <v>0</v>
      </c>
      <c r="BH12" s="6">
        <f>BG12*F12</f>
        <v>0</v>
      </c>
      <c r="BI12" s="30">
        <v>1</v>
      </c>
      <c r="BJ12" s="6">
        <f t="shared" ref="BJ12:BJ49" si="2">BI12*F12</f>
        <v>3000000</v>
      </c>
      <c r="BK12" s="6">
        <f t="shared" ref="BK12:BL14" si="3">AA12+AC12+AE12+AG12+AI12+AK12+AM12+AO12+AQ12+AS12+AU12+AW12+AY12+BA12+BC12+BE12+BG12+BI12</f>
        <v>1</v>
      </c>
      <c r="BL12" s="6">
        <f t="shared" si="3"/>
        <v>3000000</v>
      </c>
      <c r="BM12" s="154" t="s">
        <v>210</v>
      </c>
      <c r="BO12" s="65"/>
      <c r="BP12" s="65">
        <f>BL12</f>
        <v>3000000</v>
      </c>
      <c r="BQ12" s="65"/>
      <c r="BR12" s="65"/>
      <c r="BS12" s="65">
        <f>BO12+BP12+BQ12+BR12</f>
        <v>3000000</v>
      </c>
      <c r="BT12" s="65"/>
      <c r="BU12" s="65"/>
      <c r="BV12" s="65"/>
      <c r="BW12" s="142">
        <f t="shared" si="1"/>
        <v>3000000</v>
      </c>
    </row>
    <row r="13" spans="2:75" ht="31.5" x14ac:dyDescent="0.25">
      <c r="B13" s="721"/>
      <c r="C13" s="160" t="s">
        <v>696</v>
      </c>
      <c r="D13" s="129" t="s">
        <v>477</v>
      </c>
      <c r="E13" s="154" t="s">
        <v>66</v>
      </c>
      <c r="F13" s="130">
        <v>1000</v>
      </c>
      <c r="G13" s="159">
        <f>BK13</f>
        <v>400</v>
      </c>
      <c r="H13" s="6">
        <f>F13*G13</f>
        <v>400000</v>
      </c>
      <c r="I13" s="6">
        <f>H13*0.2</f>
        <v>80000</v>
      </c>
      <c r="J13" s="6">
        <f>H13*0.8</f>
        <v>320000</v>
      </c>
      <c r="K13" s="6"/>
      <c r="L13" s="6"/>
      <c r="M13" s="6"/>
      <c r="N13" s="6"/>
      <c r="O13" s="6"/>
      <c r="P13" s="6"/>
      <c r="Q13" s="6"/>
      <c r="R13" s="6"/>
      <c r="S13" s="6">
        <f>G13*0.25</f>
        <v>100</v>
      </c>
      <c r="T13" s="30">
        <f>G13*0.25</f>
        <v>100</v>
      </c>
      <c r="U13" s="30">
        <f>G13*0.25</f>
        <v>100</v>
      </c>
      <c r="V13" s="30">
        <f>G13*0.25</f>
        <v>100</v>
      </c>
      <c r="W13" s="6">
        <f>S13*F13</f>
        <v>100000</v>
      </c>
      <c r="X13" s="6">
        <f>T13*F13</f>
        <v>100000</v>
      </c>
      <c r="Y13" s="6">
        <f>U13*F13</f>
        <v>100000</v>
      </c>
      <c r="Z13" s="6">
        <f>V13*F13</f>
        <v>100000</v>
      </c>
      <c r="AA13" s="6">
        <f>SUM(AA12)</f>
        <v>0</v>
      </c>
      <c r="AB13" s="6">
        <f>AA13*F13</f>
        <v>0</v>
      </c>
      <c r="AC13" s="6"/>
      <c r="AD13" s="6">
        <f>AC13*F13</f>
        <v>0</v>
      </c>
      <c r="AE13" s="6">
        <v>0</v>
      </c>
      <c r="AF13" s="6">
        <f>AE13*F13</f>
        <v>0</v>
      </c>
      <c r="AG13" s="6">
        <v>0</v>
      </c>
      <c r="AH13" s="6">
        <f>AG13*F13</f>
        <v>0</v>
      </c>
      <c r="AI13" s="6">
        <v>0</v>
      </c>
      <c r="AJ13" s="6">
        <f>AI13*F13</f>
        <v>0</v>
      </c>
      <c r="AK13" s="6">
        <v>0</v>
      </c>
      <c r="AL13" s="6">
        <f>AK13*F13</f>
        <v>0</v>
      </c>
      <c r="AM13" s="6"/>
      <c r="AN13" s="6">
        <f>AM13*F13</f>
        <v>0</v>
      </c>
      <c r="AO13" s="6"/>
      <c r="AP13" s="6">
        <f>AO13*F13</f>
        <v>0</v>
      </c>
      <c r="AQ13" s="6"/>
      <c r="AR13" s="6">
        <f>AQ13*F13</f>
        <v>0</v>
      </c>
      <c r="AS13" s="6"/>
      <c r="AT13" s="6">
        <f>AS13*F13</f>
        <v>0</v>
      </c>
      <c r="AU13" s="6"/>
      <c r="AV13" s="6">
        <f>AU13*F13</f>
        <v>0</v>
      </c>
      <c r="AW13" s="6">
        <v>0</v>
      </c>
      <c r="AX13" s="6">
        <f>AW13*F13</f>
        <v>0</v>
      </c>
      <c r="AY13" s="6">
        <v>0</v>
      </c>
      <c r="AZ13" s="6">
        <f>AY13*F13</f>
        <v>0</v>
      </c>
      <c r="BA13" s="6">
        <v>0</v>
      </c>
      <c r="BB13" s="6">
        <f>BA13*F13</f>
        <v>0</v>
      </c>
      <c r="BC13" s="6">
        <v>0</v>
      </c>
      <c r="BD13" s="6">
        <f>BC13*F13</f>
        <v>0</v>
      </c>
      <c r="BE13" s="6">
        <v>0</v>
      </c>
      <c r="BF13" s="6">
        <f>BE13*F13</f>
        <v>0</v>
      </c>
      <c r="BG13" s="6">
        <v>0</v>
      </c>
      <c r="BH13" s="6">
        <f>BG13*F13</f>
        <v>0</v>
      </c>
      <c r="BI13" s="30">
        <v>400</v>
      </c>
      <c r="BJ13" s="6">
        <f t="shared" si="2"/>
        <v>400000</v>
      </c>
      <c r="BK13" s="6">
        <f t="shared" si="3"/>
        <v>400</v>
      </c>
      <c r="BL13" s="6">
        <f t="shared" si="3"/>
        <v>400000</v>
      </c>
      <c r="BM13" s="154" t="s">
        <v>493</v>
      </c>
      <c r="BO13" s="65"/>
      <c r="BP13" s="65">
        <f>BL13</f>
        <v>400000</v>
      </c>
      <c r="BQ13" s="65"/>
      <c r="BR13" s="65"/>
      <c r="BS13" s="65">
        <f>BO13+BP13+BQ13+BR13</f>
        <v>400000</v>
      </c>
      <c r="BT13" s="65"/>
      <c r="BU13" s="65"/>
      <c r="BV13" s="65">
        <f>BT13+BU13</f>
        <v>0</v>
      </c>
      <c r="BW13" s="142">
        <f t="shared" si="1"/>
        <v>400000</v>
      </c>
    </row>
    <row r="14" spans="2:75" ht="31.5" x14ac:dyDescent="0.25">
      <c r="B14" s="721"/>
      <c r="C14" s="160" t="s">
        <v>697</v>
      </c>
      <c r="D14" s="129" t="s">
        <v>659</v>
      </c>
      <c r="E14" s="154" t="s">
        <v>16</v>
      </c>
      <c r="F14" s="130">
        <v>4000000</v>
      </c>
      <c r="G14" s="159">
        <f>BK14</f>
        <v>1</v>
      </c>
      <c r="H14" s="6">
        <f>G14*F14</f>
        <v>4000000</v>
      </c>
      <c r="I14" s="6">
        <f>H14*0.2</f>
        <v>800000</v>
      </c>
      <c r="J14" s="6">
        <f>H14*0.8</f>
        <v>3200000</v>
      </c>
      <c r="K14" s="6"/>
      <c r="L14" s="6"/>
      <c r="M14" s="6"/>
      <c r="N14" s="6"/>
      <c r="O14" s="6"/>
      <c r="P14" s="6"/>
      <c r="Q14" s="6"/>
      <c r="R14" s="6"/>
      <c r="S14" s="6">
        <f>G14*0.25</f>
        <v>0.25</v>
      </c>
      <c r="T14" s="30">
        <f>G14*0.25</f>
        <v>0.25</v>
      </c>
      <c r="U14" s="30">
        <f>G14*0.25</f>
        <v>0.25</v>
      </c>
      <c r="V14" s="30">
        <f>G14*0.25</f>
        <v>0.25</v>
      </c>
      <c r="W14" s="6">
        <f>S14*F14</f>
        <v>1000000</v>
      </c>
      <c r="X14" s="6">
        <f>T14*F14</f>
        <v>1000000</v>
      </c>
      <c r="Y14" s="6">
        <f>U14*F14</f>
        <v>1000000</v>
      </c>
      <c r="Z14" s="6">
        <f>V14*F14</f>
        <v>1000000</v>
      </c>
      <c r="AA14" s="6">
        <f>SUM(AA13)</f>
        <v>0</v>
      </c>
      <c r="AB14" s="6">
        <f>AA14*F14</f>
        <v>0</v>
      </c>
      <c r="AC14" s="6"/>
      <c r="AD14" s="6">
        <f>AC14*F14</f>
        <v>0</v>
      </c>
      <c r="AE14" s="6">
        <v>0</v>
      </c>
      <c r="AF14" s="6">
        <f>AE14*F14</f>
        <v>0</v>
      </c>
      <c r="AG14" s="6">
        <v>0</v>
      </c>
      <c r="AH14" s="6">
        <f>AG14*F14</f>
        <v>0</v>
      </c>
      <c r="AI14" s="6">
        <v>0</v>
      </c>
      <c r="AJ14" s="6">
        <f>AI14*F14</f>
        <v>0</v>
      </c>
      <c r="AK14" s="6">
        <v>0</v>
      </c>
      <c r="AL14" s="6">
        <f>AK14*F14</f>
        <v>0</v>
      </c>
      <c r="AM14" s="6"/>
      <c r="AN14" s="6">
        <f>AM14*F14</f>
        <v>0</v>
      </c>
      <c r="AO14" s="6"/>
      <c r="AP14" s="6">
        <f>AO14*F14</f>
        <v>0</v>
      </c>
      <c r="AQ14" s="6"/>
      <c r="AR14" s="6">
        <f>AQ14*F14</f>
        <v>0</v>
      </c>
      <c r="AS14" s="6"/>
      <c r="AT14" s="6">
        <f>AS14*F14</f>
        <v>0</v>
      </c>
      <c r="AU14" s="6"/>
      <c r="AV14" s="6">
        <f>AU14*F14</f>
        <v>0</v>
      </c>
      <c r="AW14" s="6">
        <v>0</v>
      </c>
      <c r="AX14" s="6">
        <f>AW14*F14</f>
        <v>0</v>
      </c>
      <c r="AY14" s="6">
        <v>0</v>
      </c>
      <c r="AZ14" s="6">
        <f>AY14*F14</f>
        <v>0</v>
      </c>
      <c r="BA14" s="6">
        <v>0</v>
      </c>
      <c r="BB14" s="6">
        <f>BA14*F14</f>
        <v>0</v>
      </c>
      <c r="BC14" s="6">
        <v>0</v>
      </c>
      <c r="BD14" s="6">
        <f>BC14*F14</f>
        <v>0</v>
      </c>
      <c r="BE14" s="6">
        <v>0</v>
      </c>
      <c r="BF14" s="6">
        <f>BE14*F14</f>
        <v>0</v>
      </c>
      <c r="BG14" s="6">
        <v>0</v>
      </c>
      <c r="BH14" s="6">
        <f>BG14*F14</f>
        <v>0</v>
      </c>
      <c r="BI14" s="30">
        <v>1</v>
      </c>
      <c r="BJ14" s="6">
        <f t="shared" si="2"/>
        <v>4000000</v>
      </c>
      <c r="BK14" s="6">
        <f t="shared" si="3"/>
        <v>1</v>
      </c>
      <c r="BL14" s="6">
        <f t="shared" si="3"/>
        <v>4000000</v>
      </c>
      <c r="BM14" s="154" t="s">
        <v>493</v>
      </c>
      <c r="BO14" s="65"/>
      <c r="BP14" s="65">
        <f>BL14</f>
        <v>4000000</v>
      </c>
      <c r="BQ14" s="65"/>
      <c r="BR14" s="65"/>
      <c r="BS14" s="65">
        <f>BO14+BP14+BQ14+BR14</f>
        <v>4000000</v>
      </c>
      <c r="BT14" s="65"/>
      <c r="BU14" s="65"/>
      <c r="BV14" s="65"/>
      <c r="BW14" s="142">
        <f t="shared" si="1"/>
        <v>4000000</v>
      </c>
    </row>
    <row r="15" spans="2:75" s="170" customFormat="1" x14ac:dyDescent="0.25">
      <c r="B15" s="721"/>
      <c r="C15" s="158"/>
      <c r="D15" s="140" t="s">
        <v>478</v>
      </c>
      <c r="E15" s="156" t="s">
        <v>111</v>
      </c>
      <c r="F15" s="149" t="s">
        <v>111</v>
      </c>
      <c r="G15" s="172">
        <f t="shared" ref="G15:Z15" si="4">SUM(G12:G14)</f>
        <v>402</v>
      </c>
      <c r="H15" s="172">
        <f t="shared" si="4"/>
        <v>7400000</v>
      </c>
      <c r="I15" s="172">
        <f t="shared" si="4"/>
        <v>1480000</v>
      </c>
      <c r="J15" s="172">
        <f t="shared" si="4"/>
        <v>5920000</v>
      </c>
      <c r="K15" s="172">
        <f t="shared" si="4"/>
        <v>0</v>
      </c>
      <c r="L15" s="172">
        <f t="shared" si="4"/>
        <v>0</v>
      </c>
      <c r="M15" s="172">
        <f t="shared" si="4"/>
        <v>0</v>
      </c>
      <c r="N15" s="172">
        <f t="shared" si="4"/>
        <v>0</v>
      </c>
      <c r="O15" s="172">
        <f t="shared" si="4"/>
        <v>0</v>
      </c>
      <c r="P15" s="172">
        <f t="shared" si="4"/>
        <v>0</v>
      </c>
      <c r="Q15" s="172">
        <f t="shared" si="4"/>
        <v>0</v>
      </c>
      <c r="R15" s="172">
        <f t="shared" si="4"/>
        <v>0</v>
      </c>
      <c r="S15" s="172">
        <f t="shared" si="4"/>
        <v>100.5</v>
      </c>
      <c r="T15" s="172">
        <f t="shared" si="4"/>
        <v>100.5</v>
      </c>
      <c r="U15" s="172">
        <f t="shared" si="4"/>
        <v>100.5</v>
      </c>
      <c r="V15" s="172">
        <f t="shared" si="4"/>
        <v>100.5</v>
      </c>
      <c r="W15" s="172">
        <f t="shared" si="4"/>
        <v>1850000</v>
      </c>
      <c r="X15" s="172">
        <f t="shared" si="4"/>
        <v>1850000</v>
      </c>
      <c r="Y15" s="172">
        <f t="shared" si="4"/>
        <v>1850000</v>
      </c>
      <c r="Z15" s="172">
        <f t="shared" si="4"/>
        <v>1850000</v>
      </c>
      <c r="AA15" s="172">
        <f>SUM(AA12:AA14)</f>
        <v>0</v>
      </c>
      <c r="AB15" s="172">
        <f t="shared" ref="AB15:BW15" si="5">SUM(AB12:AB14)</f>
        <v>0</v>
      </c>
      <c r="AC15" s="172">
        <f t="shared" si="5"/>
        <v>0</v>
      </c>
      <c r="AD15" s="172">
        <f t="shared" si="5"/>
        <v>0</v>
      </c>
      <c r="AE15" s="172">
        <f t="shared" si="5"/>
        <v>0</v>
      </c>
      <c r="AF15" s="172">
        <f t="shared" si="5"/>
        <v>0</v>
      </c>
      <c r="AG15" s="172">
        <f t="shared" si="5"/>
        <v>0</v>
      </c>
      <c r="AH15" s="172">
        <f t="shared" si="5"/>
        <v>0</v>
      </c>
      <c r="AI15" s="172">
        <f t="shared" si="5"/>
        <v>0</v>
      </c>
      <c r="AJ15" s="172">
        <f t="shared" si="5"/>
        <v>0</v>
      </c>
      <c r="AK15" s="172">
        <f t="shared" si="5"/>
        <v>0</v>
      </c>
      <c r="AL15" s="172">
        <f t="shared" si="5"/>
        <v>0</v>
      </c>
      <c r="AM15" s="172">
        <f t="shared" si="5"/>
        <v>0</v>
      </c>
      <c r="AN15" s="172">
        <f t="shared" si="5"/>
        <v>0</v>
      </c>
      <c r="AO15" s="172">
        <f t="shared" si="5"/>
        <v>0</v>
      </c>
      <c r="AP15" s="172">
        <f t="shared" si="5"/>
        <v>0</v>
      </c>
      <c r="AQ15" s="172">
        <f t="shared" si="5"/>
        <v>0</v>
      </c>
      <c r="AR15" s="172">
        <f t="shared" si="5"/>
        <v>0</v>
      </c>
      <c r="AS15" s="172">
        <f t="shared" si="5"/>
        <v>0</v>
      </c>
      <c r="AT15" s="172">
        <f t="shared" si="5"/>
        <v>0</v>
      </c>
      <c r="AU15" s="172">
        <f t="shared" si="5"/>
        <v>0</v>
      </c>
      <c r="AV15" s="172">
        <f t="shared" si="5"/>
        <v>0</v>
      </c>
      <c r="AW15" s="172">
        <f t="shared" si="5"/>
        <v>0</v>
      </c>
      <c r="AX15" s="172">
        <f t="shared" si="5"/>
        <v>0</v>
      </c>
      <c r="AY15" s="172">
        <f t="shared" si="5"/>
        <v>0</v>
      </c>
      <c r="AZ15" s="172">
        <f t="shared" si="5"/>
        <v>0</v>
      </c>
      <c r="BA15" s="172">
        <f t="shared" si="5"/>
        <v>0</v>
      </c>
      <c r="BB15" s="172">
        <f t="shared" si="5"/>
        <v>0</v>
      </c>
      <c r="BC15" s="172">
        <f t="shared" si="5"/>
        <v>0</v>
      </c>
      <c r="BD15" s="172">
        <f t="shared" si="5"/>
        <v>0</v>
      </c>
      <c r="BE15" s="172">
        <f t="shared" si="5"/>
        <v>0</v>
      </c>
      <c r="BF15" s="172">
        <f t="shared" si="5"/>
        <v>0</v>
      </c>
      <c r="BG15" s="172">
        <f t="shared" si="5"/>
        <v>0</v>
      </c>
      <c r="BH15" s="172">
        <f t="shared" si="5"/>
        <v>0</v>
      </c>
      <c r="BI15" s="172">
        <f t="shared" si="5"/>
        <v>402</v>
      </c>
      <c r="BJ15" s="172">
        <f t="shared" si="5"/>
        <v>7400000</v>
      </c>
      <c r="BK15" s="172">
        <f t="shared" si="5"/>
        <v>402</v>
      </c>
      <c r="BL15" s="172">
        <f t="shared" si="5"/>
        <v>7400000</v>
      </c>
      <c r="BM15" s="172">
        <f t="shared" si="5"/>
        <v>0</v>
      </c>
      <c r="BN15" s="172">
        <f t="shared" si="5"/>
        <v>0</v>
      </c>
      <c r="BO15" s="172">
        <f t="shared" si="5"/>
        <v>0</v>
      </c>
      <c r="BP15" s="172">
        <f t="shared" si="5"/>
        <v>7400000</v>
      </c>
      <c r="BQ15" s="172">
        <f t="shared" si="5"/>
        <v>0</v>
      </c>
      <c r="BR15" s="172">
        <f t="shared" si="5"/>
        <v>0</v>
      </c>
      <c r="BS15" s="172">
        <f t="shared" si="5"/>
        <v>7400000</v>
      </c>
      <c r="BT15" s="172">
        <f t="shared" si="5"/>
        <v>0</v>
      </c>
      <c r="BU15" s="172">
        <f t="shared" si="5"/>
        <v>0</v>
      </c>
      <c r="BV15" s="172">
        <f t="shared" si="5"/>
        <v>0</v>
      </c>
      <c r="BW15" s="172">
        <f t="shared" si="5"/>
        <v>7400000</v>
      </c>
    </row>
    <row r="16" spans="2:75" s="170" customFormat="1" ht="31.5" x14ac:dyDescent="0.25">
      <c r="B16" s="721"/>
      <c r="C16" s="153"/>
      <c r="D16" s="140" t="s">
        <v>606</v>
      </c>
      <c r="E16" s="154"/>
      <c r="F16" s="130"/>
      <c r="G16" s="154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44"/>
      <c r="T16" s="144"/>
      <c r="U16" s="144"/>
      <c r="V16" s="144"/>
      <c r="W16" s="172"/>
      <c r="X16" s="172"/>
      <c r="Y16" s="172"/>
      <c r="Z16" s="17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>
        <v>0</v>
      </c>
      <c r="BH16" s="6"/>
      <c r="BI16" s="30"/>
      <c r="BJ16" s="6"/>
      <c r="BK16" s="6"/>
      <c r="BL16" s="6"/>
      <c r="BM16" s="154"/>
      <c r="BO16" s="172"/>
      <c r="BP16" s="172"/>
      <c r="BQ16" s="172"/>
      <c r="BR16" s="172"/>
      <c r="BS16" s="172"/>
      <c r="BT16" s="172"/>
      <c r="BU16" s="172"/>
      <c r="BV16" s="172"/>
      <c r="BW16" s="172"/>
    </row>
    <row r="17" spans="2:75" ht="47.25" x14ac:dyDescent="0.25">
      <c r="B17" s="721"/>
      <c r="C17" s="160" t="s">
        <v>699</v>
      </c>
      <c r="D17" s="129" t="s">
        <v>649</v>
      </c>
      <c r="E17" s="154" t="s">
        <v>66</v>
      </c>
      <c r="F17" s="130">
        <v>800</v>
      </c>
      <c r="G17" s="159">
        <f>BK17</f>
        <v>3201</v>
      </c>
      <c r="H17" s="6">
        <f>F17*G17</f>
        <v>2560800</v>
      </c>
      <c r="I17" s="6">
        <f t="shared" ref="I17:I25" si="6">H17*0.2</f>
        <v>512160</v>
      </c>
      <c r="J17" s="6">
        <f t="shared" ref="J17:J25" si="7">H17*0.8</f>
        <v>2048640</v>
      </c>
      <c r="K17" s="6"/>
      <c r="L17" s="6"/>
      <c r="M17" s="6"/>
      <c r="N17" s="6"/>
      <c r="O17" s="6"/>
      <c r="P17" s="6"/>
      <c r="Q17" s="6"/>
      <c r="R17" s="6"/>
      <c r="S17" s="6">
        <v>0</v>
      </c>
      <c r="T17" s="6">
        <v>0</v>
      </c>
      <c r="U17" s="6">
        <v>0</v>
      </c>
      <c r="V17" s="6">
        <v>671</v>
      </c>
      <c r="W17" s="6">
        <f>S17*F17</f>
        <v>0</v>
      </c>
      <c r="X17" s="6">
        <f>T17*F17</f>
        <v>0</v>
      </c>
      <c r="Y17" s="148">
        <f>U17*F17</f>
        <v>0</v>
      </c>
      <c r="Z17" s="148">
        <f>H17</f>
        <v>2560800</v>
      </c>
      <c r="AA17" s="6">
        <f>(48*3)+3</f>
        <v>147</v>
      </c>
      <c r="AB17" s="6">
        <f t="shared" ref="AB17:AB25" si="8">AA17*F17</f>
        <v>117600</v>
      </c>
      <c r="AC17" s="6">
        <f>(23*3)+3</f>
        <v>72</v>
      </c>
      <c r="AD17" s="6">
        <f>AC17*F17</f>
        <v>57600</v>
      </c>
      <c r="AE17" s="6">
        <v>180</v>
      </c>
      <c r="AF17" s="6">
        <f>AE17*F17</f>
        <v>144000</v>
      </c>
      <c r="AG17" s="6">
        <v>272</v>
      </c>
      <c r="AH17" s="6">
        <f t="shared" ref="AH17:AH25" si="9">AG17*F17</f>
        <v>217600</v>
      </c>
      <c r="AI17" s="6">
        <v>120</v>
      </c>
      <c r="AJ17" s="6">
        <f>AI17*F17</f>
        <v>96000</v>
      </c>
      <c r="AK17" s="6">
        <v>220</v>
      </c>
      <c r="AL17" s="6">
        <f>AK17*F17</f>
        <v>176000</v>
      </c>
      <c r="AM17" s="6">
        <v>100</v>
      </c>
      <c r="AN17" s="6">
        <f t="shared" ref="AN17:AN25" si="10">AM17*F17</f>
        <v>80000</v>
      </c>
      <c r="AO17" s="6">
        <v>310</v>
      </c>
      <c r="AP17" s="6">
        <f>AO17*F17</f>
        <v>248000</v>
      </c>
      <c r="AQ17" s="6">
        <f>8*3*2</f>
        <v>48</v>
      </c>
      <c r="AR17" s="6">
        <f>AQ17*F17</f>
        <v>38400</v>
      </c>
      <c r="AS17" s="6">
        <v>100</v>
      </c>
      <c r="AT17" s="6">
        <f>AS17*F17</f>
        <v>80000</v>
      </c>
      <c r="AU17" s="6">
        <v>160</v>
      </c>
      <c r="AV17" s="6">
        <f>AU17*F17</f>
        <v>128000</v>
      </c>
      <c r="AW17" s="6">
        <v>160</v>
      </c>
      <c r="AX17" s="6">
        <f t="shared" ref="AX17:AX25" si="11">AW17*F17</f>
        <v>128000</v>
      </c>
      <c r="AY17" s="6">
        <v>225</v>
      </c>
      <c r="AZ17" s="6">
        <f>AY17*F17</f>
        <v>180000</v>
      </c>
      <c r="BA17" s="6">
        <v>235</v>
      </c>
      <c r="BB17" s="6">
        <f t="shared" ref="BB17:BB25" si="12">BA17*F17</f>
        <v>188000</v>
      </c>
      <c r="BC17" s="6">
        <v>230</v>
      </c>
      <c r="BD17" s="6">
        <f t="shared" ref="BD17:BD25" si="13">BC17*F17</f>
        <v>184000</v>
      </c>
      <c r="BE17" s="6">
        <v>450</v>
      </c>
      <c r="BF17" s="6">
        <f>BE17*F17</f>
        <v>360000</v>
      </c>
      <c r="BG17" s="6">
        <v>172</v>
      </c>
      <c r="BH17" s="6">
        <f t="shared" ref="BH17:BH25" si="14">BG17*F17</f>
        <v>137600</v>
      </c>
      <c r="BI17" s="30"/>
      <c r="BJ17" s="6">
        <f t="shared" si="2"/>
        <v>0</v>
      </c>
      <c r="BK17" s="6">
        <f t="shared" ref="BK17:BL21" si="15">AA17+AC17+AE17+AG17+AI17+AK17+AM17+AO17+AQ17+AS17+AU17+AW17+AY17+BA17+BC17+BE17+BG17+BI17</f>
        <v>3201</v>
      </c>
      <c r="BL17" s="6">
        <f t="shared" si="15"/>
        <v>2560800</v>
      </c>
      <c r="BM17" s="154" t="s">
        <v>210</v>
      </c>
      <c r="BO17" s="65"/>
      <c r="BP17" s="65">
        <f>BL17</f>
        <v>2560800</v>
      </c>
      <c r="BQ17" s="65"/>
      <c r="BR17" s="65"/>
      <c r="BS17" s="65">
        <f>BO17+BP17+BQ17+BR17</f>
        <v>2560800</v>
      </c>
      <c r="BT17" s="65"/>
      <c r="BU17" s="65"/>
      <c r="BV17" s="65"/>
      <c r="BW17" s="142">
        <f t="shared" si="1"/>
        <v>2560800</v>
      </c>
    </row>
    <row r="18" spans="2:75" ht="31.5" x14ac:dyDescent="0.25">
      <c r="B18" s="721"/>
      <c r="C18" s="160" t="s">
        <v>700</v>
      </c>
      <c r="D18" s="129" t="s">
        <v>906</v>
      </c>
      <c r="E18" s="154" t="s">
        <v>16</v>
      </c>
      <c r="F18" s="130">
        <v>95000</v>
      </c>
      <c r="G18" s="159">
        <f t="shared" ref="G18:H21" si="16">BK18</f>
        <v>0</v>
      </c>
      <c r="H18" s="6">
        <f t="shared" si="16"/>
        <v>0</v>
      </c>
      <c r="I18" s="6">
        <f t="shared" si="6"/>
        <v>0</v>
      </c>
      <c r="J18" s="6">
        <f t="shared" si="7"/>
        <v>0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148"/>
      <c r="Z18" s="148"/>
      <c r="AA18" s="6">
        <v>0</v>
      </c>
      <c r="AB18" s="6">
        <f t="shared" si="8"/>
        <v>0</v>
      </c>
      <c r="AC18" s="6">
        <v>0</v>
      </c>
      <c r="AD18" s="6">
        <f>AC18*F18</f>
        <v>0</v>
      </c>
      <c r="AE18" s="6">
        <v>0</v>
      </c>
      <c r="AF18" s="6">
        <f>AE18*F18</f>
        <v>0</v>
      </c>
      <c r="AG18" s="6">
        <v>0</v>
      </c>
      <c r="AH18" s="6">
        <f t="shared" si="9"/>
        <v>0</v>
      </c>
      <c r="AI18" s="6">
        <v>0</v>
      </c>
      <c r="AJ18" s="6">
        <f>AI18*F18</f>
        <v>0</v>
      </c>
      <c r="AK18" s="6">
        <v>0</v>
      </c>
      <c r="AL18" s="6">
        <f>AK18*F18</f>
        <v>0</v>
      </c>
      <c r="AM18" s="6">
        <v>0</v>
      </c>
      <c r="AN18" s="6">
        <f t="shared" si="10"/>
        <v>0</v>
      </c>
      <c r="AO18" s="6">
        <v>0</v>
      </c>
      <c r="AP18" s="6">
        <f>AO18*F18</f>
        <v>0</v>
      </c>
      <c r="AQ18" s="6">
        <v>0</v>
      </c>
      <c r="AR18" s="6">
        <f>AQ18*F18</f>
        <v>0</v>
      </c>
      <c r="AS18" s="6">
        <v>0</v>
      </c>
      <c r="AT18" s="6">
        <f>AS18*F18</f>
        <v>0</v>
      </c>
      <c r="AU18" s="6">
        <v>0</v>
      </c>
      <c r="AV18" s="6">
        <f>AU18*F18</f>
        <v>0</v>
      </c>
      <c r="AW18" s="6">
        <v>0</v>
      </c>
      <c r="AX18" s="6">
        <f t="shared" si="11"/>
        <v>0</v>
      </c>
      <c r="AY18" s="6">
        <v>0</v>
      </c>
      <c r="AZ18" s="6">
        <f>AY18*F18</f>
        <v>0</v>
      </c>
      <c r="BA18" s="6">
        <v>0</v>
      </c>
      <c r="BB18" s="6">
        <f t="shared" si="12"/>
        <v>0</v>
      </c>
      <c r="BC18" s="6">
        <v>0</v>
      </c>
      <c r="BD18" s="6">
        <f t="shared" si="13"/>
        <v>0</v>
      </c>
      <c r="BE18" s="6">
        <v>0</v>
      </c>
      <c r="BF18" s="6">
        <f>BE18*F18</f>
        <v>0</v>
      </c>
      <c r="BG18" s="6">
        <v>0</v>
      </c>
      <c r="BH18" s="6">
        <f t="shared" si="14"/>
        <v>0</v>
      </c>
      <c r="BI18" s="30">
        <v>0</v>
      </c>
      <c r="BJ18" s="6">
        <f>BI18*F18</f>
        <v>0</v>
      </c>
      <c r="BK18" s="6">
        <f t="shared" si="15"/>
        <v>0</v>
      </c>
      <c r="BL18" s="6">
        <f t="shared" si="15"/>
        <v>0</v>
      </c>
      <c r="BM18" s="154" t="s">
        <v>210</v>
      </c>
      <c r="BO18" s="65"/>
      <c r="BP18" s="65">
        <f t="shared" ref="BP18:BP20" si="17">BL18</f>
        <v>0</v>
      </c>
      <c r="BQ18" s="65"/>
      <c r="BR18" s="65"/>
      <c r="BS18" s="65">
        <f t="shared" ref="BS18:BS20" si="18">BO18+BP18+BQ18+BR18</f>
        <v>0</v>
      </c>
      <c r="BT18" s="65"/>
      <c r="BU18" s="65"/>
      <c r="BV18" s="65"/>
      <c r="BW18" s="142">
        <f t="shared" si="1"/>
        <v>0</v>
      </c>
    </row>
    <row r="19" spans="2:75" ht="31.5" x14ac:dyDescent="0.25">
      <c r="B19" s="721"/>
      <c r="C19" s="160" t="s">
        <v>701</v>
      </c>
      <c r="D19" s="129" t="s">
        <v>957</v>
      </c>
      <c r="E19" s="154" t="s">
        <v>494</v>
      </c>
      <c r="F19" s="130">
        <v>300</v>
      </c>
      <c r="G19" s="159">
        <f t="shared" si="16"/>
        <v>4800</v>
      </c>
      <c r="H19" s="6">
        <f t="shared" si="16"/>
        <v>1440000</v>
      </c>
      <c r="I19" s="6">
        <f t="shared" si="6"/>
        <v>288000</v>
      </c>
      <c r="J19" s="6">
        <f t="shared" si="7"/>
        <v>1152000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148"/>
      <c r="Z19" s="148"/>
      <c r="AA19" s="6">
        <f>(9*2+18)*15</f>
        <v>540</v>
      </c>
      <c r="AB19" s="6">
        <f t="shared" si="8"/>
        <v>162000</v>
      </c>
      <c r="AC19" s="6">
        <f>(3*2+6)*15</f>
        <v>180</v>
      </c>
      <c r="AD19" s="6">
        <f>AC19*F19</f>
        <v>54000</v>
      </c>
      <c r="AE19" s="6">
        <f>(7*2+14)*15</f>
        <v>420</v>
      </c>
      <c r="AF19" s="6">
        <f>AE19*F19</f>
        <v>126000</v>
      </c>
      <c r="AG19" s="6">
        <f>(12*2+12)*15</f>
        <v>540</v>
      </c>
      <c r="AH19" s="6">
        <f t="shared" si="9"/>
        <v>162000</v>
      </c>
      <c r="AI19" s="6">
        <f>(2*2+12)*15</f>
        <v>240</v>
      </c>
      <c r="AJ19" s="6">
        <f>AI19*F19</f>
        <v>72000</v>
      </c>
      <c r="AK19" s="6">
        <f>(1*2+8)*15</f>
        <v>150</v>
      </c>
      <c r="AL19" s="6">
        <f>AK19*F19</f>
        <v>45000</v>
      </c>
      <c r="AM19" s="6">
        <f>(8*2+16)*15</f>
        <v>480</v>
      </c>
      <c r="AN19" s="6">
        <f t="shared" si="10"/>
        <v>144000</v>
      </c>
      <c r="AO19" s="6">
        <f>(2*2+12)*15</f>
        <v>240</v>
      </c>
      <c r="AP19" s="6">
        <f>AO19*F19</f>
        <v>72000</v>
      </c>
      <c r="AQ19" s="6">
        <f>(2*2+12)*15</f>
        <v>240</v>
      </c>
      <c r="AR19" s="6">
        <f>AQ19*F19</f>
        <v>72000</v>
      </c>
      <c r="AS19" s="6">
        <f>(3*2+12)*15</f>
        <v>270</v>
      </c>
      <c r="AT19" s="6">
        <f>AS19*F19</f>
        <v>81000</v>
      </c>
      <c r="AU19" s="6">
        <f>(2*2+12)*15</f>
        <v>240</v>
      </c>
      <c r="AV19" s="6">
        <f>AU19*F19</f>
        <v>72000</v>
      </c>
      <c r="AW19" s="6">
        <f>(1*2+8)*15</f>
        <v>150</v>
      </c>
      <c r="AX19" s="6">
        <f t="shared" si="11"/>
        <v>45000</v>
      </c>
      <c r="AY19" s="6">
        <f>(2*2+12)*15</f>
        <v>240</v>
      </c>
      <c r="AZ19" s="6">
        <f>AY19*F19</f>
        <v>72000</v>
      </c>
      <c r="BA19" s="6">
        <f>(2*2+12)*15</f>
        <v>240</v>
      </c>
      <c r="BB19" s="6">
        <f t="shared" si="12"/>
        <v>72000</v>
      </c>
      <c r="BC19" s="6">
        <f>(1*2+8)*15</f>
        <v>150</v>
      </c>
      <c r="BD19" s="6">
        <f t="shared" si="13"/>
        <v>45000</v>
      </c>
      <c r="BE19" s="6">
        <f>(2*2+12)*15</f>
        <v>240</v>
      </c>
      <c r="BF19" s="6">
        <f>BE19*F19</f>
        <v>72000</v>
      </c>
      <c r="BG19" s="6">
        <f>(2*2+12)*15</f>
        <v>240</v>
      </c>
      <c r="BH19" s="6">
        <f t="shared" si="14"/>
        <v>72000</v>
      </c>
      <c r="BI19" s="30">
        <v>0</v>
      </c>
      <c r="BJ19" s="6">
        <f>BI19*F19</f>
        <v>0</v>
      </c>
      <c r="BK19" s="6">
        <f t="shared" si="15"/>
        <v>4800</v>
      </c>
      <c r="BL19" s="6">
        <f t="shared" si="15"/>
        <v>1440000</v>
      </c>
      <c r="BM19" s="154" t="s">
        <v>210</v>
      </c>
      <c r="BO19" s="65"/>
      <c r="BP19" s="65">
        <f t="shared" si="17"/>
        <v>1440000</v>
      </c>
      <c r="BQ19" s="65"/>
      <c r="BR19" s="65"/>
      <c r="BS19" s="65">
        <f t="shared" si="18"/>
        <v>1440000</v>
      </c>
      <c r="BT19" s="65"/>
      <c r="BU19" s="65"/>
      <c r="BV19" s="65"/>
      <c r="BW19" s="142">
        <f t="shared" si="1"/>
        <v>1440000</v>
      </c>
    </row>
    <row r="20" spans="2:75" ht="31.5" x14ac:dyDescent="0.25">
      <c r="B20" s="721"/>
      <c r="C20" s="160" t="s">
        <v>702</v>
      </c>
      <c r="D20" s="129" t="s">
        <v>958</v>
      </c>
      <c r="E20" s="154" t="s">
        <v>494</v>
      </c>
      <c r="F20" s="130">
        <v>1200</v>
      </c>
      <c r="G20" s="159">
        <f t="shared" si="16"/>
        <v>1105</v>
      </c>
      <c r="H20" s="6">
        <f t="shared" si="16"/>
        <v>1326000</v>
      </c>
      <c r="I20" s="6">
        <f t="shared" si="6"/>
        <v>265200</v>
      </c>
      <c r="J20" s="6">
        <f t="shared" si="7"/>
        <v>1060800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148"/>
      <c r="Z20" s="148"/>
      <c r="AA20" s="6">
        <f>8*13</f>
        <v>104</v>
      </c>
      <c r="AB20" s="6">
        <f t="shared" si="8"/>
        <v>124800</v>
      </c>
      <c r="AC20" s="6">
        <v>0</v>
      </c>
      <c r="AD20" s="6">
        <v>0</v>
      </c>
      <c r="AE20" s="6">
        <v>0</v>
      </c>
      <c r="AF20" s="6">
        <v>0</v>
      </c>
      <c r="AG20" s="6">
        <f>7*13</f>
        <v>91</v>
      </c>
      <c r="AH20" s="6">
        <f t="shared" si="9"/>
        <v>109200</v>
      </c>
      <c r="AI20" s="6">
        <v>0</v>
      </c>
      <c r="AJ20" s="6"/>
      <c r="AK20" s="6">
        <v>0</v>
      </c>
      <c r="AL20" s="6">
        <v>0</v>
      </c>
      <c r="AM20" s="6">
        <f>12*13</f>
        <v>156</v>
      </c>
      <c r="AN20" s="6">
        <f t="shared" si="10"/>
        <v>187200</v>
      </c>
      <c r="AO20" s="6">
        <v>0</v>
      </c>
      <c r="AP20" s="6">
        <v>0</v>
      </c>
      <c r="AQ20" s="6"/>
      <c r="AR20" s="6"/>
      <c r="AS20" s="6">
        <v>0</v>
      </c>
      <c r="AT20" s="6"/>
      <c r="AU20" s="6">
        <v>0</v>
      </c>
      <c r="AV20" s="6">
        <v>0</v>
      </c>
      <c r="AW20" s="6">
        <f>20*13</f>
        <v>260</v>
      </c>
      <c r="AX20" s="6">
        <f t="shared" si="11"/>
        <v>312000</v>
      </c>
      <c r="AY20" s="6">
        <v>0</v>
      </c>
      <c r="AZ20" s="6">
        <v>0</v>
      </c>
      <c r="BA20" s="6">
        <f>12*13</f>
        <v>156</v>
      </c>
      <c r="BB20" s="6">
        <f t="shared" si="12"/>
        <v>187200</v>
      </c>
      <c r="BC20" s="6">
        <v>0</v>
      </c>
      <c r="BD20" s="6">
        <f t="shared" si="13"/>
        <v>0</v>
      </c>
      <c r="BE20" s="6"/>
      <c r="BF20" s="6"/>
      <c r="BG20" s="6">
        <f>26*13</f>
        <v>338</v>
      </c>
      <c r="BH20" s="6">
        <f t="shared" si="14"/>
        <v>405600</v>
      </c>
      <c r="BI20" s="30">
        <v>0</v>
      </c>
      <c r="BJ20" s="6">
        <f>BI20*F20</f>
        <v>0</v>
      </c>
      <c r="BK20" s="6">
        <f t="shared" si="15"/>
        <v>1105</v>
      </c>
      <c r="BL20" s="6">
        <f t="shared" si="15"/>
        <v>1326000</v>
      </c>
      <c r="BM20" s="154"/>
      <c r="BO20" s="65"/>
      <c r="BP20" s="65">
        <f t="shared" si="17"/>
        <v>1326000</v>
      </c>
      <c r="BQ20" s="65"/>
      <c r="BR20" s="65"/>
      <c r="BS20" s="65">
        <f t="shared" si="18"/>
        <v>1326000</v>
      </c>
      <c r="BT20" s="65"/>
      <c r="BU20" s="65"/>
      <c r="BV20" s="65"/>
      <c r="BW20" s="142">
        <f t="shared" si="1"/>
        <v>1326000</v>
      </c>
    </row>
    <row r="21" spans="2:75" ht="31.5" x14ac:dyDescent="0.25">
      <c r="B21" s="721"/>
      <c r="C21" s="160" t="s">
        <v>703</v>
      </c>
      <c r="D21" s="129" t="s">
        <v>974</v>
      </c>
      <c r="E21" s="154" t="s">
        <v>16</v>
      </c>
      <c r="F21" s="130">
        <v>300</v>
      </c>
      <c r="G21" s="159">
        <f t="shared" si="16"/>
        <v>2400</v>
      </c>
      <c r="H21" s="6">
        <f t="shared" si="16"/>
        <v>720000</v>
      </c>
      <c r="I21" s="6">
        <f t="shared" si="6"/>
        <v>144000</v>
      </c>
      <c r="J21" s="6">
        <f t="shared" si="7"/>
        <v>576000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>
        <f>G21*1</f>
        <v>2400</v>
      </c>
      <c r="W21" s="6"/>
      <c r="X21" s="6"/>
      <c r="Y21" s="148"/>
      <c r="Z21" s="148">
        <f>H21</f>
        <v>720000</v>
      </c>
      <c r="AA21" s="6">
        <f>30*2*4</f>
        <v>240</v>
      </c>
      <c r="AB21" s="6">
        <f t="shared" si="8"/>
        <v>72000</v>
      </c>
      <c r="AC21" s="6">
        <f>18*2*4</f>
        <v>144</v>
      </c>
      <c r="AD21" s="6">
        <f>AC21*F21</f>
        <v>43200</v>
      </c>
      <c r="AE21" s="6">
        <f>28*2*4</f>
        <v>224</v>
      </c>
      <c r="AF21" s="6">
        <f>AE21*F21</f>
        <v>67200</v>
      </c>
      <c r="AG21" s="6">
        <f>35*2*4</f>
        <v>280</v>
      </c>
      <c r="AH21" s="6">
        <f t="shared" si="9"/>
        <v>84000</v>
      </c>
      <c r="AI21" s="6">
        <f>26*2*4</f>
        <v>208</v>
      </c>
      <c r="AJ21" s="6">
        <f>AI21*F21</f>
        <v>62400</v>
      </c>
      <c r="AK21" s="6">
        <f>24*2*4</f>
        <v>192</v>
      </c>
      <c r="AL21" s="6">
        <f>AK21*F21</f>
        <v>57600</v>
      </c>
      <c r="AM21" s="6">
        <f>23*2*4</f>
        <v>184</v>
      </c>
      <c r="AN21" s="6">
        <f t="shared" si="10"/>
        <v>55200</v>
      </c>
      <c r="AO21" s="6">
        <f>2*2*4</f>
        <v>16</v>
      </c>
      <c r="AP21" s="6">
        <f>AO21*F21</f>
        <v>4800</v>
      </c>
      <c r="AQ21" s="6">
        <f>16*2*4</f>
        <v>128</v>
      </c>
      <c r="AR21" s="6">
        <f>AQ21*F21</f>
        <v>38400</v>
      </c>
      <c r="AS21" s="6">
        <f>14*2*4</f>
        <v>112</v>
      </c>
      <c r="AT21" s="6">
        <f>AS21*F21</f>
        <v>33600</v>
      </c>
      <c r="AU21" s="6">
        <f>23*2*4</f>
        <v>184</v>
      </c>
      <c r="AV21" s="6">
        <f>AU21*F21</f>
        <v>55200</v>
      </c>
      <c r="AW21" s="6">
        <f>2*2*4</f>
        <v>16</v>
      </c>
      <c r="AX21" s="6">
        <f t="shared" si="11"/>
        <v>4800</v>
      </c>
      <c r="AY21" s="6">
        <f>3*2*4</f>
        <v>24</v>
      </c>
      <c r="AZ21" s="6">
        <f>AY21*F21</f>
        <v>7200</v>
      </c>
      <c r="BA21" s="6">
        <f>(16*2*4)</f>
        <v>128</v>
      </c>
      <c r="BB21" s="6">
        <f t="shared" si="12"/>
        <v>38400</v>
      </c>
      <c r="BC21" s="6">
        <f>33*2*4</f>
        <v>264</v>
      </c>
      <c r="BD21" s="6">
        <f t="shared" si="13"/>
        <v>79200</v>
      </c>
      <c r="BE21" s="6">
        <f>(2*2*4)</f>
        <v>16</v>
      </c>
      <c r="BF21" s="6">
        <f>BE21*F21</f>
        <v>4800</v>
      </c>
      <c r="BG21" s="6">
        <f>5*2*4</f>
        <v>40</v>
      </c>
      <c r="BH21" s="6">
        <f t="shared" si="14"/>
        <v>12000</v>
      </c>
      <c r="BI21" s="30">
        <v>0</v>
      </c>
      <c r="BJ21" s="6">
        <f>BI21*F21</f>
        <v>0</v>
      </c>
      <c r="BK21" s="6">
        <f t="shared" si="15"/>
        <v>2400</v>
      </c>
      <c r="BL21" s="6">
        <f t="shared" si="15"/>
        <v>720000</v>
      </c>
      <c r="BM21" s="154" t="s">
        <v>210</v>
      </c>
      <c r="BO21" s="65"/>
      <c r="BP21" s="65">
        <f>BL21</f>
        <v>720000</v>
      </c>
      <c r="BQ21" s="65"/>
      <c r="BR21" s="65"/>
      <c r="BS21" s="65">
        <f>BO21+BP21+BQ21+BR21</f>
        <v>720000</v>
      </c>
      <c r="BT21" s="65"/>
      <c r="BU21" s="65"/>
      <c r="BV21" s="65"/>
      <c r="BW21" s="142">
        <f t="shared" si="1"/>
        <v>720000</v>
      </c>
    </row>
    <row r="22" spans="2:75" x14ac:dyDescent="0.25">
      <c r="B22" s="721"/>
      <c r="C22" s="160"/>
      <c r="D22" s="140" t="s">
        <v>479</v>
      </c>
      <c r="E22" s="154"/>
      <c r="F22" s="130"/>
      <c r="G22" s="159"/>
      <c r="H22" s="6"/>
      <c r="I22" s="6">
        <f t="shared" si="6"/>
        <v>0</v>
      </c>
      <c r="J22" s="6">
        <f t="shared" si="7"/>
        <v>0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30"/>
      <c r="V22" s="30"/>
      <c r="W22" s="6"/>
      <c r="X22" s="6"/>
      <c r="Y22" s="6"/>
      <c r="Z22" s="6"/>
      <c r="AA22" s="6"/>
      <c r="AB22" s="6">
        <f t="shared" si="8"/>
        <v>0</v>
      </c>
      <c r="AC22" s="6"/>
      <c r="AD22" s="6">
        <f>AC22*F22</f>
        <v>0</v>
      </c>
      <c r="AE22" s="6"/>
      <c r="AF22" s="6">
        <f>AE22*F22</f>
        <v>0</v>
      </c>
      <c r="AG22" s="6"/>
      <c r="AH22" s="6">
        <f t="shared" si="9"/>
        <v>0</v>
      </c>
      <c r="AI22" s="6"/>
      <c r="AJ22" s="6">
        <f>AI22*F22</f>
        <v>0</v>
      </c>
      <c r="AK22" s="6"/>
      <c r="AL22" s="6">
        <f>AK22*F22</f>
        <v>0</v>
      </c>
      <c r="AM22" s="6"/>
      <c r="AN22" s="6">
        <f t="shared" si="10"/>
        <v>0</v>
      </c>
      <c r="AO22" s="6"/>
      <c r="AP22" s="6">
        <f>AO22*F22</f>
        <v>0</v>
      </c>
      <c r="AQ22" s="6"/>
      <c r="AR22" s="6">
        <f>AQ22*F22</f>
        <v>0</v>
      </c>
      <c r="AS22" s="6"/>
      <c r="AT22" s="6">
        <f>AS22*F22</f>
        <v>0</v>
      </c>
      <c r="AU22" s="6"/>
      <c r="AV22" s="6">
        <f>AU22*F22</f>
        <v>0</v>
      </c>
      <c r="AW22" s="6"/>
      <c r="AX22" s="6">
        <f t="shared" si="11"/>
        <v>0</v>
      </c>
      <c r="AY22" s="6"/>
      <c r="AZ22" s="6">
        <f>AY22*F22</f>
        <v>0</v>
      </c>
      <c r="BA22" s="6"/>
      <c r="BB22" s="6">
        <f t="shared" si="12"/>
        <v>0</v>
      </c>
      <c r="BC22" s="6"/>
      <c r="BD22" s="6">
        <f t="shared" si="13"/>
        <v>0</v>
      </c>
      <c r="BE22" s="6"/>
      <c r="BF22" s="6">
        <f>BE22*F22</f>
        <v>0</v>
      </c>
      <c r="BG22" s="6"/>
      <c r="BH22" s="6">
        <f t="shared" si="14"/>
        <v>0</v>
      </c>
      <c r="BI22" s="30"/>
      <c r="BJ22" s="6">
        <f t="shared" si="2"/>
        <v>0</v>
      </c>
      <c r="BK22" s="6">
        <f>AA22+AC22+AE22+AG22+AI22+AK22+AM22+AO22+AQ22+AS22+AU22+AW22+AY22+BA22+BC22+BE22+BG22+BI22</f>
        <v>0</v>
      </c>
      <c r="BL22" s="6"/>
      <c r="BM22" s="154"/>
      <c r="BO22" s="65"/>
      <c r="BP22" s="65"/>
      <c r="BQ22" s="65"/>
      <c r="BR22" s="65"/>
      <c r="BS22" s="65"/>
      <c r="BT22" s="65"/>
      <c r="BU22" s="65"/>
      <c r="BV22" s="65"/>
      <c r="BW22" s="142"/>
    </row>
    <row r="23" spans="2:75" ht="31.5" x14ac:dyDescent="0.25">
      <c r="B23" s="721"/>
      <c r="C23" s="161" t="s">
        <v>698</v>
      </c>
      <c r="D23" s="129" t="s">
        <v>867</v>
      </c>
      <c r="E23" s="154" t="s">
        <v>515</v>
      </c>
      <c r="F23" s="130">
        <v>150</v>
      </c>
      <c r="G23" s="159">
        <f>BK23</f>
        <v>4448</v>
      </c>
      <c r="H23" s="6">
        <f>G23*F23</f>
        <v>667200</v>
      </c>
      <c r="I23" s="6">
        <f t="shared" si="6"/>
        <v>133440</v>
      </c>
      <c r="J23" s="6">
        <f t="shared" si="7"/>
        <v>533760</v>
      </c>
      <c r="K23" s="6"/>
      <c r="L23" s="6"/>
      <c r="M23" s="6"/>
      <c r="N23" s="6"/>
      <c r="O23" s="6"/>
      <c r="P23" s="6"/>
      <c r="Q23" s="6"/>
      <c r="R23" s="6"/>
      <c r="S23" s="30">
        <f>G23*0.25</f>
        <v>1112</v>
      </c>
      <c r="T23" s="30">
        <f>G23*0.25</f>
        <v>1112</v>
      </c>
      <c r="U23" s="30">
        <f>G23*0.25</f>
        <v>1112</v>
      </c>
      <c r="V23" s="30">
        <f>G23*0.25</f>
        <v>1112</v>
      </c>
      <c r="W23" s="6">
        <f>S23*F23</f>
        <v>166800</v>
      </c>
      <c r="X23" s="6">
        <f>T23*F23</f>
        <v>166800</v>
      </c>
      <c r="Y23" s="6">
        <f>U23*F23</f>
        <v>166800</v>
      </c>
      <c r="Z23" s="6">
        <f>V23*F23</f>
        <v>166800</v>
      </c>
      <c r="AA23" s="6">
        <v>960</v>
      </c>
      <c r="AB23" s="6">
        <f t="shared" si="8"/>
        <v>144000</v>
      </c>
      <c r="AC23" s="6">
        <f>23*4</f>
        <v>92</v>
      </c>
      <c r="AD23" s="6">
        <f>AC23*F23</f>
        <v>13800</v>
      </c>
      <c r="AE23" s="6">
        <f>58*4</f>
        <v>232</v>
      </c>
      <c r="AF23" s="6">
        <f>AE23*F23</f>
        <v>34800</v>
      </c>
      <c r="AG23" s="6">
        <f>89*4</f>
        <v>356</v>
      </c>
      <c r="AH23" s="6">
        <f t="shared" si="9"/>
        <v>53400</v>
      </c>
      <c r="AI23" s="6">
        <v>300</v>
      </c>
      <c r="AJ23" s="6">
        <f>AI23*F23</f>
        <v>45000</v>
      </c>
      <c r="AK23" s="6">
        <v>0</v>
      </c>
      <c r="AL23" s="6">
        <f>AK23*F23</f>
        <v>0</v>
      </c>
      <c r="AM23" s="6">
        <f>34*4</f>
        <v>136</v>
      </c>
      <c r="AN23" s="6">
        <f t="shared" si="10"/>
        <v>20400</v>
      </c>
      <c r="AO23" s="6">
        <f>100*4</f>
        <v>400</v>
      </c>
      <c r="AP23" s="6">
        <f>AO23*F23</f>
        <v>60000</v>
      </c>
      <c r="AQ23" s="6">
        <f>8*4</f>
        <v>32</v>
      </c>
      <c r="AR23" s="6">
        <f>AQ23*F23</f>
        <v>4800</v>
      </c>
      <c r="AS23" s="6">
        <f>32*4</f>
        <v>128</v>
      </c>
      <c r="AT23" s="6">
        <f>AS23*F23</f>
        <v>19200</v>
      </c>
      <c r="AU23" s="6">
        <v>200</v>
      </c>
      <c r="AV23" s="6">
        <f>AU23*F23</f>
        <v>30000</v>
      </c>
      <c r="AW23" s="6">
        <f>50*4</f>
        <v>200</v>
      </c>
      <c r="AX23" s="6">
        <f t="shared" si="11"/>
        <v>30000</v>
      </c>
      <c r="AY23" s="6">
        <v>60</v>
      </c>
      <c r="AZ23" s="6">
        <f>AY23*F23</f>
        <v>9000</v>
      </c>
      <c r="BA23" s="6">
        <f>75*4</f>
        <v>300</v>
      </c>
      <c r="BB23" s="6">
        <f t="shared" si="12"/>
        <v>45000</v>
      </c>
      <c r="BC23" s="6">
        <f>73*4</f>
        <v>292</v>
      </c>
      <c r="BD23" s="6">
        <f t="shared" si="13"/>
        <v>43800</v>
      </c>
      <c r="BE23" s="6">
        <v>544</v>
      </c>
      <c r="BF23" s="6">
        <f>BE23*F23</f>
        <v>81600</v>
      </c>
      <c r="BG23" s="6">
        <f>54*4</f>
        <v>216</v>
      </c>
      <c r="BH23" s="6">
        <f t="shared" si="14"/>
        <v>32400</v>
      </c>
      <c r="BI23" s="30"/>
      <c r="BJ23" s="6">
        <f t="shared" si="2"/>
        <v>0</v>
      </c>
      <c r="BK23" s="6">
        <f>AA23+AC23+AE23+AG23+AI23+AK23+AM23+AO23+AQ23+AS23+AU23+AW23+AY23+BA23+BC23+BE23+BG23+BI23</f>
        <v>4448</v>
      </c>
      <c r="BL23" s="6">
        <f>AB23+AD23+AF23+AH23+AJ23+AL23+AN23+AP23+AR23+AT23+AV23+AX23+AZ23+BB23+BD23+BF23+BH23+BJ23</f>
        <v>667200</v>
      </c>
      <c r="BM23" s="154" t="s">
        <v>210</v>
      </c>
      <c r="BO23" s="6">
        <f t="shared" ref="BO23:BV23" si="19">SUM(BO22:BO22)</f>
        <v>0</v>
      </c>
      <c r="BP23" s="65">
        <f>BL23</f>
        <v>667200</v>
      </c>
      <c r="BQ23" s="6">
        <f t="shared" si="19"/>
        <v>0</v>
      </c>
      <c r="BR23" s="6">
        <f t="shared" si="19"/>
        <v>0</v>
      </c>
      <c r="BS23" s="65">
        <f>BO23+BP23+BQ23+BR23</f>
        <v>667200</v>
      </c>
      <c r="BT23" s="6">
        <f t="shared" si="19"/>
        <v>0</v>
      </c>
      <c r="BU23" s="6">
        <f t="shared" si="19"/>
        <v>0</v>
      </c>
      <c r="BV23" s="6">
        <f t="shared" si="19"/>
        <v>0</v>
      </c>
      <c r="BW23" s="6">
        <f t="shared" si="1"/>
        <v>667200</v>
      </c>
    </row>
    <row r="24" spans="2:75" s="547" customFormat="1" ht="31.5" x14ac:dyDescent="0.25">
      <c r="B24" s="721"/>
      <c r="C24" s="161" t="s">
        <v>704</v>
      </c>
      <c r="D24" s="129" t="s">
        <v>989</v>
      </c>
      <c r="E24" s="154" t="s">
        <v>1004</v>
      </c>
      <c r="F24" s="130">
        <v>1500</v>
      </c>
      <c r="G24" s="159">
        <f>BK24</f>
        <v>1000</v>
      </c>
      <c r="H24" s="6">
        <f>G24*F24</f>
        <v>1500000</v>
      </c>
      <c r="I24" s="6">
        <f t="shared" ref="I24" si="20">H24*0.2</f>
        <v>300000</v>
      </c>
      <c r="J24" s="6">
        <f t="shared" ref="J24" si="21">H24*0.8</f>
        <v>1200000</v>
      </c>
      <c r="K24" s="6"/>
      <c r="L24" s="6"/>
      <c r="M24" s="6"/>
      <c r="N24" s="6"/>
      <c r="O24" s="6"/>
      <c r="P24" s="6"/>
      <c r="Q24" s="6"/>
      <c r="R24" s="6"/>
      <c r="S24" s="30"/>
      <c r="T24" s="30"/>
      <c r="U24" s="30"/>
      <c r="V24" s="30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30">
        <v>1000</v>
      </c>
      <c r="BJ24" s="6">
        <f t="shared" si="2"/>
        <v>1500000</v>
      </c>
      <c r="BK24" s="6">
        <f>AA24+AC24+AE24+AG24+AI24+AK24+AM24+AO24+AQ24+AS24+AU24+AW24+AY24+BA24+BC24+BE24+BG24+BI24</f>
        <v>1000</v>
      </c>
      <c r="BL24" s="6">
        <f>AB24+AD24+AF24+AH24+AJ24+AL24+AN24+AP24+AR24+AT24+AV24+AX24+AZ24+BB24+BD24+BF24+BH24+BJ24</f>
        <v>1500000</v>
      </c>
      <c r="BM24" s="154" t="s">
        <v>210</v>
      </c>
      <c r="BO24" s="6"/>
      <c r="BP24" s="65">
        <f>BL24</f>
        <v>1500000</v>
      </c>
      <c r="BQ24" s="6"/>
      <c r="BR24" s="6"/>
      <c r="BS24" s="65">
        <f>BO24+BP24+BQ24+BR24</f>
        <v>1500000</v>
      </c>
      <c r="BT24" s="6"/>
      <c r="BU24" s="6"/>
      <c r="BV24" s="6"/>
      <c r="BW24" s="6">
        <f t="shared" si="1"/>
        <v>1500000</v>
      </c>
    </row>
    <row r="25" spans="2:75" ht="47.25" x14ac:dyDescent="0.25">
      <c r="B25" s="721"/>
      <c r="C25" s="160" t="s">
        <v>705</v>
      </c>
      <c r="D25" s="129" t="s">
        <v>911</v>
      </c>
      <c r="E25" s="154" t="s">
        <v>70</v>
      </c>
      <c r="F25" s="130">
        <v>150</v>
      </c>
      <c r="G25" s="159">
        <f>BK25</f>
        <v>1756</v>
      </c>
      <c r="H25" s="6">
        <f>G25*F25</f>
        <v>263400</v>
      </c>
      <c r="I25" s="6">
        <f t="shared" si="6"/>
        <v>52680</v>
      </c>
      <c r="J25" s="6">
        <f t="shared" si="7"/>
        <v>210720</v>
      </c>
      <c r="K25" s="6"/>
      <c r="L25" s="6"/>
      <c r="M25" s="6"/>
      <c r="N25" s="6"/>
      <c r="O25" s="6"/>
      <c r="P25" s="6"/>
      <c r="Q25" s="6"/>
      <c r="R25" s="6"/>
      <c r="S25" s="6">
        <f>G25*0.25</f>
        <v>439</v>
      </c>
      <c r="T25" s="6">
        <f>G25*0.25</f>
        <v>439</v>
      </c>
      <c r="U25" s="6">
        <f>G25*0.25</f>
        <v>439</v>
      </c>
      <c r="V25" s="6">
        <f>G25*0.25</f>
        <v>439</v>
      </c>
      <c r="W25" s="6">
        <f>S25*F25</f>
        <v>65850</v>
      </c>
      <c r="X25" s="6">
        <f>T25*F25</f>
        <v>65850</v>
      </c>
      <c r="Y25" s="148">
        <f>U25*F25</f>
        <v>65850</v>
      </c>
      <c r="Z25" s="148">
        <f>V25*F25</f>
        <v>65850</v>
      </c>
      <c r="AA25" s="6">
        <v>144</v>
      </c>
      <c r="AB25" s="6">
        <f t="shared" si="8"/>
        <v>21600</v>
      </c>
      <c r="AC25" s="6">
        <v>60</v>
      </c>
      <c r="AD25" s="6">
        <f>AC25*F25</f>
        <v>9000</v>
      </c>
      <c r="AE25" s="6">
        <v>60</v>
      </c>
      <c r="AF25" s="6">
        <f>AE25*F25</f>
        <v>9000</v>
      </c>
      <c r="AG25" s="6">
        <v>208</v>
      </c>
      <c r="AH25" s="6">
        <f t="shared" si="9"/>
        <v>31200</v>
      </c>
      <c r="AI25" s="6">
        <v>60</v>
      </c>
      <c r="AJ25" s="6">
        <f>AI25*F25</f>
        <v>9000</v>
      </c>
      <c r="AK25" s="6">
        <v>0</v>
      </c>
      <c r="AL25" s="6">
        <f>AK25*F25</f>
        <v>0</v>
      </c>
      <c r="AM25" s="6">
        <v>60</v>
      </c>
      <c r="AN25" s="6">
        <f t="shared" si="10"/>
        <v>9000</v>
      </c>
      <c r="AO25" s="6">
        <v>90</v>
      </c>
      <c r="AP25" s="6">
        <f>AO25*F25</f>
        <v>13500</v>
      </c>
      <c r="AQ25" s="6">
        <v>0</v>
      </c>
      <c r="AR25" s="6">
        <f>AQ25*F25</f>
        <v>0</v>
      </c>
      <c r="AS25" s="6">
        <v>60</v>
      </c>
      <c r="AT25" s="6">
        <f>AS25*F25</f>
        <v>9000</v>
      </c>
      <c r="AU25" s="6">
        <v>60</v>
      </c>
      <c r="AV25" s="6">
        <f>AU25*F25</f>
        <v>9000</v>
      </c>
      <c r="AW25" s="6">
        <v>60</v>
      </c>
      <c r="AX25" s="6">
        <f t="shared" si="11"/>
        <v>9000</v>
      </c>
      <c r="AY25" s="6">
        <v>60</v>
      </c>
      <c r="AZ25" s="6">
        <f>AY25*F25</f>
        <v>9000</v>
      </c>
      <c r="BA25" s="6">
        <v>60</v>
      </c>
      <c r="BB25" s="6">
        <f t="shared" si="12"/>
        <v>9000</v>
      </c>
      <c r="BC25" s="6">
        <v>200</v>
      </c>
      <c r="BD25" s="6">
        <f t="shared" si="13"/>
        <v>30000</v>
      </c>
      <c r="BE25" s="6">
        <v>544</v>
      </c>
      <c r="BF25" s="6">
        <f>BE25*F25</f>
        <v>81600</v>
      </c>
      <c r="BG25" s="6">
        <v>30</v>
      </c>
      <c r="BH25" s="6">
        <f t="shared" si="14"/>
        <v>4500</v>
      </c>
      <c r="BI25" s="30"/>
      <c r="BJ25" s="6">
        <f t="shared" si="2"/>
        <v>0</v>
      </c>
      <c r="BK25" s="6">
        <f>AA25+AC25+AE25+AG25+AI25+AK25+AM25+AO25+AQ25+AS25+AU25+AW25+AY25+BA25+BC25+BE25+BG25+BI25</f>
        <v>1756</v>
      </c>
      <c r="BL25" s="6">
        <f>AB25+AD25+AF25+AH25+AJ25+AL25+AN25+AP25+AR25+AT25+AV25+AX25+AZ25+BB25+BD25+BF25+BH25+BJ25</f>
        <v>263400</v>
      </c>
      <c r="BM25" s="154" t="s">
        <v>210</v>
      </c>
      <c r="BO25" s="65"/>
      <c r="BP25" s="65">
        <f>BL25</f>
        <v>263400</v>
      </c>
      <c r="BQ25" s="65"/>
      <c r="BR25" s="65"/>
      <c r="BS25" s="65">
        <f>BO25+BP25+BQ25+BR25</f>
        <v>263400</v>
      </c>
      <c r="BT25" s="65"/>
      <c r="BU25" s="65"/>
      <c r="BV25" s="65"/>
      <c r="BW25" s="142">
        <f t="shared" si="1"/>
        <v>263400</v>
      </c>
    </row>
    <row r="26" spans="2:75" s="170" customFormat="1" x14ac:dyDescent="0.25">
      <c r="B26" s="721"/>
      <c r="C26" s="158"/>
      <c r="D26" s="140" t="s">
        <v>480</v>
      </c>
      <c r="E26" s="156" t="s">
        <v>111</v>
      </c>
      <c r="F26" s="149" t="s">
        <v>111</v>
      </c>
      <c r="G26" s="172">
        <f t="shared" ref="G26:Z26" si="22">SUM(G17:G25)</f>
        <v>18710</v>
      </c>
      <c r="H26" s="172">
        <f t="shared" si="22"/>
        <v>8477400</v>
      </c>
      <c r="I26" s="172">
        <f t="shared" si="22"/>
        <v>1695480</v>
      </c>
      <c r="J26" s="172">
        <f t="shared" si="22"/>
        <v>6781920</v>
      </c>
      <c r="K26" s="172">
        <f t="shared" si="22"/>
        <v>0</v>
      </c>
      <c r="L26" s="172">
        <f t="shared" si="22"/>
        <v>0</v>
      </c>
      <c r="M26" s="172">
        <f t="shared" si="22"/>
        <v>0</v>
      </c>
      <c r="N26" s="172">
        <f t="shared" si="22"/>
        <v>0</v>
      </c>
      <c r="O26" s="172">
        <f t="shared" si="22"/>
        <v>0</v>
      </c>
      <c r="P26" s="172">
        <f t="shared" si="22"/>
        <v>0</v>
      </c>
      <c r="Q26" s="172">
        <f t="shared" si="22"/>
        <v>0</v>
      </c>
      <c r="R26" s="172">
        <f t="shared" si="22"/>
        <v>0</v>
      </c>
      <c r="S26" s="172">
        <f t="shared" si="22"/>
        <v>1551</v>
      </c>
      <c r="T26" s="172">
        <f t="shared" si="22"/>
        <v>1551</v>
      </c>
      <c r="U26" s="172">
        <f t="shared" si="22"/>
        <v>1551</v>
      </c>
      <c r="V26" s="172">
        <f t="shared" si="22"/>
        <v>4622</v>
      </c>
      <c r="W26" s="172">
        <f t="shared" si="22"/>
        <v>232650</v>
      </c>
      <c r="X26" s="172">
        <f t="shared" si="22"/>
        <v>232650</v>
      </c>
      <c r="Y26" s="172">
        <f t="shared" si="22"/>
        <v>232650</v>
      </c>
      <c r="Z26" s="172">
        <f t="shared" si="22"/>
        <v>3513450</v>
      </c>
      <c r="AA26" s="172">
        <f>SUM(AA17:AA25)</f>
        <v>2135</v>
      </c>
      <c r="AB26" s="172">
        <f t="shared" ref="AB26:BW26" si="23">SUM(AB17:AB25)</f>
        <v>642000</v>
      </c>
      <c r="AC26" s="172">
        <f t="shared" si="23"/>
        <v>548</v>
      </c>
      <c r="AD26" s="172">
        <f t="shared" si="23"/>
        <v>177600</v>
      </c>
      <c r="AE26" s="172">
        <f t="shared" si="23"/>
        <v>1116</v>
      </c>
      <c r="AF26" s="172">
        <f t="shared" si="23"/>
        <v>381000</v>
      </c>
      <c r="AG26" s="172">
        <f t="shared" si="23"/>
        <v>1747</v>
      </c>
      <c r="AH26" s="172">
        <f t="shared" si="23"/>
        <v>657400</v>
      </c>
      <c r="AI26" s="172">
        <f t="shared" si="23"/>
        <v>928</v>
      </c>
      <c r="AJ26" s="172">
        <f t="shared" si="23"/>
        <v>284400</v>
      </c>
      <c r="AK26" s="172">
        <f t="shared" si="23"/>
        <v>562</v>
      </c>
      <c r="AL26" s="172">
        <f t="shared" si="23"/>
        <v>278600</v>
      </c>
      <c r="AM26" s="172">
        <f t="shared" si="23"/>
        <v>1116</v>
      </c>
      <c r="AN26" s="172">
        <f t="shared" si="23"/>
        <v>495800</v>
      </c>
      <c r="AO26" s="172">
        <f t="shared" si="23"/>
        <v>1056</v>
      </c>
      <c r="AP26" s="172">
        <f t="shared" si="23"/>
        <v>398300</v>
      </c>
      <c r="AQ26" s="172">
        <f t="shared" si="23"/>
        <v>448</v>
      </c>
      <c r="AR26" s="172">
        <f t="shared" si="23"/>
        <v>153600</v>
      </c>
      <c r="AS26" s="172">
        <f t="shared" si="23"/>
        <v>670</v>
      </c>
      <c r="AT26" s="172">
        <f t="shared" si="23"/>
        <v>222800</v>
      </c>
      <c r="AU26" s="172">
        <f t="shared" si="23"/>
        <v>844</v>
      </c>
      <c r="AV26" s="172">
        <f t="shared" si="23"/>
        <v>294200</v>
      </c>
      <c r="AW26" s="172">
        <f t="shared" si="23"/>
        <v>846</v>
      </c>
      <c r="AX26" s="172">
        <f t="shared" si="23"/>
        <v>528800</v>
      </c>
      <c r="AY26" s="172">
        <f t="shared" si="23"/>
        <v>609</v>
      </c>
      <c r="AZ26" s="172">
        <f t="shared" si="23"/>
        <v>277200</v>
      </c>
      <c r="BA26" s="172">
        <f t="shared" si="23"/>
        <v>1119</v>
      </c>
      <c r="BB26" s="172">
        <f t="shared" si="23"/>
        <v>539600</v>
      </c>
      <c r="BC26" s="172">
        <f t="shared" si="23"/>
        <v>1136</v>
      </c>
      <c r="BD26" s="172">
        <f t="shared" si="23"/>
        <v>382000</v>
      </c>
      <c r="BE26" s="172">
        <f t="shared" si="23"/>
        <v>1794</v>
      </c>
      <c r="BF26" s="172">
        <f t="shared" si="23"/>
        <v>600000</v>
      </c>
      <c r="BG26" s="172">
        <f t="shared" si="23"/>
        <v>1036</v>
      </c>
      <c r="BH26" s="172">
        <f t="shared" si="23"/>
        <v>664100</v>
      </c>
      <c r="BI26" s="172">
        <f t="shared" si="23"/>
        <v>1000</v>
      </c>
      <c r="BJ26" s="172">
        <f t="shared" si="23"/>
        <v>1500000</v>
      </c>
      <c r="BK26" s="172">
        <f t="shared" si="23"/>
        <v>18710</v>
      </c>
      <c r="BL26" s="172">
        <f t="shared" si="23"/>
        <v>8477400</v>
      </c>
      <c r="BM26" s="172"/>
      <c r="BN26" s="172">
        <f t="shared" si="23"/>
        <v>0</v>
      </c>
      <c r="BO26" s="172">
        <f t="shared" si="23"/>
        <v>0</v>
      </c>
      <c r="BP26" s="172">
        <f t="shared" si="23"/>
        <v>8477400</v>
      </c>
      <c r="BQ26" s="172">
        <f t="shared" si="23"/>
        <v>0</v>
      </c>
      <c r="BR26" s="172">
        <f t="shared" si="23"/>
        <v>0</v>
      </c>
      <c r="BS26" s="172">
        <f t="shared" si="23"/>
        <v>8477400</v>
      </c>
      <c r="BT26" s="172">
        <f t="shared" si="23"/>
        <v>0</v>
      </c>
      <c r="BU26" s="172">
        <f t="shared" si="23"/>
        <v>0</v>
      </c>
      <c r="BV26" s="172">
        <f t="shared" si="23"/>
        <v>0</v>
      </c>
      <c r="BW26" s="172">
        <f t="shared" si="23"/>
        <v>8477400</v>
      </c>
    </row>
    <row r="27" spans="2:75" x14ac:dyDescent="0.25">
      <c r="B27" s="721"/>
      <c r="C27" s="160"/>
      <c r="D27" s="140" t="s">
        <v>481</v>
      </c>
      <c r="E27" s="154"/>
      <c r="F27" s="130"/>
      <c r="G27" s="154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30"/>
      <c r="T27" s="30"/>
      <c r="U27" s="30"/>
      <c r="V27" s="32"/>
      <c r="W27" s="172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30"/>
      <c r="BJ27" s="6"/>
      <c r="BK27" s="6"/>
      <c r="BL27" s="6"/>
      <c r="BM27" s="154"/>
      <c r="BO27" s="65"/>
      <c r="BP27" s="65">
        <f t="shared" ref="BP27:BP34" si="24">H27</f>
        <v>0</v>
      </c>
      <c r="BQ27" s="65"/>
      <c r="BR27" s="65"/>
      <c r="BS27" s="65">
        <f t="shared" ref="BS27:BS34" si="25">BO27+BP27+BQ27+BR27</f>
        <v>0</v>
      </c>
      <c r="BT27" s="65"/>
      <c r="BU27" s="65"/>
      <c r="BV27" s="65">
        <f>BT27+BU27</f>
        <v>0</v>
      </c>
      <c r="BW27" s="142">
        <f t="shared" si="1"/>
        <v>0</v>
      </c>
    </row>
    <row r="28" spans="2:75" x14ac:dyDescent="0.25">
      <c r="B28" s="721"/>
      <c r="C28" s="160"/>
      <c r="D28" s="140" t="s">
        <v>482</v>
      </c>
      <c r="E28" s="154"/>
      <c r="F28" s="130"/>
      <c r="G28" s="154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30"/>
      <c r="T28" s="30"/>
      <c r="U28" s="30"/>
      <c r="V28" s="32"/>
      <c r="W28" s="172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30"/>
      <c r="BJ28" s="6"/>
      <c r="BK28" s="6"/>
      <c r="BL28" s="6"/>
      <c r="BM28" s="154"/>
      <c r="BO28" s="65"/>
      <c r="BP28" s="65">
        <f t="shared" si="24"/>
        <v>0</v>
      </c>
      <c r="BQ28" s="65"/>
      <c r="BR28" s="65"/>
      <c r="BS28" s="65">
        <f t="shared" si="25"/>
        <v>0</v>
      </c>
      <c r="BT28" s="65"/>
      <c r="BU28" s="65"/>
      <c r="BV28" s="65">
        <f>BT28+BU28</f>
        <v>0</v>
      </c>
      <c r="BW28" s="142">
        <f t="shared" si="1"/>
        <v>0</v>
      </c>
    </row>
    <row r="29" spans="2:75" x14ac:dyDescent="0.25">
      <c r="B29" s="721"/>
      <c r="C29" s="160" t="s">
        <v>706</v>
      </c>
      <c r="D29" s="129" t="s">
        <v>483</v>
      </c>
      <c r="E29" s="154" t="s">
        <v>16</v>
      </c>
      <c r="F29" s="130">
        <v>11000000</v>
      </c>
      <c r="G29" s="6">
        <f>BK29</f>
        <v>1</v>
      </c>
      <c r="H29" s="6">
        <f>BL29</f>
        <v>11000000</v>
      </c>
      <c r="I29" s="6">
        <f>H29*0.2</f>
        <v>2200000</v>
      </c>
      <c r="J29" s="6">
        <f>H29*0.8</f>
        <v>8800000</v>
      </c>
      <c r="K29" s="6"/>
      <c r="L29" s="6"/>
      <c r="M29" s="6"/>
      <c r="N29" s="6"/>
      <c r="O29" s="6"/>
      <c r="P29" s="6"/>
      <c r="Q29" s="6"/>
      <c r="R29" s="6"/>
      <c r="S29" s="6">
        <f>G29*0.25</f>
        <v>0.25</v>
      </c>
      <c r="T29" s="30">
        <f>G29*0.25</f>
        <v>0.25</v>
      </c>
      <c r="U29" s="32">
        <f>G29*0.25</f>
        <v>0.25</v>
      </c>
      <c r="V29" s="30">
        <f>G29*0.25</f>
        <v>0.25</v>
      </c>
      <c r="W29" s="6">
        <f>S29*F29</f>
        <v>2750000</v>
      </c>
      <c r="X29" s="6">
        <f>T29*F29</f>
        <v>2750000</v>
      </c>
      <c r="Y29" s="6">
        <f>U29*F29</f>
        <v>2750000</v>
      </c>
      <c r="Z29" s="6">
        <f>V29*F29</f>
        <v>2750000</v>
      </c>
      <c r="AA29" s="6">
        <v>0</v>
      </c>
      <c r="AB29" s="6">
        <f>AA29*F29</f>
        <v>0</v>
      </c>
      <c r="AC29" s="6"/>
      <c r="AD29" s="6">
        <f>AC29*F29</f>
        <v>0</v>
      </c>
      <c r="AE29" s="6"/>
      <c r="AF29" s="6">
        <f>AE29*F29</f>
        <v>0</v>
      </c>
      <c r="AG29" s="6"/>
      <c r="AH29" s="6">
        <f>AG29*F29</f>
        <v>0</v>
      </c>
      <c r="AI29" s="6">
        <v>0</v>
      </c>
      <c r="AJ29" s="6">
        <f>AI29*F29</f>
        <v>0</v>
      </c>
      <c r="AK29" s="6"/>
      <c r="AL29" s="6">
        <f>AK29*F29</f>
        <v>0</v>
      </c>
      <c r="AM29" s="6"/>
      <c r="AN29" s="6">
        <f>AM29*F29</f>
        <v>0</v>
      </c>
      <c r="AO29" s="6"/>
      <c r="AP29" s="6">
        <f>AO29*F29</f>
        <v>0</v>
      </c>
      <c r="AQ29" s="6"/>
      <c r="AR29" s="6">
        <f>AQ29*F29</f>
        <v>0</v>
      </c>
      <c r="AS29" s="6"/>
      <c r="AT29" s="6">
        <f>AS29*F29</f>
        <v>0</v>
      </c>
      <c r="AU29" s="6"/>
      <c r="AV29" s="6">
        <f>AU29*F29</f>
        <v>0</v>
      </c>
      <c r="AW29" s="6"/>
      <c r="AX29" s="6">
        <f>AW29*F29</f>
        <v>0</v>
      </c>
      <c r="AY29" s="6"/>
      <c r="AZ29" s="6">
        <f>AY29*F29</f>
        <v>0</v>
      </c>
      <c r="BA29" s="6">
        <v>0</v>
      </c>
      <c r="BB29" s="6">
        <f>BA29*F29</f>
        <v>0</v>
      </c>
      <c r="BC29" s="6"/>
      <c r="BD29" s="6">
        <f>BC29*F29</f>
        <v>0</v>
      </c>
      <c r="BE29" s="6"/>
      <c r="BF29" s="6">
        <f>BE29*F29</f>
        <v>0</v>
      </c>
      <c r="BG29" s="6"/>
      <c r="BH29" s="6">
        <f>BG29*F29</f>
        <v>0</v>
      </c>
      <c r="BI29" s="30">
        <v>1</v>
      </c>
      <c r="BJ29" s="6">
        <f t="shared" si="2"/>
        <v>11000000</v>
      </c>
      <c r="BK29" s="6">
        <f t="shared" ref="BK29:BL32" si="26">AA29+AC29+AE29+AG29+AI29+AK29+AM29+AO29+AQ29+AS29+AU29+AW29+AY29+BA29+BC29+BE29+BG29+BI29</f>
        <v>1</v>
      </c>
      <c r="BL29" s="6">
        <f t="shared" si="26"/>
        <v>11000000</v>
      </c>
      <c r="BM29" s="154" t="s">
        <v>210</v>
      </c>
      <c r="BO29" s="65"/>
      <c r="BP29" s="65"/>
      <c r="BQ29" s="65">
        <f>BL29</f>
        <v>11000000</v>
      </c>
      <c r="BR29" s="65"/>
      <c r="BS29" s="65">
        <f t="shared" si="25"/>
        <v>11000000</v>
      </c>
      <c r="BT29" s="65"/>
      <c r="BU29" s="65"/>
      <c r="BV29" s="65"/>
      <c r="BW29" s="142">
        <f t="shared" si="1"/>
        <v>11000000</v>
      </c>
    </row>
    <row r="30" spans="2:75" x14ac:dyDescent="0.25">
      <c r="B30" s="721"/>
      <c r="C30" s="160" t="s">
        <v>707</v>
      </c>
      <c r="D30" s="129" t="s">
        <v>612</v>
      </c>
      <c r="E30" s="154" t="s">
        <v>16</v>
      </c>
      <c r="F30" s="30">
        <f>BJ30</f>
        <v>30000000</v>
      </c>
      <c r="G30" s="6">
        <f>BK30</f>
        <v>1</v>
      </c>
      <c r="H30" s="6">
        <f>BL30</f>
        <v>30000000</v>
      </c>
      <c r="I30" s="6"/>
      <c r="J30" s="6">
        <f>H30*1</f>
        <v>30000000</v>
      </c>
      <c r="K30" s="6"/>
      <c r="L30" s="6"/>
      <c r="M30" s="6"/>
      <c r="N30" s="6"/>
      <c r="O30" s="6"/>
      <c r="P30" s="6"/>
      <c r="Q30" s="6"/>
      <c r="R30" s="6"/>
      <c r="S30" s="6"/>
      <c r="T30" s="30"/>
      <c r="U30" s="32"/>
      <c r="V30" s="30">
        <v>1</v>
      </c>
      <c r="W30" s="6"/>
      <c r="X30" s="6"/>
      <c r="Y30" s="6"/>
      <c r="Z30" s="6">
        <f>V30*H30</f>
        <v>30000000</v>
      </c>
      <c r="AA30" s="6"/>
      <c r="AB30" s="6"/>
      <c r="AC30" s="6"/>
      <c r="AD30" s="6"/>
      <c r="AE30" s="6">
        <v>0</v>
      </c>
      <c r="AF30" s="6"/>
      <c r="AG30" s="6">
        <v>0</v>
      </c>
      <c r="AH30" s="6"/>
      <c r="AI30" s="6">
        <v>0</v>
      </c>
      <c r="AJ30" s="6"/>
      <c r="AK30" s="6">
        <v>0</v>
      </c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>
        <v>0</v>
      </c>
      <c r="BB30" s="6"/>
      <c r="BC30" s="6"/>
      <c r="BD30" s="6"/>
      <c r="BE30" s="6"/>
      <c r="BF30" s="6"/>
      <c r="BG30" s="6"/>
      <c r="BH30" s="6"/>
      <c r="BI30" s="30">
        <v>1</v>
      </c>
      <c r="BJ30" s="6">
        <v>30000000</v>
      </c>
      <c r="BK30" s="6">
        <f>AA30+AC30+AE30+AG30+AI30+AK30+AM30+AO30+AQ30+AS30+AU30+AW30+AY30+BA30+BC30+BE30+BG30+BI30</f>
        <v>1</v>
      </c>
      <c r="BL30" s="6">
        <f>AB30+AD30+AF30+AH30+AJ30+AL30+AN30+AP30+AR30+AT30+AV30+AX30+AZ30+BB30+BD30+BF30+BH30+BJ30</f>
        <v>30000000</v>
      </c>
      <c r="BM30" s="154" t="s">
        <v>211</v>
      </c>
      <c r="BO30" s="65"/>
      <c r="BP30" s="65"/>
      <c r="BQ30" s="65">
        <f>BL30</f>
        <v>30000000</v>
      </c>
      <c r="BR30" s="65"/>
      <c r="BS30" s="65">
        <f t="shared" si="25"/>
        <v>30000000</v>
      </c>
      <c r="BT30" s="65"/>
      <c r="BU30" s="65"/>
      <c r="BV30" s="65"/>
      <c r="BW30" s="142">
        <f t="shared" si="1"/>
        <v>30000000</v>
      </c>
    </row>
    <row r="31" spans="2:75" x14ac:dyDescent="0.25">
      <c r="B31" s="721"/>
      <c r="C31" s="160" t="s">
        <v>708</v>
      </c>
      <c r="D31" s="129" t="s">
        <v>484</v>
      </c>
      <c r="E31" s="154" t="s">
        <v>16</v>
      </c>
      <c r="F31" s="130">
        <v>4000000</v>
      </c>
      <c r="G31" s="6">
        <f>BK31</f>
        <v>1</v>
      </c>
      <c r="H31" s="6">
        <f>G31*F31</f>
        <v>4000000</v>
      </c>
      <c r="I31" s="6">
        <f>H31*0.2</f>
        <v>800000</v>
      </c>
      <c r="J31" s="6">
        <f>H31*0.8</f>
        <v>3200000</v>
      </c>
      <c r="K31" s="6"/>
      <c r="L31" s="6"/>
      <c r="M31" s="6"/>
      <c r="N31" s="6"/>
      <c r="O31" s="6"/>
      <c r="P31" s="6"/>
      <c r="Q31" s="6"/>
      <c r="R31" s="6"/>
      <c r="S31" s="6">
        <f>G31*0.25</f>
        <v>0.25</v>
      </c>
      <c r="T31" s="30">
        <f>G31*0.25</f>
        <v>0.25</v>
      </c>
      <c r="U31" s="30">
        <f>G31*0.25</f>
        <v>0.25</v>
      </c>
      <c r="V31" s="30">
        <f>G31*0.25</f>
        <v>0.25</v>
      </c>
      <c r="W31" s="6">
        <f>S31*F31</f>
        <v>1000000</v>
      </c>
      <c r="X31" s="6">
        <f>T31*F31</f>
        <v>1000000</v>
      </c>
      <c r="Y31" s="6">
        <f>U31*F31</f>
        <v>1000000</v>
      </c>
      <c r="Z31" s="6">
        <f>V31*F31</f>
        <v>1000000</v>
      </c>
      <c r="AA31" s="6">
        <f>SUM(AA27)</f>
        <v>0</v>
      </c>
      <c r="AB31" s="6">
        <f>AA31*F31</f>
        <v>0</v>
      </c>
      <c r="AC31" s="6"/>
      <c r="AD31" s="6">
        <f>AC31*F31</f>
        <v>0</v>
      </c>
      <c r="AE31" s="6">
        <v>0</v>
      </c>
      <c r="AF31" s="6">
        <f>AE31*F31</f>
        <v>0</v>
      </c>
      <c r="AG31" s="6">
        <v>0</v>
      </c>
      <c r="AH31" s="6">
        <f>AG31*F31</f>
        <v>0</v>
      </c>
      <c r="AI31" s="6">
        <v>0</v>
      </c>
      <c r="AJ31" s="6">
        <f>AI31*F31</f>
        <v>0</v>
      </c>
      <c r="AK31" s="6">
        <v>0</v>
      </c>
      <c r="AL31" s="6">
        <f>AK31*F31</f>
        <v>0</v>
      </c>
      <c r="AM31" s="6"/>
      <c r="AN31" s="6">
        <f>AM31*F31</f>
        <v>0</v>
      </c>
      <c r="AO31" s="6"/>
      <c r="AP31" s="6">
        <f>AO31*F31</f>
        <v>0</v>
      </c>
      <c r="AQ31" s="6"/>
      <c r="AR31" s="6">
        <f>AQ31*F31</f>
        <v>0</v>
      </c>
      <c r="AS31" s="6"/>
      <c r="AT31" s="6">
        <f>AS31*F31</f>
        <v>0</v>
      </c>
      <c r="AU31" s="6"/>
      <c r="AV31" s="6">
        <f>AU31*F31</f>
        <v>0</v>
      </c>
      <c r="AW31" s="6"/>
      <c r="AX31" s="6">
        <f>AW31*F31</f>
        <v>0</v>
      </c>
      <c r="AY31" s="6"/>
      <c r="AZ31" s="6">
        <f>AY31*F31</f>
        <v>0</v>
      </c>
      <c r="BA31" s="6">
        <v>0</v>
      </c>
      <c r="BB31" s="6">
        <f>BA31*F31</f>
        <v>0</v>
      </c>
      <c r="BC31" s="6"/>
      <c r="BD31" s="6">
        <f>BC31*F31</f>
        <v>0</v>
      </c>
      <c r="BE31" s="6"/>
      <c r="BF31" s="6">
        <f>BE31*F31</f>
        <v>0</v>
      </c>
      <c r="BG31" s="6"/>
      <c r="BH31" s="6">
        <f>BG31*F31</f>
        <v>0</v>
      </c>
      <c r="BI31" s="30">
        <v>1</v>
      </c>
      <c r="BJ31" s="6">
        <f t="shared" si="2"/>
        <v>4000000</v>
      </c>
      <c r="BK31" s="6">
        <f t="shared" si="26"/>
        <v>1</v>
      </c>
      <c r="BL31" s="6">
        <f t="shared" si="26"/>
        <v>4000000</v>
      </c>
      <c r="BM31" s="154" t="s">
        <v>210</v>
      </c>
      <c r="BO31" s="65"/>
      <c r="BP31" s="65"/>
      <c r="BQ31" s="65">
        <f>BL31</f>
        <v>4000000</v>
      </c>
      <c r="BR31" s="65"/>
      <c r="BS31" s="65">
        <f t="shared" si="25"/>
        <v>4000000</v>
      </c>
      <c r="BT31" s="65"/>
      <c r="BU31" s="65"/>
      <c r="BV31" s="65"/>
      <c r="BW31" s="142">
        <f t="shared" si="1"/>
        <v>4000000</v>
      </c>
    </row>
    <row r="32" spans="2:75" x14ac:dyDescent="0.25">
      <c r="B32" s="721"/>
      <c r="C32" s="161" t="s">
        <v>709</v>
      </c>
      <c r="D32" s="129" t="s">
        <v>485</v>
      </c>
      <c r="E32" s="154" t="s">
        <v>16</v>
      </c>
      <c r="F32" s="130">
        <v>100000</v>
      </c>
      <c r="G32" s="6">
        <f>BK32</f>
        <v>0</v>
      </c>
      <c r="H32" s="6">
        <f>G32*F32</f>
        <v>0</v>
      </c>
      <c r="I32" s="6">
        <f>H32*0.2</f>
        <v>0</v>
      </c>
      <c r="J32" s="6">
        <f>H32*0.8</f>
        <v>0</v>
      </c>
      <c r="K32" s="6"/>
      <c r="L32" s="6"/>
      <c r="M32" s="6"/>
      <c r="N32" s="6"/>
      <c r="O32" s="6"/>
      <c r="P32" s="6"/>
      <c r="Q32" s="6"/>
      <c r="R32" s="6"/>
      <c r="S32" s="6">
        <f>G32*0.25</f>
        <v>0</v>
      </c>
      <c r="T32" s="30">
        <f>G32*0.25</f>
        <v>0</v>
      </c>
      <c r="U32" s="30">
        <f>G32*0.25</f>
        <v>0</v>
      </c>
      <c r="V32" s="30">
        <f>G32*0.25</f>
        <v>0</v>
      </c>
      <c r="W32" s="6">
        <f>S32*F32</f>
        <v>0</v>
      </c>
      <c r="X32" s="6">
        <f>T32*F32</f>
        <v>0</v>
      </c>
      <c r="Y32" s="6">
        <f>U32*F32</f>
        <v>0</v>
      </c>
      <c r="Z32" s="6">
        <f>V32*F32</f>
        <v>0</v>
      </c>
      <c r="AA32" s="6">
        <f>SUM(AA28)</f>
        <v>0</v>
      </c>
      <c r="AB32" s="6">
        <f>AA32*F32</f>
        <v>0</v>
      </c>
      <c r="AC32" s="6"/>
      <c r="AD32" s="6">
        <f>AC32*F32</f>
        <v>0</v>
      </c>
      <c r="AE32" s="6">
        <v>0</v>
      </c>
      <c r="AF32" s="6">
        <f>AE32*F32</f>
        <v>0</v>
      </c>
      <c r="AG32" s="6">
        <v>0</v>
      </c>
      <c r="AH32" s="6">
        <f>AG32*F32</f>
        <v>0</v>
      </c>
      <c r="AI32" s="6">
        <v>0</v>
      </c>
      <c r="AJ32" s="6">
        <f>AI32*F32</f>
        <v>0</v>
      </c>
      <c r="AK32" s="6">
        <v>0</v>
      </c>
      <c r="AL32" s="6">
        <f>AK32*F32</f>
        <v>0</v>
      </c>
      <c r="AM32" s="6"/>
      <c r="AN32" s="6">
        <f>AM32*F32</f>
        <v>0</v>
      </c>
      <c r="AO32" s="6"/>
      <c r="AP32" s="6">
        <f>AO32*F32</f>
        <v>0</v>
      </c>
      <c r="AQ32" s="6"/>
      <c r="AR32" s="6">
        <f>AQ32*F32</f>
        <v>0</v>
      </c>
      <c r="AS32" s="6"/>
      <c r="AT32" s="6">
        <f>AS32*F32</f>
        <v>0</v>
      </c>
      <c r="AU32" s="6"/>
      <c r="AV32" s="6">
        <f>AU32*F32</f>
        <v>0</v>
      </c>
      <c r="AW32" s="6"/>
      <c r="AX32" s="6">
        <f>AW32*F32</f>
        <v>0</v>
      </c>
      <c r="AY32" s="6"/>
      <c r="AZ32" s="6">
        <f>AY32*F32</f>
        <v>0</v>
      </c>
      <c r="BA32" s="6">
        <v>0</v>
      </c>
      <c r="BB32" s="6">
        <f>BA32*F32</f>
        <v>0</v>
      </c>
      <c r="BC32" s="6"/>
      <c r="BD32" s="6">
        <f>BC32*F32</f>
        <v>0</v>
      </c>
      <c r="BE32" s="6"/>
      <c r="BF32" s="6">
        <f>BE32*F32</f>
        <v>0</v>
      </c>
      <c r="BG32" s="6"/>
      <c r="BH32" s="6">
        <f>BG32*F32</f>
        <v>0</v>
      </c>
      <c r="BI32" s="30">
        <v>0</v>
      </c>
      <c r="BJ32" s="6">
        <f t="shared" si="2"/>
        <v>0</v>
      </c>
      <c r="BK32" s="6">
        <f t="shared" si="26"/>
        <v>0</v>
      </c>
      <c r="BL32" s="6">
        <f t="shared" si="26"/>
        <v>0</v>
      </c>
      <c r="BM32" s="154" t="s">
        <v>210</v>
      </c>
      <c r="BO32" s="65"/>
      <c r="BP32" s="65">
        <f t="shared" si="24"/>
        <v>0</v>
      </c>
      <c r="BQ32" s="65"/>
      <c r="BR32" s="65"/>
      <c r="BS32" s="65">
        <f t="shared" si="25"/>
        <v>0</v>
      </c>
      <c r="BT32" s="65"/>
      <c r="BU32" s="65"/>
      <c r="BV32" s="65"/>
      <c r="BW32" s="142">
        <f t="shared" si="1"/>
        <v>0</v>
      </c>
    </row>
    <row r="33" spans="2:75" s="170" customFormat="1" x14ac:dyDescent="0.25">
      <c r="B33" s="721"/>
      <c r="C33" s="158"/>
      <c r="D33" s="140" t="s">
        <v>486</v>
      </c>
      <c r="E33" s="156" t="s">
        <v>111</v>
      </c>
      <c r="F33" s="149" t="s">
        <v>111</v>
      </c>
      <c r="G33" s="172">
        <f t="shared" ref="G33:Z33" si="27">SUM(G29:G32)</f>
        <v>3</v>
      </c>
      <c r="H33" s="172">
        <f t="shared" si="27"/>
        <v>45000000</v>
      </c>
      <c r="I33" s="172">
        <f t="shared" si="27"/>
        <v>3000000</v>
      </c>
      <c r="J33" s="172">
        <f t="shared" si="27"/>
        <v>42000000</v>
      </c>
      <c r="K33" s="172">
        <f t="shared" si="27"/>
        <v>0</v>
      </c>
      <c r="L33" s="172">
        <f t="shared" si="27"/>
        <v>0</v>
      </c>
      <c r="M33" s="172">
        <f t="shared" si="27"/>
        <v>0</v>
      </c>
      <c r="N33" s="172">
        <f t="shared" si="27"/>
        <v>0</v>
      </c>
      <c r="O33" s="172">
        <f t="shared" si="27"/>
        <v>0</v>
      </c>
      <c r="P33" s="172">
        <f t="shared" si="27"/>
        <v>0</v>
      </c>
      <c r="Q33" s="172">
        <f t="shared" si="27"/>
        <v>0</v>
      </c>
      <c r="R33" s="172">
        <f t="shared" si="27"/>
        <v>0</v>
      </c>
      <c r="S33" s="172">
        <f t="shared" si="27"/>
        <v>0.5</v>
      </c>
      <c r="T33" s="172">
        <f t="shared" si="27"/>
        <v>0.5</v>
      </c>
      <c r="U33" s="172">
        <f t="shared" si="27"/>
        <v>0.5</v>
      </c>
      <c r="V33" s="172">
        <f t="shared" si="27"/>
        <v>1.5</v>
      </c>
      <c r="W33" s="172">
        <f t="shared" si="27"/>
        <v>3750000</v>
      </c>
      <c r="X33" s="172">
        <f t="shared" si="27"/>
        <v>3750000</v>
      </c>
      <c r="Y33" s="172">
        <f t="shared" si="27"/>
        <v>3750000</v>
      </c>
      <c r="Z33" s="172">
        <f t="shared" si="27"/>
        <v>33750000</v>
      </c>
      <c r="AA33" s="172">
        <f>SUM(AA29:AA32)</f>
        <v>0</v>
      </c>
      <c r="AB33" s="172">
        <f t="shared" ref="AB33:BW33" si="28">SUM(AB29:AB32)</f>
        <v>0</v>
      </c>
      <c r="AC33" s="172">
        <f t="shared" si="28"/>
        <v>0</v>
      </c>
      <c r="AD33" s="172">
        <f t="shared" si="28"/>
        <v>0</v>
      </c>
      <c r="AE33" s="172">
        <f t="shared" si="28"/>
        <v>0</v>
      </c>
      <c r="AF33" s="172">
        <f t="shared" si="28"/>
        <v>0</v>
      </c>
      <c r="AG33" s="172">
        <f t="shared" si="28"/>
        <v>0</v>
      </c>
      <c r="AH33" s="172">
        <f t="shared" si="28"/>
        <v>0</v>
      </c>
      <c r="AI33" s="172">
        <f t="shared" si="28"/>
        <v>0</v>
      </c>
      <c r="AJ33" s="172">
        <f t="shared" si="28"/>
        <v>0</v>
      </c>
      <c r="AK33" s="172">
        <f t="shared" si="28"/>
        <v>0</v>
      </c>
      <c r="AL33" s="172">
        <f t="shared" si="28"/>
        <v>0</v>
      </c>
      <c r="AM33" s="172">
        <f t="shared" si="28"/>
        <v>0</v>
      </c>
      <c r="AN33" s="172">
        <f t="shared" si="28"/>
        <v>0</v>
      </c>
      <c r="AO33" s="172">
        <f t="shared" si="28"/>
        <v>0</v>
      </c>
      <c r="AP33" s="172">
        <f t="shared" si="28"/>
        <v>0</v>
      </c>
      <c r="AQ33" s="172">
        <f t="shared" si="28"/>
        <v>0</v>
      </c>
      <c r="AR33" s="172">
        <f t="shared" si="28"/>
        <v>0</v>
      </c>
      <c r="AS33" s="172">
        <f t="shared" si="28"/>
        <v>0</v>
      </c>
      <c r="AT33" s="172">
        <f t="shared" si="28"/>
        <v>0</v>
      </c>
      <c r="AU33" s="172">
        <f t="shared" si="28"/>
        <v>0</v>
      </c>
      <c r="AV33" s="172">
        <f t="shared" si="28"/>
        <v>0</v>
      </c>
      <c r="AW33" s="172">
        <f t="shared" si="28"/>
        <v>0</v>
      </c>
      <c r="AX33" s="172">
        <f t="shared" si="28"/>
        <v>0</v>
      </c>
      <c r="AY33" s="172">
        <f t="shared" si="28"/>
        <v>0</v>
      </c>
      <c r="AZ33" s="172">
        <f t="shared" si="28"/>
        <v>0</v>
      </c>
      <c r="BA33" s="172">
        <f t="shared" si="28"/>
        <v>0</v>
      </c>
      <c r="BB33" s="172">
        <f t="shared" si="28"/>
        <v>0</v>
      </c>
      <c r="BC33" s="172">
        <f t="shared" si="28"/>
        <v>0</v>
      </c>
      <c r="BD33" s="172">
        <f t="shared" si="28"/>
        <v>0</v>
      </c>
      <c r="BE33" s="172">
        <f t="shared" si="28"/>
        <v>0</v>
      </c>
      <c r="BF33" s="172">
        <f t="shared" si="28"/>
        <v>0</v>
      </c>
      <c r="BG33" s="172">
        <f t="shared" si="28"/>
        <v>0</v>
      </c>
      <c r="BH33" s="172">
        <f t="shared" si="28"/>
        <v>0</v>
      </c>
      <c r="BI33" s="172">
        <f t="shared" si="28"/>
        <v>3</v>
      </c>
      <c r="BJ33" s="172">
        <f t="shared" si="28"/>
        <v>45000000</v>
      </c>
      <c r="BK33" s="172">
        <f t="shared" si="28"/>
        <v>3</v>
      </c>
      <c r="BL33" s="172">
        <f t="shared" si="28"/>
        <v>45000000</v>
      </c>
      <c r="BM33" s="172"/>
      <c r="BN33" s="172">
        <f t="shared" si="28"/>
        <v>0</v>
      </c>
      <c r="BO33" s="172">
        <f t="shared" si="28"/>
        <v>0</v>
      </c>
      <c r="BP33" s="172">
        <f t="shared" si="28"/>
        <v>0</v>
      </c>
      <c r="BQ33" s="172">
        <f t="shared" si="28"/>
        <v>45000000</v>
      </c>
      <c r="BR33" s="172">
        <f t="shared" si="28"/>
        <v>0</v>
      </c>
      <c r="BS33" s="172">
        <f t="shared" si="28"/>
        <v>45000000</v>
      </c>
      <c r="BT33" s="172">
        <f t="shared" si="28"/>
        <v>0</v>
      </c>
      <c r="BU33" s="172">
        <f t="shared" si="28"/>
        <v>0</v>
      </c>
      <c r="BV33" s="172">
        <f t="shared" si="28"/>
        <v>0</v>
      </c>
      <c r="BW33" s="172">
        <f t="shared" si="28"/>
        <v>45000000</v>
      </c>
    </row>
    <row r="34" spans="2:75" x14ac:dyDescent="0.25">
      <c r="B34" s="721"/>
      <c r="C34" s="160"/>
      <c r="D34" s="140" t="s">
        <v>487</v>
      </c>
      <c r="E34" s="154"/>
      <c r="F34" s="130"/>
      <c r="G34" s="154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30"/>
      <c r="U34" s="30"/>
      <c r="V34" s="30"/>
      <c r="W34" s="172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30"/>
      <c r="BJ34" s="6"/>
      <c r="BK34" s="6"/>
      <c r="BL34" s="6"/>
      <c r="BM34" s="154"/>
      <c r="BO34" s="65"/>
      <c r="BP34" s="65">
        <f t="shared" si="24"/>
        <v>0</v>
      </c>
      <c r="BQ34" s="65"/>
      <c r="BR34" s="65"/>
      <c r="BS34" s="65">
        <f t="shared" si="25"/>
        <v>0</v>
      </c>
      <c r="BT34" s="65"/>
      <c r="BU34" s="65"/>
      <c r="BV34" s="65"/>
      <c r="BW34" s="142">
        <f t="shared" si="1"/>
        <v>0</v>
      </c>
    </row>
    <row r="35" spans="2:75" x14ac:dyDescent="0.25">
      <c r="B35" s="721"/>
      <c r="C35" s="161" t="s">
        <v>710</v>
      </c>
      <c r="D35" s="129" t="s">
        <v>218</v>
      </c>
      <c r="E35" s="154" t="s">
        <v>515</v>
      </c>
      <c r="F35" s="130" t="s">
        <v>341</v>
      </c>
      <c r="G35" s="159">
        <f t="shared" ref="G35:G44" si="29">BK35</f>
        <v>12144</v>
      </c>
      <c r="H35" s="6">
        <f t="shared" ref="H35:H44" si="30">BL35</f>
        <v>18216000</v>
      </c>
      <c r="I35" s="6">
        <f t="shared" ref="I35:I44" si="31">H35*0.2</f>
        <v>3643200</v>
      </c>
      <c r="J35" s="6">
        <f t="shared" ref="J35:J44" si="32">H35*0.8</f>
        <v>14572800</v>
      </c>
      <c r="K35" s="6"/>
      <c r="L35" s="6"/>
      <c r="M35" s="6"/>
      <c r="N35" s="6"/>
      <c r="O35" s="6"/>
      <c r="P35" s="6"/>
      <c r="Q35" s="6"/>
      <c r="R35" s="6"/>
      <c r="S35" s="30">
        <f t="shared" ref="S35:S44" si="33">G35*0.25</f>
        <v>3036</v>
      </c>
      <c r="T35" s="30">
        <f t="shared" ref="T35:T44" si="34">G35*0.25</f>
        <v>3036</v>
      </c>
      <c r="U35" s="30">
        <f t="shared" ref="U35:U44" si="35">G35*0.25</f>
        <v>3036</v>
      </c>
      <c r="V35" s="30">
        <f t="shared" ref="V35:V44" si="36">G35*0.25</f>
        <v>3036</v>
      </c>
      <c r="W35" s="6">
        <f t="shared" ref="W35:W44" si="37">S35*F35</f>
        <v>4554000</v>
      </c>
      <c r="X35" s="6">
        <f t="shared" ref="X35:X44" si="38">T35*F35</f>
        <v>4554000</v>
      </c>
      <c r="Y35" s="6">
        <f t="shared" ref="Y35:Y44" si="39">U35*F35</f>
        <v>4554000</v>
      </c>
      <c r="Z35" s="6">
        <f t="shared" ref="Z35:Z44" si="40">V35*F35</f>
        <v>4554000</v>
      </c>
      <c r="AA35" s="6">
        <f>48*12</f>
        <v>576</v>
      </c>
      <c r="AB35" s="6">
        <f>AA35*1500</f>
        <v>864000</v>
      </c>
      <c r="AC35" s="6">
        <f>23*12</f>
        <v>276</v>
      </c>
      <c r="AD35" s="6">
        <f>AC35*1500</f>
        <v>414000</v>
      </c>
      <c r="AE35" s="6">
        <f>58*12</f>
        <v>696</v>
      </c>
      <c r="AF35" s="6">
        <f>AE35*1500</f>
        <v>1044000</v>
      </c>
      <c r="AG35" s="6">
        <f>89*12</f>
        <v>1068</v>
      </c>
      <c r="AH35" s="6">
        <f>AG35*1500</f>
        <v>1602000</v>
      </c>
      <c r="AI35" s="6">
        <f>38*12</f>
        <v>456</v>
      </c>
      <c r="AJ35" s="6">
        <f>AI35*1500</f>
        <v>684000</v>
      </c>
      <c r="AK35" s="6">
        <f>71*12</f>
        <v>852</v>
      </c>
      <c r="AL35" s="6">
        <f>AK35*1500</f>
        <v>1278000</v>
      </c>
      <c r="AM35" s="6">
        <f>34*12</f>
        <v>408</v>
      </c>
      <c r="AN35" s="6">
        <f>AM35*1500</f>
        <v>612000</v>
      </c>
      <c r="AO35" s="6">
        <f>100*12</f>
        <v>1200</v>
      </c>
      <c r="AP35" s="6">
        <f>AO35*1500</f>
        <v>1800000</v>
      </c>
      <c r="AQ35" s="6">
        <f>8*12</f>
        <v>96</v>
      </c>
      <c r="AR35" s="6">
        <f>AQ35*1500</f>
        <v>144000</v>
      </c>
      <c r="AS35" s="6">
        <f>32*12</f>
        <v>384</v>
      </c>
      <c r="AT35" s="6">
        <v>576000</v>
      </c>
      <c r="AU35" s="6">
        <f>50*12</f>
        <v>600</v>
      </c>
      <c r="AV35" s="6">
        <f>AU35*1500</f>
        <v>900000</v>
      </c>
      <c r="AW35" s="6">
        <f>50*12</f>
        <v>600</v>
      </c>
      <c r="AX35" s="6">
        <f>AW35*1500</f>
        <v>900000</v>
      </c>
      <c r="AY35" s="6">
        <f>72*12</f>
        <v>864</v>
      </c>
      <c r="AZ35" s="6">
        <f>AY35*1500</f>
        <v>1296000</v>
      </c>
      <c r="BA35" s="30">
        <f>75*12</f>
        <v>900</v>
      </c>
      <c r="BB35" s="6">
        <f>BA35*1500</f>
        <v>1350000</v>
      </c>
      <c r="BC35" s="6">
        <f>73*12</f>
        <v>876</v>
      </c>
      <c r="BD35" s="6">
        <f>BC35*1500</f>
        <v>1314000</v>
      </c>
      <c r="BE35" s="6">
        <f>137*12</f>
        <v>1644</v>
      </c>
      <c r="BF35" s="6">
        <f>BE35*1500</f>
        <v>2466000</v>
      </c>
      <c r="BG35" s="6">
        <f>54*12</f>
        <v>648</v>
      </c>
      <c r="BH35" s="6">
        <f>BG35*1500</f>
        <v>972000</v>
      </c>
      <c r="BI35" s="30">
        <v>0</v>
      </c>
      <c r="BJ35" s="6">
        <f t="shared" si="2"/>
        <v>0</v>
      </c>
      <c r="BK35" s="6">
        <f t="shared" ref="BK35:BL44" si="41">AA35+AC35+AE35+AG35+AI35+AK35+AM35+AO35+AQ35+AS35+AU35+AW35+AY35+BA35+BC35+BE35+BG35+BI35</f>
        <v>12144</v>
      </c>
      <c r="BL35" s="6">
        <f t="shared" si="41"/>
        <v>18216000</v>
      </c>
      <c r="BM35" s="154" t="s">
        <v>210</v>
      </c>
      <c r="BO35" s="6">
        <f>SUM(BO26:BO28)</f>
        <v>0</v>
      </c>
      <c r="BP35" s="6">
        <f t="shared" ref="BP35:BP44" si="42">BL35</f>
        <v>18216000</v>
      </c>
      <c r="BQ35" s="6"/>
      <c r="BR35" s="6">
        <f>SUM(BR26:BR34)</f>
        <v>0</v>
      </c>
      <c r="BS35" s="6">
        <f t="shared" ref="BS35:BS44" si="43">BR35+BQ35+BP35+BO35</f>
        <v>18216000</v>
      </c>
      <c r="BT35" s="6">
        <f>SUM(BT26:BT34)</f>
        <v>0</v>
      </c>
      <c r="BU35" s="6">
        <f>SUM(BU26:BU34)</f>
        <v>0</v>
      </c>
      <c r="BV35" s="6">
        <f>SUM(BV26:BV34)</f>
        <v>0</v>
      </c>
      <c r="BW35" s="6">
        <f t="shared" ref="BW35:BW44" si="44">BV35+BS35</f>
        <v>18216000</v>
      </c>
    </row>
    <row r="36" spans="2:75" x14ac:dyDescent="0.25">
      <c r="B36" s="721"/>
      <c r="C36" s="161" t="s">
        <v>711</v>
      </c>
      <c r="D36" s="129" t="s">
        <v>488</v>
      </c>
      <c r="E36" s="154" t="s">
        <v>515</v>
      </c>
      <c r="F36" s="130" t="s">
        <v>396</v>
      </c>
      <c r="G36" s="159">
        <f t="shared" si="29"/>
        <v>2032</v>
      </c>
      <c r="H36" s="6">
        <f t="shared" si="30"/>
        <v>6096000</v>
      </c>
      <c r="I36" s="6">
        <f t="shared" si="31"/>
        <v>1219200</v>
      </c>
      <c r="J36" s="6">
        <f t="shared" si="32"/>
        <v>4876800</v>
      </c>
      <c r="K36" s="6"/>
      <c r="L36" s="6"/>
      <c r="M36" s="6"/>
      <c r="N36" s="6"/>
      <c r="O36" s="6"/>
      <c r="P36" s="6"/>
      <c r="Q36" s="6"/>
      <c r="R36" s="6"/>
      <c r="S36" s="6">
        <f t="shared" si="33"/>
        <v>508</v>
      </c>
      <c r="T36" s="6">
        <f t="shared" si="34"/>
        <v>508</v>
      </c>
      <c r="U36" s="6">
        <f t="shared" si="35"/>
        <v>508</v>
      </c>
      <c r="V36" s="6">
        <f t="shared" si="36"/>
        <v>508</v>
      </c>
      <c r="W36" s="6">
        <f t="shared" si="37"/>
        <v>1524000</v>
      </c>
      <c r="X36" s="6">
        <f t="shared" si="38"/>
        <v>1524000</v>
      </c>
      <c r="Y36" s="148">
        <f t="shared" si="39"/>
        <v>1524000</v>
      </c>
      <c r="Z36" s="148">
        <f t="shared" si="40"/>
        <v>1524000</v>
      </c>
      <c r="AA36" s="6">
        <v>96</v>
      </c>
      <c r="AB36" s="6">
        <f t="shared" ref="AB36:AB41" si="45">AA36*F36</f>
        <v>288000</v>
      </c>
      <c r="AC36" s="6">
        <v>46</v>
      </c>
      <c r="AD36" s="6">
        <f t="shared" ref="AD36:AD41" si="46">AC36*F36</f>
        <v>138000</v>
      </c>
      <c r="AE36" s="6">
        <f>58*2</f>
        <v>116</v>
      </c>
      <c r="AF36" s="6">
        <f t="shared" ref="AF36:AF42" si="47">AE36*F36</f>
        <v>348000</v>
      </c>
      <c r="AG36" s="6">
        <f>89*2</f>
        <v>178</v>
      </c>
      <c r="AH36" s="6">
        <f t="shared" ref="AH36:AH42" si="48">AG36*F36</f>
        <v>534000</v>
      </c>
      <c r="AI36" s="6">
        <f>38*2</f>
        <v>76</v>
      </c>
      <c r="AJ36" s="6">
        <f t="shared" ref="AJ36:AJ42" si="49">AI36*F36</f>
        <v>228000</v>
      </c>
      <c r="AK36" s="6">
        <f>71*2</f>
        <v>142</v>
      </c>
      <c r="AL36" s="6">
        <f t="shared" ref="AL36:AL42" si="50">AK36*F36</f>
        <v>426000</v>
      </c>
      <c r="AM36" s="6">
        <v>78</v>
      </c>
      <c r="AN36" s="6">
        <f t="shared" ref="AN36:AN41" si="51">AM36*F36</f>
        <v>234000</v>
      </c>
      <c r="AO36" s="6">
        <v>200</v>
      </c>
      <c r="AP36" s="6">
        <f t="shared" ref="AP36:AP41" si="52">AO36*F36</f>
        <v>600000</v>
      </c>
      <c r="AQ36" s="6">
        <v>16</v>
      </c>
      <c r="AR36" s="6">
        <f t="shared" ref="AR36:AR41" si="53">AQ36*F36</f>
        <v>48000</v>
      </c>
      <c r="AS36" s="6">
        <v>64</v>
      </c>
      <c r="AT36" s="6">
        <v>192000</v>
      </c>
      <c r="AU36" s="6">
        <v>100</v>
      </c>
      <c r="AV36" s="6">
        <f t="shared" ref="AV36:AV41" si="54">AU36*F36</f>
        <v>300000</v>
      </c>
      <c r="AW36" s="6">
        <v>100</v>
      </c>
      <c r="AX36" s="6">
        <f t="shared" ref="AX36:AX42" si="55">AW36*F36</f>
        <v>300000</v>
      </c>
      <c r="AY36" s="6">
        <f>72*2</f>
        <v>144</v>
      </c>
      <c r="AZ36" s="6">
        <f t="shared" ref="AZ36:AZ41" si="56">AY36*F36</f>
        <v>432000</v>
      </c>
      <c r="BA36" s="30">
        <v>150</v>
      </c>
      <c r="BB36" s="6">
        <f t="shared" ref="BB36:BB41" si="57">BA36*F36</f>
        <v>450000</v>
      </c>
      <c r="BC36" s="6">
        <v>146</v>
      </c>
      <c r="BD36" s="6">
        <f t="shared" ref="BD36:BD41" si="58">BC36*F36</f>
        <v>438000</v>
      </c>
      <c r="BE36" s="6">
        <v>272</v>
      </c>
      <c r="BF36" s="6">
        <f t="shared" ref="BF36:BF41" si="59">BE36*F36</f>
        <v>816000</v>
      </c>
      <c r="BG36" s="6">
        <v>108</v>
      </c>
      <c r="BH36" s="6">
        <f t="shared" ref="BH36:BH42" si="60">BG36*F36</f>
        <v>324000</v>
      </c>
      <c r="BI36" s="30"/>
      <c r="BJ36" s="6">
        <f t="shared" si="2"/>
        <v>0</v>
      </c>
      <c r="BK36" s="6">
        <f t="shared" si="41"/>
        <v>2032</v>
      </c>
      <c r="BL36" s="6">
        <f t="shared" si="41"/>
        <v>6096000</v>
      </c>
      <c r="BM36" s="154" t="s">
        <v>210</v>
      </c>
      <c r="BO36" s="65"/>
      <c r="BP36" s="6">
        <f t="shared" si="42"/>
        <v>6096000</v>
      </c>
      <c r="BQ36" s="65"/>
      <c r="BR36" s="65"/>
      <c r="BS36" s="6">
        <f t="shared" si="43"/>
        <v>6096000</v>
      </c>
      <c r="BT36" s="65"/>
      <c r="BU36" s="65"/>
      <c r="BV36" s="65"/>
      <c r="BW36" s="6">
        <f t="shared" si="44"/>
        <v>6096000</v>
      </c>
    </row>
    <row r="37" spans="2:75" s="548" customFormat="1" x14ac:dyDescent="0.25">
      <c r="B37" s="721"/>
      <c r="C37" s="161" t="s">
        <v>712</v>
      </c>
      <c r="D37" s="129" t="s">
        <v>953</v>
      </c>
      <c r="E37" s="154" t="s">
        <v>64</v>
      </c>
      <c r="F37" s="130">
        <v>25000</v>
      </c>
      <c r="G37" s="159">
        <f>BK37</f>
        <v>70</v>
      </c>
      <c r="H37" s="6">
        <f>BL37</f>
        <v>1750000</v>
      </c>
      <c r="I37" s="6">
        <f>H37*0.2</f>
        <v>350000</v>
      </c>
      <c r="J37" s="6">
        <f>H37*0.8</f>
        <v>1400000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148"/>
      <c r="Z37" s="148"/>
      <c r="AA37" s="6">
        <v>4</v>
      </c>
      <c r="AB37" s="6">
        <f t="shared" si="45"/>
        <v>100000</v>
      </c>
      <c r="AC37" s="6">
        <v>4</v>
      </c>
      <c r="AD37" s="6">
        <f t="shared" si="46"/>
        <v>100000</v>
      </c>
      <c r="AE37" s="6">
        <v>4</v>
      </c>
      <c r="AF37" s="6">
        <f t="shared" si="47"/>
        <v>100000</v>
      </c>
      <c r="AG37" s="6">
        <v>4</v>
      </c>
      <c r="AH37" s="6">
        <f t="shared" si="48"/>
        <v>100000</v>
      </c>
      <c r="AI37" s="6">
        <v>4</v>
      </c>
      <c r="AJ37" s="6">
        <f t="shared" si="49"/>
        <v>100000</v>
      </c>
      <c r="AK37" s="6">
        <v>4</v>
      </c>
      <c r="AL37" s="6">
        <f t="shared" si="50"/>
        <v>100000</v>
      </c>
      <c r="AM37" s="6">
        <v>4</v>
      </c>
      <c r="AN37" s="6">
        <f t="shared" si="51"/>
        <v>100000</v>
      </c>
      <c r="AO37" s="6">
        <v>6</v>
      </c>
      <c r="AP37" s="6">
        <f t="shared" si="52"/>
        <v>150000</v>
      </c>
      <c r="AQ37" s="6">
        <v>2</v>
      </c>
      <c r="AR37" s="6">
        <f t="shared" si="53"/>
        <v>50000</v>
      </c>
      <c r="AS37" s="6">
        <v>4</v>
      </c>
      <c r="AT37" s="6">
        <f t="shared" ref="AT37:AT41" si="61">AS37*F37</f>
        <v>100000</v>
      </c>
      <c r="AU37" s="6">
        <v>4</v>
      </c>
      <c r="AV37" s="6">
        <f t="shared" si="54"/>
        <v>100000</v>
      </c>
      <c r="AW37" s="6">
        <v>4</v>
      </c>
      <c r="AX37" s="6">
        <f t="shared" si="55"/>
        <v>100000</v>
      </c>
      <c r="AY37" s="6">
        <v>4</v>
      </c>
      <c r="AZ37" s="6">
        <f t="shared" si="56"/>
        <v>100000</v>
      </c>
      <c r="BA37" s="30">
        <v>4</v>
      </c>
      <c r="BB37" s="6">
        <f t="shared" si="57"/>
        <v>100000</v>
      </c>
      <c r="BC37" s="6">
        <v>4</v>
      </c>
      <c r="BD37" s="6">
        <f t="shared" si="58"/>
        <v>100000</v>
      </c>
      <c r="BE37" s="6">
        <v>6</v>
      </c>
      <c r="BF37" s="6">
        <f t="shared" si="59"/>
        <v>150000</v>
      </c>
      <c r="BG37" s="6">
        <v>4</v>
      </c>
      <c r="BH37" s="6">
        <f t="shared" si="60"/>
        <v>100000</v>
      </c>
      <c r="BI37" s="30"/>
      <c r="BJ37" s="6"/>
      <c r="BK37" s="6">
        <f>AA37+AC37+AE37+AG37+AI37+AK37+AM37+AO37+AQ37+AS37+AU37+AW37+AY37+BA37+BC37+BE37+BG37+BI37</f>
        <v>70</v>
      </c>
      <c r="BL37" s="6">
        <f>AB37+AD37+AF37+AH37+AJ37+AL37+AN37+AP37+AR37+AT37+AV37+AX37+AZ37+BB37+BD37+BF37+BH37+BJ37</f>
        <v>1750000</v>
      </c>
      <c r="BM37" s="154" t="s">
        <v>210</v>
      </c>
      <c r="BO37" s="65"/>
      <c r="BP37" s="6">
        <f t="shared" si="42"/>
        <v>1750000</v>
      </c>
      <c r="BQ37" s="65"/>
      <c r="BR37" s="65"/>
      <c r="BS37" s="6">
        <f t="shared" si="43"/>
        <v>1750000</v>
      </c>
      <c r="BT37" s="65"/>
      <c r="BU37" s="65"/>
      <c r="BV37" s="65"/>
      <c r="BW37" s="6">
        <f t="shared" si="44"/>
        <v>1750000</v>
      </c>
    </row>
    <row r="38" spans="2:75" s="548" customFormat="1" ht="31.5" x14ac:dyDescent="0.25">
      <c r="B38" s="721"/>
      <c r="C38" s="161" t="s">
        <v>713</v>
      </c>
      <c r="D38" s="129" t="s">
        <v>489</v>
      </c>
      <c r="E38" s="129" t="s">
        <v>494</v>
      </c>
      <c r="F38" s="130">
        <v>150</v>
      </c>
      <c r="G38" s="159">
        <f t="shared" si="29"/>
        <v>2992</v>
      </c>
      <c r="H38" s="6">
        <f t="shared" si="30"/>
        <v>448800</v>
      </c>
      <c r="I38" s="6">
        <f t="shared" si="31"/>
        <v>89760</v>
      </c>
      <c r="J38" s="6">
        <f t="shared" si="32"/>
        <v>359040</v>
      </c>
      <c r="K38" s="6"/>
      <c r="L38" s="6"/>
      <c r="M38" s="6"/>
      <c r="N38" s="6"/>
      <c r="O38" s="6"/>
      <c r="P38" s="6"/>
      <c r="Q38" s="6"/>
      <c r="R38" s="6"/>
      <c r="S38" s="6">
        <f t="shared" si="33"/>
        <v>748</v>
      </c>
      <c r="T38" s="6">
        <f t="shared" si="34"/>
        <v>748</v>
      </c>
      <c r="U38" s="6">
        <f t="shared" si="35"/>
        <v>748</v>
      </c>
      <c r="V38" s="6">
        <f t="shared" si="36"/>
        <v>748</v>
      </c>
      <c r="W38" s="6">
        <f t="shared" si="37"/>
        <v>112200</v>
      </c>
      <c r="X38" s="6">
        <f t="shared" si="38"/>
        <v>112200</v>
      </c>
      <c r="Y38" s="148">
        <f t="shared" si="39"/>
        <v>112200</v>
      </c>
      <c r="Z38" s="148">
        <f t="shared" si="40"/>
        <v>112200</v>
      </c>
      <c r="AA38" s="6">
        <f>48*3</f>
        <v>144</v>
      </c>
      <c r="AB38" s="6">
        <f t="shared" si="45"/>
        <v>21600</v>
      </c>
      <c r="AC38" s="6">
        <f>23*3</f>
        <v>69</v>
      </c>
      <c r="AD38" s="6">
        <f t="shared" si="46"/>
        <v>10350</v>
      </c>
      <c r="AE38" s="6">
        <f>50*3</f>
        <v>150</v>
      </c>
      <c r="AF38" s="6">
        <f t="shared" si="47"/>
        <v>22500</v>
      </c>
      <c r="AG38" s="6">
        <f>71*3</f>
        <v>213</v>
      </c>
      <c r="AH38" s="6">
        <f t="shared" si="48"/>
        <v>31950</v>
      </c>
      <c r="AI38" s="6">
        <f>38*3</f>
        <v>114</v>
      </c>
      <c r="AJ38" s="6">
        <f t="shared" si="49"/>
        <v>17100</v>
      </c>
      <c r="AK38" s="6">
        <f>71*3</f>
        <v>213</v>
      </c>
      <c r="AL38" s="6">
        <f t="shared" si="50"/>
        <v>31950</v>
      </c>
      <c r="AM38" s="6">
        <f>38*3</f>
        <v>114</v>
      </c>
      <c r="AN38" s="6">
        <f t="shared" si="51"/>
        <v>17100</v>
      </c>
      <c r="AO38" s="6">
        <f>100*3</f>
        <v>300</v>
      </c>
      <c r="AP38" s="6">
        <f t="shared" si="52"/>
        <v>45000</v>
      </c>
      <c r="AQ38" s="6">
        <f>8*5</f>
        <v>40</v>
      </c>
      <c r="AR38" s="6">
        <f t="shared" si="53"/>
        <v>6000</v>
      </c>
      <c r="AS38" s="6">
        <f>34*3</f>
        <v>102</v>
      </c>
      <c r="AT38" s="6">
        <f t="shared" si="61"/>
        <v>15300</v>
      </c>
      <c r="AU38" s="6">
        <f>50*3</f>
        <v>150</v>
      </c>
      <c r="AV38" s="6">
        <f t="shared" si="54"/>
        <v>22500</v>
      </c>
      <c r="AW38" s="6">
        <f>50*3</f>
        <v>150</v>
      </c>
      <c r="AX38" s="6">
        <f t="shared" si="55"/>
        <v>22500</v>
      </c>
      <c r="AY38" s="6">
        <f>73*3</f>
        <v>219</v>
      </c>
      <c r="AZ38" s="6">
        <f t="shared" si="56"/>
        <v>32850</v>
      </c>
      <c r="BA38" s="6">
        <f>75*3</f>
        <v>225</v>
      </c>
      <c r="BB38" s="6">
        <f t="shared" si="57"/>
        <v>33750</v>
      </c>
      <c r="BC38" s="6">
        <f>73*3</f>
        <v>219</v>
      </c>
      <c r="BD38" s="6">
        <f t="shared" si="58"/>
        <v>32850</v>
      </c>
      <c r="BE38" s="6">
        <f>136*3</f>
        <v>408</v>
      </c>
      <c r="BF38" s="6">
        <f t="shared" si="59"/>
        <v>61200</v>
      </c>
      <c r="BG38" s="6">
        <f>54*3</f>
        <v>162</v>
      </c>
      <c r="BH38" s="6">
        <f t="shared" si="60"/>
        <v>24300</v>
      </c>
      <c r="BI38" s="30"/>
      <c r="BJ38" s="6">
        <f t="shared" si="2"/>
        <v>0</v>
      </c>
      <c r="BK38" s="6">
        <f t="shared" si="41"/>
        <v>2992</v>
      </c>
      <c r="BL38" s="6">
        <f t="shared" si="41"/>
        <v>448800</v>
      </c>
      <c r="BM38" s="154" t="s">
        <v>210</v>
      </c>
      <c r="BO38" s="65"/>
      <c r="BP38" s="6">
        <f t="shared" si="42"/>
        <v>448800</v>
      </c>
      <c r="BQ38" s="65"/>
      <c r="BR38" s="65"/>
      <c r="BS38" s="6">
        <f t="shared" si="43"/>
        <v>448800</v>
      </c>
      <c r="BT38" s="65"/>
      <c r="BU38" s="65"/>
      <c r="BV38" s="65"/>
      <c r="BW38" s="6">
        <f t="shared" si="44"/>
        <v>448800</v>
      </c>
    </row>
    <row r="39" spans="2:75" ht="31.5" x14ac:dyDescent="0.25">
      <c r="B39" s="721"/>
      <c r="C39" s="161" t="s">
        <v>714</v>
      </c>
      <c r="D39" s="129" t="s">
        <v>975</v>
      </c>
      <c r="E39" s="129" t="s">
        <v>494</v>
      </c>
      <c r="F39" s="130">
        <v>1000</v>
      </c>
      <c r="G39" s="159">
        <f t="shared" si="29"/>
        <v>3280</v>
      </c>
      <c r="H39" s="6">
        <f>F39*G39</f>
        <v>3280000</v>
      </c>
      <c r="I39" s="6">
        <f t="shared" si="31"/>
        <v>656000</v>
      </c>
      <c r="J39" s="6">
        <f t="shared" si="32"/>
        <v>2624000</v>
      </c>
      <c r="K39" s="6"/>
      <c r="L39" s="6"/>
      <c r="M39" s="6"/>
      <c r="N39" s="6"/>
      <c r="O39" s="6"/>
      <c r="P39" s="6"/>
      <c r="Q39" s="6"/>
      <c r="R39" s="6"/>
      <c r="S39" s="6">
        <f t="shared" si="33"/>
        <v>820</v>
      </c>
      <c r="T39" s="6">
        <f t="shared" si="34"/>
        <v>820</v>
      </c>
      <c r="U39" s="6">
        <f t="shared" si="35"/>
        <v>820</v>
      </c>
      <c r="V39" s="6">
        <f t="shared" si="36"/>
        <v>820</v>
      </c>
      <c r="W39" s="6">
        <f t="shared" si="37"/>
        <v>820000</v>
      </c>
      <c r="X39" s="6">
        <f t="shared" si="38"/>
        <v>820000</v>
      </c>
      <c r="Y39" s="148">
        <f t="shared" si="39"/>
        <v>820000</v>
      </c>
      <c r="Z39" s="148">
        <f t="shared" si="40"/>
        <v>820000</v>
      </c>
      <c r="AA39" s="6">
        <v>250</v>
      </c>
      <c r="AB39" s="6">
        <f t="shared" si="45"/>
        <v>250000</v>
      </c>
      <c r="AC39" s="6">
        <v>0</v>
      </c>
      <c r="AD39" s="6">
        <f t="shared" si="46"/>
        <v>0</v>
      </c>
      <c r="AE39" s="6">
        <v>300</v>
      </c>
      <c r="AF39" s="6">
        <f t="shared" si="47"/>
        <v>300000</v>
      </c>
      <c r="AG39" s="6">
        <v>500</v>
      </c>
      <c r="AH39" s="6">
        <f t="shared" si="48"/>
        <v>500000</v>
      </c>
      <c r="AI39" s="6">
        <v>150</v>
      </c>
      <c r="AJ39" s="6">
        <f t="shared" si="49"/>
        <v>150000</v>
      </c>
      <c r="AK39" s="6">
        <v>200</v>
      </c>
      <c r="AL39" s="6">
        <f t="shared" si="50"/>
        <v>200000</v>
      </c>
      <c r="AM39" s="6">
        <v>102</v>
      </c>
      <c r="AN39" s="6">
        <f t="shared" si="51"/>
        <v>102000</v>
      </c>
      <c r="AO39" s="6">
        <v>200</v>
      </c>
      <c r="AP39" s="6">
        <f t="shared" si="52"/>
        <v>200000</v>
      </c>
      <c r="AQ39" s="6">
        <v>24</v>
      </c>
      <c r="AR39" s="6">
        <f t="shared" si="53"/>
        <v>24000</v>
      </c>
      <c r="AS39" s="6">
        <v>180</v>
      </c>
      <c r="AT39" s="6">
        <f t="shared" si="61"/>
        <v>180000</v>
      </c>
      <c r="AU39" s="6">
        <v>140</v>
      </c>
      <c r="AV39" s="6">
        <f t="shared" si="54"/>
        <v>140000</v>
      </c>
      <c r="AW39" s="6">
        <v>140</v>
      </c>
      <c r="AX39" s="6">
        <f t="shared" si="55"/>
        <v>140000</v>
      </c>
      <c r="AY39" s="6">
        <v>0</v>
      </c>
      <c r="AZ39" s="6">
        <f t="shared" si="56"/>
        <v>0</v>
      </c>
      <c r="BA39" s="30">
        <v>200</v>
      </c>
      <c r="BB39" s="6">
        <f t="shared" si="57"/>
        <v>200000</v>
      </c>
      <c r="BC39" s="6">
        <v>250</v>
      </c>
      <c r="BD39" s="6">
        <f t="shared" si="58"/>
        <v>250000</v>
      </c>
      <c r="BE39" s="6">
        <v>544</v>
      </c>
      <c r="BF39" s="6">
        <f t="shared" si="59"/>
        <v>544000</v>
      </c>
      <c r="BG39" s="6">
        <v>100</v>
      </c>
      <c r="BH39" s="6">
        <f t="shared" si="60"/>
        <v>100000</v>
      </c>
      <c r="BI39" s="30"/>
      <c r="BJ39" s="6">
        <f t="shared" si="2"/>
        <v>0</v>
      </c>
      <c r="BK39" s="6">
        <f t="shared" si="41"/>
        <v>3280</v>
      </c>
      <c r="BL39" s="6">
        <f t="shared" si="41"/>
        <v>3280000</v>
      </c>
      <c r="BM39" s="154" t="s">
        <v>210</v>
      </c>
      <c r="BO39" s="65"/>
      <c r="BP39" s="6">
        <f t="shared" si="42"/>
        <v>3280000</v>
      </c>
      <c r="BQ39" s="65"/>
      <c r="BR39" s="65"/>
      <c r="BS39" s="6">
        <f t="shared" si="43"/>
        <v>3280000</v>
      </c>
      <c r="BT39" s="65"/>
      <c r="BU39" s="65"/>
      <c r="BV39" s="65"/>
      <c r="BW39" s="6">
        <f t="shared" si="44"/>
        <v>3280000</v>
      </c>
    </row>
    <row r="40" spans="2:75" ht="31.5" x14ac:dyDescent="0.25">
      <c r="B40" s="721"/>
      <c r="C40" s="161" t="s">
        <v>715</v>
      </c>
      <c r="D40" s="129" t="s">
        <v>650</v>
      </c>
      <c r="E40" s="129"/>
      <c r="F40" s="130">
        <v>1500</v>
      </c>
      <c r="G40" s="159">
        <f>BK40</f>
        <v>0</v>
      </c>
      <c r="H40" s="6">
        <f>BL40</f>
        <v>0</v>
      </c>
      <c r="I40" s="6">
        <f t="shared" si="31"/>
        <v>0</v>
      </c>
      <c r="J40" s="6">
        <f t="shared" si="32"/>
        <v>0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148"/>
      <c r="Z40" s="148"/>
      <c r="AA40" s="6">
        <v>0</v>
      </c>
      <c r="AB40" s="6">
        <f t="shared" si="45"/>
        <v>0</v>
      </c>
      <c r="AC40" s="6">
        <v>0</v>
      </c>
      <c r="AD40" s="6">
        <f t="shared" si="46"/>
        <v>0</v>
      </c>
      <c r="AE40" s="6">
        <v>0</v>
      </c>
      <c r="AF40" s="6">
        <f t="shared" si="47"/>
        <v>0</v>
      </c>
      <c r="AG40" s="6">
        <v>0</v>
      </c>
      <c r="AH40" s="6">
        <f t="shared" si="48"/>
        <v>0</v>
      </c>
      <c r="AI40" s="6">
        <v>0</v>
      </c>
      <c r="AJ40" s="6">
        <f t="shared" si="49"/>
        <v>0</v>
      </c>
      <c r="AK40" s="6">
        <v>0</v>
      </c>
      <c r="AL40" s="6">
        <f t="shared" si="50"/>
        <v>0</v>
      </c>
      <c r="AM40" s="6">
        <v>0</v>
      </c>
      <c r="AN40" s="6">
        <f t="shared" si="51"/>
        <v>0</v>
      </c>
      <c r="AO40" s="6">
        <v>0</v>
      </c>
      <c r="AP40" s="6">
        <f t="shared" si="52"/>
        <v>0</v>
      </c>
      <c r="AQ40" s="6">
        <v>0</v>
      </c>
      <c r="AR40" s="6">
        <f t="shared" si="53"/>
        <v>0</v>
      </c>
      <c r="AS40" s="6">
        <v>0</v>
      </c>
      <c r="AT40" s="6">
        <f t="shared" si="61"/>
        <v>0</v>
      </c>
      <c r="AU40" s="6">
        <v>0</v>
      </c>
      <c r="AV40" s="6">
        <f t="shared" si="54"/>
        <v>0</v>
      </c>
      <c r="AW40" s="6">
        <v>0</v>
      </c>
      <c r="AX40" s="6">
        <f t="shared" si="55"/>
        <v>0</v>
      </c>
      <c r="AY40" s="6">
        <v>0</v>
      </c>
      <c r="AZ40" s="6">
        <f t="shared" si="56"/>
        <v>0</v>
      </c>
      <c r="BA40" s="30">
        <v>0</v>
      </c>
      <c r="BB40" s="6">
        <f t="shared" si="57"/>
        <v>0</v>
      </c>
      <c r="BC40" s="6">
        <v>0</v>
      </c>
      <c r="BD40" s="6">
        <f t="shared" si="58"/>
        <v>0</v>
      </c>
      <c r="BE40" s="6">
        <v>0</v>
      </c>
      <c r="BF40" s="6">
        <f t="shared" si="59"/>
        <v>0</v>
      </c>
      <c r="BG40" s="6">
        <v>0</v>
      </c>
      <c r="BH40" s="6">
        <f t="shared" si="60"/>
        <v>0</v>
      </c>
      <c r="BI40" s="30"/>
      <c r="BJ40" s="6">
        <f t="shared" si="2"/>
        <v>0</v>
      </c>
      <c r="BK40" s="6">
        <f t="shared" ref="BK40:BL42" si="62">AA40+AC40+AE40+AG40+AI40+AK40+AM40+AO40+AQ40+AS40+AU40+AW40+AY40+BA40+BC40+BE40+BG40+BI40</f>
        <v>0</v>
      </c>
      <c r="BL40" s="6">
        <f t="shared" si="62"/>
        <v>0</v>
      </c>
      <c r="BM40" s="154" t="s">
        <v>210</v>
      </c>
      <c r="BO40" s="65"/>
      <c r="BP40" s="6">
        <f t="shared" si="42"/>
        <v>0</v>
      </c>
      <c r="BQ40" s="65"/>
      <c r="BR40" s="65"/>
      <c r="BS40" s="6">
        <f t="shared" si="43"/>
        <v>0</v>
      </c>
      <c r="BT40" s="65"/>
      <c r="BU40" s="65"/>
      <c r="BV40" s="65"/>
      <c r="BW40" s="6">
        <f t="shared" si="44"/>
        <v>0</v>
      </c>
    </row>
    <row r="41" spans="2:75" ht="47.25" x14ac:dyDescent="0.25">
      <c r="B41" s="721"/>
      <c r="C41" s="161" t="s">
        <v>716</v>
      </c>
      <c r="D41" s="129" t="s">
        <v>882</v>
      </c>
      <c r="E41" s="129"/>
      <c r="F41" s="130">
        <v>1500</v>
      </c>
      <c r="G41" s="159">
        <f>BK41</f>
        <v>1011</v>
      </c>
      <c r="H41" s="6">
        <f>BL41</f>
        <v>1516500</v>
      </c>
      <c r="I41" s="6">
        <f>H41*0.2</f>
        <v>303300</v>
      </c>
      <c r="J41" s="6">
        <f>H41*0.8</f>
        <v>1213200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148"/>
      <c r="Z41" s="148"/>
      <c r="AA41" s="6">
        <v>48</v>
      </c>
      <c r="AB41" s="6">
        <f t="shared" si="45"/>
        <v>72000</v>
      </c>
      <c r="AC41" s="6">
        <v>23</v>
      </c>
      <c r="AD41" s="6">
        <f t="shared" si="46"/>
        <v>34500</v>
      </c>
      <c r="AE41" s="6">
        <v>58</v>
      </c>
      <c r="AF41" s="6">
        <f t="shared" si="47"/>
        <v>87000</v>
      </c>
      <c r="AG41" s="6">
        <v>89</v>
      </c>
      <c r="AH41" s="6">
        <f t="shared" si="48"/>
        <v>133500</v>
      </c>
      <c r="AI41" s="6">
        <v>38</v>
      </c>
      <c r="AJ41" s="6">
        <f t="shared" si="49"/>
        <v>57000</v>
      </c>
      <c r="AK41" s="6">
        <v>71</v>
      </c>
      <c r="AL41" s="6">
        <f t="shared" si="50"/>
        <v>106500</v>
      </c>
      <c r="AM41" s="6">
        <v>34</v>
      </c>
      <c r="AN41" s="6">
        <f t="shared" si="51"/>
        <v>51000</v>
      </c>
      <c r="AO41" s="6">
        <v>100</v>
      </c>
      <c r="AP41" s="6">
        <f t="shared" si="52"/>
        <v>150000</v>
      </c>
      <c r="AQ41" s="6">
        <v>8</v>
      </c>
      <c r="AR41" s="6">
        <f t="shared" si="53"/>
        <v>12000</v>
      </c>
      <c r="AS41" s="6">
        <v>32</v>
      </c>
      <c r="AT41" s="6">
        <f t="shared" si="61"/>
        <v>48000</v>
      </c>
      <c r="AU41" s="6">
        <v>50</v>
      </c>
      <c r="AV41" s="6">
        <f t="shared" si="54"/>
        <v>75000</v>
      </c>
      <c r="AW41" s="6">
        <v>50</v>
      </c>
      <c r="AX41" s="6">
        <f t="shared" si="55"/>
        <v>75000</v>
      </c>
      <c r="AY41" s="6">
        <v>72</v>
      </c>
      <c r="AZ41" s="6">
        <f t="shared" si="56"/>
        <v>108000</v>
      </c>
      <c r="BA41" s="30">
        <v>75</v>
      </c>
      <c r="BB41" s="6">
        <f t="shared" si="57"/>
        <v>112500</v>
      </c>
      <c r="BC41" s="6">
        <v>73</v>
      </c>
      <c r="BD41" s="6">
        <f t="shared" si="58"/>
        <v>109500</v>
      </c>
      <c r="BE41" s="6">
        <v>136</v>
      </c>
      <c r="BF41" s="6">
        <f t="shared" si="59"/>
        <v>204000</v>
      </c>
      <c r="BG41" s="6">
        <v>54</v>
      </c>
      <c r="BH41" s="6">
        <f t="shared" si="60"/>
        <v>81000</v>
      </c>
      <c r="BI41" s="30"/>
      <c r="BJ41" s="6">
        <f t="shared" si="2"/>
        <v>0</v>
      </c>
      <c r="BK41" s="6">
        <f t="shared" si="62"/>
        <v>1011</v>
      </c>
      <c r="BL41" s="6">
        <f t="shared" si="62"/>
        <v>1516500</v>
      </c>
      <c r="BM41" s="154" t="s">
        <v>210</v>
      </c>
      <c r="BO41" s="65"/>
      <c r="BP41" s="6">
        <f t="shared" si="42"/>
        <v>1516500</v>
      </c>
      <c r="BQ41" s="65"/>
      <c r="BR41" s="65"/>
      <c r="BS41" s="6">
        <f t="shared" si="43"/>
        <v>1516500</v>
      </c>
      <c r="BT41" s="65"/>
      <c r="BU41" s="65"/>
      <c r="BV41" s="65"/>
      <c r="BW41" s="6">
        <f t="shared" si="44"/>
        <v>1516500</v>
      </c>
    </row>
    <row r="42" spans="2:75" x14ac:dyDescent="0.25">
      <c r="B42" s="721"/>
      <c r="C42" s="161" t="s">
        <v>717</v>
      </c>
      <c r="D42" s="129" t="s">
        <v>651</v>
      </c>
      <c r="E42" s="129"/>
      <c r="F42" s="130">
        <v>23000</v>
      </c>
      <c r="G42" s="159">
        <f>2*12</f>
        <v>24</v>
      </c>
      <c r="H42" s="6">
        <f>G42*F42</f>
        <v>552000</v>
      </c>
      <c r="I42" s="6">
        <f>H42*0.5</f>
        <v>276000</v>
      </c>
      <c r="J42" s="6">
        <f>H42*0.5</f>
        <v>276000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148"/>
      <c r="Z42" s="148"/>
      <c r="AA42" s="6"/>
      <c r="AB42" s="6"/>
      <c r="AC42" s="6"/>
      <c r="AD42" s="6"/>
      <c r="AE42" s="6">
        <v>0</v>
      </c>
      <c r="AF42" s="6">
        <f t="shared" si="47"/>
        <v>0</v>
      </c>
      <c r="AG42" s="6">
        <v>0</v>
      </c>
      <c r="AH42" s="6">
        <f t="shared" si="48"/>
        <v>0</v>
      </c>
      <c r="AI42" s="6">
        <v>0</v>
      </c>
      <c r="AJ42" s="6">
        <f t="shared" si="49"/>
        <v>0</v>
      </c>
      <c r="AK42" s="6">
        <v>0</v>
      </c>
      <c r="AL42" s="6">
        <f t="shared" si="50"/>
        <v>0</v>
      </c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>
        <v>0</v>
      </c>
      <c r="AX42" s="6">
        <f t="shared" si="55"/>
        <v>0</v>
      </c>
      <c r="AY42" s="6"/>
      <c r="AZ42" s="6"/>
      <c r="BA42" s="30">
        <v>0</v>
      </c>
      <c r="BB42" s="6"/>
      <c r="BC42" s="6"/>
      <c r="BD42" s="6"/>
      <c r="BE42" s="6"/>
      <c r="BF42" s="6"/>
      <c r="BG42" s="6">
        <v>0</v>
      </c>
      <c r="BH42" s="6">
        <f t="shared" si="60"/>
        <v>0</v>
      </c>
      <c r="BI42" s="30">
        <f>2*12</f>
        <v>24</v>
      </c>
      <c r="BJ42" s="6">
        <f t="shared" si="2"/>
        <v>552000</v>
      </c>
      <c r="BK42" s="6">
        <f t="shared" si="62"/>
        <v>24</v>
      </c>
      <c r="BL42" s="6">
        <f t="shared" si="62"/>
        <v>552000</v>
      </c>
      <c r="BM42" s="154" t="s">
        <v>885</v>
      </c>
      <c r="BO42" s="65"/>
      <c r="BP42" s="6">
        <f t="shared" si="42"/>
        <v>552000</v>
      </c>
      <c r="BQ42" s="65"/>
      <c r="BR42" s="65"/>
      <c r="BS42" s="6">
        <f t="shared" si="43"/>
        <v>552000</v>
      </c>
      <c r="BT42" s="65"/>
      <c r="BU42" s="65"/>
      <c r="BV42" s="65"/>
      <c r="BW42" s="6">
        <f t="shared" si="44"/>
        <v>552000</v>
      </c>
    </row>
    <row r="43" spans="2:75" x14ac:dyDescent="0.25">
      <c r="B43" s="721"/>
      <c r="C43" s="161" t="s">
        <v>718</v>
      </c>
      <c r="D43" s="129" t="s">
        <v>304</v>
      </c>
      <c r="E43" s="154" t="s">
        <v>32</v>
      </c>
      <c r="F43" s="130" t="s">
        <v>472</v>
      </c>
      <c r="G43" s="159">
        <f t="shared" si="29"/>
        <v>0</v>
      </c>
      <c r="H43" s="6">
        <f t="shared" si="30"/>
        <v>0</v>
      </c>
      <c r="I43" s="6">
        <f t="shared" si="31"/>
        <v>0</v>
      </c>
      <c r="J43" s="6">
        <f t="shared" si="32"/>
        <v>0</v>
      </c>
      <c r="K43" s="159"/>
      <c r="L43" s="6"/>
      <c r="M43" s="159"/>
      <c r="N43" s="6"/>
      <c r="O43" s="159"/>
      <c r="P43" s="6"/>
      <c r="Q43" s="159"/>
      <c r="R43" s="6"/>
      <c r="S43" s="159">
        <f t="shared" si="33"/>
        <v>0</v>
      </c>
      <c r="T43" s="6">
        <f t="shared" si="34"/>
        <v>0</v>
      </c>
      <c r="U43" s="159">
        <f t="shared" si="35"/>
        <v>0</v>
      </c>
      <c r="V43" s="6">
        <f t="shared" si="36"/>
        <v>0</v>
      </c>
      <c r="W43" s="159">
        <f t="shared" si="37"/>
        <v>0</v>
      </c>
      <c r="X43" s="6">
        <f t="shared" si="38"/>
        <v>0</v>
      </c>
      <c r="Y43" s="159">
        <f t="shared" si="39"/>
        <v>0</v>
      </c>
      <c r="Z43" s="6">
        <f t="shared" si="40"/>
        <v>0</v>
      </c>
      <c r="AA43" s="159">
        <f>CA43</f>
        <v>0</v>
      </c>
      <c r="AB43" s="6">
        <f>AA43*Z43</f>
        <v>0</v>
      </c>
      <c r="AC43" s="159">
        <f>CC43</f>
        <v>0</v>
      </c>
      <c r="AD43" s="6">
        <f>AC43*AB43</f>
        <v>0</v>
      </c>
      <c r="AE43" s="159">
        <f>CE43</f>
        <v>0</v>
      </c>
      <c r="AF43" s="6">
        <f>AE43*AD43</f>
        <v>0</v>
      </c>
      <c r="AG43" s="159">
        <f>CG43</f>
        <v>0</v>
      </c>
      <c r="AH43" s="6">
        <f>AG43*AF43</f>
        <v>0</v>
      </c>
      <c r="AI43" s="159">
        <v>0</v>
      </c>
      <c r="AJ43" s="6">
        <f>AI43*AH43</f>
        <v>0</v>
      </c>
      <c r="AK43" s="159">
        <f>CK43</f>
        <v>0</v>
      </c>
      <c r="AL43" s="6">
        <f>AK43*F43</f>
        <v>0</v>
      </c>
      <c r="AM43" s="6">
        <v>0</v>
      </c>
      <c r="AN43" s="6">
        <f>AM43*F43</f>
        <v>0</v>
      </c>
      <c r="AO43" s="6">
        <v>0</v>
      </c>
      <c r="AP43" s="6">
        <f>AO43*F43</f>
        <v>0</v>
      </c>
      <c r="AQ43" s="6">
        <v>0</v>
      </c>
      <c r="AR43" s="6">
        <f>AQ43*F43</f>
        <v>0</v>
      </c>
      <c r="AS43" s="6">
        <v>0</v>
      </c>
      <c r="AT43" s="6">
        <f>AS43*F43</f>
        <v>0</v>
      </c>
      <c r="AU43" s="6">
        <v>0</v>
      </c>
      <c r="AV43" s="6">
        <f>AU43*F43</f>
        <v>0</v>
      </c>
      <c r="AW43" s="6">
        <v>0</v>
      </c>
      <c r="AX43" s="6">
        <f>AW43*F43</f>
        <v>0</v>
      </c>
      <c r="AY43" s="6">
        <v>0</v>
      </c>
      <c r="AZ43" s="6">
        <f>AY43*F43</f>
        <v>0</v>
      </c>
      <c r="BA43" s="30">
        <v>0</v>
      </c>
      <c r="BB43" s="6">
        <f>BA43*F43</f>
        <v>0</v>
      </c>
      <c r="BC43" s="6">
        <v>0</v>
      </c>
      <c r="BD43" s="6">
        <f>BC43*F43</f>
        <v>0</v>
      </c>
      <c r="BE43" s="6">
        <v>0</v>
      </c>
      <c r="BF43" s="6">
        <f>BE43*F43</f>
        <v>0</v>
      </c>
      <c r="BG43" s="6">
        <v>0</v>
      </c>
      <c r="BH43" s="6">
        <f>BG43*F43</f>
        <v>0</v>
      </c>
      <c r="BI43" s="30"/>
      <c r="BJ43" s="6">
        <f t="shared" si="2"/>
        <v>0</v>
      </c>
      <c r="BK43" s="6">
        <f t="shared" si="41"/>
        <v>0</v>
      </c>
      <c r="BL43" s="6">
        <f t="shared" si="41"/>
        <v>0</v>
      </c>
      <c r="BM43" s="154" t="s">
        <v>210</v>
      </c>
      <c r="BN43" s="150"/>
      <c r="BO43" s="6"/>
      <c r="BP43" s="6">
        <f t="shared" si="42"/>
        <v>0</v>
      </c>
      <c r="BQ43" s="6"/>
      <c r="BR43" s="6"/>
      <c r="BS43" s="6">
        <f t="shared" si="43"/>
        <v>0</v>
      </c>
      <c r="BT43" s="6"/>
      <c r="BU43" s="6"/>
      <c r="BV43" s="6"/>
      <c r="BW43" s="6">
        <f t="shared" si="44"/>
        <v>0</v>
      </c>
    </row>
    <row r="44" spans="2:75" x14ac:dyDescent="0.25">
      <c r="B44" s="721"/>
      <c r="C44" s="161" t="s">
        <v>719</v>
      </c>
      <c r="D44" s="148" t="s">
        <v>553</v>
      </c>
      <c r="E44" s="154" t="s">
        <v>554</v>
      </c>
      <c r="F44" s="130">
        <v>35000</v>
      </c>
      <c r="G44" s="159">
        <f t="shared" si="29"/>
        <v>0</v>
      </c>
      <c r="H44" s="6">
        <f t="shared" si="30"/>
        <v>0</v>
      </c>
      <c r="I44" s="6">
        <f t="shared" si="31"/>
        <v>0</v>
      </c>
      <c r="J44" s="6">
        <f t="shared" si="32"/>
        <v>0</v>
      </c>
      <c r="K44" s="6"/>
      <c r="L44" s="6"/>
      <c r="M44" s="6"/>
      <c r="N44" s="6"/>
      <c r="O44" s="6"/>
      <c r="P44" s="6"/>
      <c r="Q44" s="6"/>
      <c r="R44" s="6"/>
      <c r="S44" s="6">
        <f t="shared" si="33"/>
        <v>0</v>
      </c>
      <c r="T44" s="6">
        <f t="shared" si="34"/>
        <v>0</v>
      </c>
      <c r="U44" s="6">
        <f t="shared" si="35"/>
        <v>0</v>
      </c>
      <c r="V44" s="6">
        <f t="shared" si="36"/>
        <v>0</v>
      </c>
      <c r="W44" s="6">
        <f t="shared" si="37"/>
        <v>0</v>
      </c>
      <c r="X44" s="6">
        <f t="shared" si="38"/>
        <v>0</v>
      </c>
      <c r="Y44" s="6">
        <f t="shared" si="39"/>
        <v>0</v>
      </c>
      <c r="Z44" s="6">
        <f t="shared" si="40"/>
        <v>0</v>
      </c>
      <c r="AA44" s="6"/>
      <c r="AB44" s="6"/>
      <c r="AC44" s="6"/>
      <c r="AD44" s="6"/>
      <c r="AE44" s="6">
        <v>0</v>
      </c>
      <c r="AF44" s="6"/>
      <c r="AG44" s="6">
        <v>0</v>
      </c>
      <c r="AH44" s="6"/>
      <c r="AI44" s="6">
        <v>0</v>
      </c>
      <c r="AJ44" s="6"/>
      <c r="AK44" s="6">
        <v>0</v>
      </c>
      <c r="AL44" s="6"/>
      <c r="AM44" s="6"/>
      <c r="AN44" s="6"/>
      <c r="AO44" s="6">
        <v>0</v>
      </c>
      <c r="AP44" s="6">
        <f>AO44*F44</f>
        <v>0</v>
      </c>
      <c r="AQ44" s="6"/>
      <c r="AR44" s="6"/>
      <c r="AS44" s="6"/>
      <c r="AT44" s="6"/>
      <c r="AU44" s="6"/>
      <c r="AV44" s="6"/>
      <c r="AW44" s="6">
        <v>0</v>
      </c>
      <c r="AX44" s="6">
        <f>AW44*F44</f>
        <v>0</v>
      </c>
      <c r="AY44" s="6"/>
      <c r="AZ44" s="6"/>
      <c r="BA44" s="30">
        <v>0</v>
      </c>
      <c r="BB44" s="6"/>
      <c r="BC44" s="6"/>
      <c r="BD44" s="6"/>
      <c r="BE44" s="6">
        <v>0</v>
      </c>
      <c r="BF44" s="6">
        <f>BE44*F44</f>
        <v>0</v>
      </c>
      <c r="BG44" s="6">
        <v>0</v>
      </c>
      <c r="BH44" s="6"/>
      <c r="BI44" s="30"/>
      <c r="BJ44" s="6"/>
      <c r="BK44" s="6">
        <f t="shared" si="41"/>
        <v>0</v>
      </c>
      <c r="BL44" s="6">
        <f t="shared" si="41"/>
        <v>0</v>
      </c>
      <c r="BM44" s="154" t="s">
        <v>210</v>
      </c>
      <c r="BN44" s="151"/>
      <c r="BO44" s="6"/>
      <c r="BP44" s="6">
        <f t="shared" si="42"/>
        <v>0</v>
      </c>
      <c r="BQ44" s="6"/>
      <c r="BR44" s="6"/>
      <c r="BS44" s="6">
        <f t="shared" si="43"/>
        <v>0</v>
      </c>
      <c r="BT44" s="6"/>
      <c r="BU44" s="6"/>
      <c r="BV44" s="6"/>
      <c r="BW44" s="6">
        <f t="shared" si="44"/>
        <v>0</v>
      </c>
    </row>
    <row r="45" spans="2:75" s="170" customFormat="1" x14ac:dyDescent="0.25">
      <c r="B45" s="721"/>
      <c r="C45" s="153"/>
      <c r="D45" s="140" t="s">
        <v>490</v>
      </c>
      <c r="E45" s="156" t="s">
        <v>111</v>
      </c>
      <c r="F45" s="149" t="s">
        <v>111</v>
      </c>
      <c r="G45" s="172">
        <f t="shared" ref="G45:AL45" si="63">SUM(G35:G44)</f>
        <v>21553</v>
      </c>
      <c r="H45" s="172">
        <f t="shared" si="63"/>
        <v>31859300</v>
      </c>
      <c r="I45" s="172">
        <f t="shared" si="63"/>
        <v>6537460</v>
      </c>
      <c r="J45" s="172">
        <f t="shared" si="63"/>
        <v>25321840</v>
      </c>
      <c r="K45" s="172">
        <f t="shared" si="63"/>
        <v>0</v>
      </c>
      <c r="L45" s="172">
        <f t="shared" si="63"/>
        <v>0</v>
      </c>
      <c r="M45" s="172">
        <f t="shared" si="63"/>
        <v>0</v>
      </c>
      <c r="N45" s="172">
        <f t="shared" si="63"/>
        <v>0</v>
      </c>
      <c r="O45" s="172">
        <f t="shared" si="63"/>
        <v>0</v>
      </c>
      <c r="P45" s="172">
        <f t="shared" si="63"/>
        <v>0</v>
      </c>
      <c r="Q45" s="172">
        <f t="shared" si="63"/>
        <v>0</v>
      </c>
      <c r="R45" s="172">
        <f t="shared" si="63"/>
        <v>0</v>
      </c>
      <c r="S45" s="172">
        <f t="shared" si="63"/>
        <v>5112</v>
      </c>
      <c r="T45" s="172">
        <f t="shared" si="63"/>
        <v>5112</v>
      </c>
      <c r="U45" s="172">
        <f t="shared" si="63"/>
        <v>5112</v>
      </c>
      <c r="V45" s="172">
        <f t="shared" si="63"/>
        <v>5112</v>
      </c>
      <c r="W45" s="172">
        <f t="shared" si="63"/>
        <v>7010200</v>
      </c>
      <c r="X45" s="172">
        <f t="shared" si="63"/>
        <v>7010200</v>
      </c>
      <c r="Y45" s="172">
        <f t="shared" si="63"/>
        <v>7010200</v>
      </c>
      <c r="Z45" s="172">
        <f t="shared" si="63"/>
        <v>7010200</v>
      </c>
      <c r="AA45" s="172">
        <f t="shared" si="63"/>
        <v>1118</v>
      </c>
      <c r="AB45" s="172">
        <f t="shared" si="63"/>
        <v>1595600</v>
      </c>
      <c r="AC45" s="172">
        <f t="shared" si="63"/>
        <v>418</v>
      </c>
      <c r="AD45" s="172">
        <f t="shared" si="63"/>
        <v>696850</v>
      </c>
      <c r="AE45" s="172">
        <f t="shared" si="63"/>
        <v>1324</v>
      </c>
      <c r="AF45" s="172">
        <f t="shared" si="63"/>
        <v>1901500</v>
      </c>
      <c r="AG45" s="172">
        <f t="shared" si="63"/>
        <v>2052</v>
      </c>
      <c r="AH45" s="172">
        <f t="shared" si="63"/>
        <v>2901450</v>
      </c>
      <c r="AI45" s="172">
        <f t="shared" si="63"/>
        <v>838</v>
      </c>
      <c r="AJ45" s="172">
        <f t="shared" si="63"/>
        <v>1236100</v>
      </c>
      <c r="AK45" s="172">
        <f t="shared" si="63"/>
        <v>1482</v>
      </c>
      <c r="AL45" s="172">
        <f t="shared" si="63"/>
        <v>2142450</v>
      </c>
      <c r="AM45" s="172">
        <f t="shared" ref="AM45:BR45" si="64">SUM(AM35:AM44)</f>
        <v>740</v>
      </c>
      <c r="AN45" s="172">
        <f t="shared" si="64"/>
        <v>1116100</v>
      </c>
      <c r="AO45" s="172">
        <f t="shared" si="64"/>
        <v>2006</v>
      </c>
      <c r="AP45" s="172">
        <f t="shared" si="64"/>
        <v>2945000</v>
      </c>
      <c r="AQ45" s="172">
        <f t="shared" si="64"/>
        <v>186</v>
      </c>
      <c r="AR45" s="172">
        <f t="shared" si="64"/>
        <v>284000</v>
      </c>
      <c r="AS45" s="172">
        <f t="shared" si="64"/>
        <v>766</v>
      </c>
      <c r="AT45" s="172">
        <f t="shared" si="64"/>
        <v>1111300</v>
      </c>
      <c r="AU45" s="172">
        <f t="shared" si="64"/>
        <v>1044</v>
      </c>
      <c r="AV45" s="172">
        <f t="shared" si="64"/>
        <v>1537500</v>
      </c>
      <c r="AW45" s="172">
        <f t="shared" si="64"/>
        <v>1044</v>
      </c>
      <c r="AX45" s="172">
        <f t="shared" si="64"/>
        <v>1537500</v>
      </c>
      <c r="AY45" s="172">
        <f t="shared" si="64"/>
        <v>1303</v>
      </c>
      <c r="AZ45" s="172">
        <f t="shared" si="64"/>
        <v>1968850</v>
      </c>
      <c r="BA45" s="172">
        <f t="shared" si="64"/>
        <v>1554</v>
      </c>
      <c r="BB45" s="172">
        <f t="shared" si="64"/>
        <v>2246250</v>
      </c>
      <c r="BC45" s="172">
        <f t="shared" si="64"/>
        <v>1568</v>
      </c>
      <c r="BD45" s="172">
        <f t="shared" si="64"/>
        <v>2244350</v>
      </c>
      <c r="BE45" s="172">
        <f t="shared" si="64"/>
        <v>3010</v>
      </c>
      <c r="BF45" s="172">
        <f t="shared" si="64"/>
        <v>4241200</v>
      </c>
      <c r="BG45" s="172">
        <f t="shared" si="64"/>
        <v>1076</v>
      </c>
      <c r="BH45" s="172">
        <f t="shared" si="64"/>
        <v>1601300</v>
      </c>
      <c r="BI45" s="172">
        <f t="shared" si="64"/>
        <v>24</v>
      </c>
      <c r="BJ45" s="172">
        <f t="shared" si="64"/>
        <v>552000</v>
      </c>
      <c r="BK45" s="172">
        <f t="shared" si="64"/>
        <v>21553</v>
      </c>
      <c r="BL45" s="172">
        <f t="shared" si="64"/>
        <v>31859300</v>
      </c>
      <c r="BM45" s="172">
        <f t="shared" si="64"/>
        <v>0</v>
      </c>
      <c r="BN45" s="172">
        <f t="shared" si="64"/>
        <v>0</v>
      </c>
      <c r="BO45" s="172">
        <f t="shared" si="64"/>
        <v>0</v>
      </c>
      <c r="BP45" s="172">
        <f t="shared" si="64"/>
        <v>31859300</v>
      </c>
      <c r="BQ45" s="172">
        <f t="shared" si="64"/>
        <v>0</v>
      </c>
      <c r="BR45" s="172">
        <f t="shared" si="64"/>
        <v>0</v>
      </c>
      <c r="BS45" s="172">
        <f t="shared" ref="BS45:BW45" si="65">SUM(BS35:BS44)</f>
        <v>31859300</v>
      </c>
      <c r="BT45" s="172">
        <f t="shared" si="65"/>
        <v>0</v>
      </c>
      <c r="BU45" s="172">
        <f t="shared" si="65"/>
        <v>0</v>
      </c>
      <c r="BV45" s="172">
        <f t="shared" si="65"/>
        <v>0</v>
      </c>
      <c r="BW45" s="172">
        <f t="shared" si="65"/>
        <v>31859300</v>
      </c>
    </row>
    <row r="46" spans="2:75" x14ac:dyDescent="0.25">
      <c r="B46" s="721"/>
      <c r="C46" s="161"/>
      <c r="D46" s="140" t="s">
        <v>491</v>
      </c>
      <c r="E46" s="154"/>
      <c r="F46" s="130"/>
      <c r="G46" s="154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30"/>
      <c r="BJ46" s="6"/>
      <c r="BK46" s="6"/>
      <c r="BL46" s="6"/>
      <c r="BM46" s="154"/>
      <c r="BN46" s="136"/>
      <c r="BO46" s="6"/>
      <c r="BP46" s="6">
        <f>H46</f>
        <v>0</v>
      </c>
      <c r="BQ46" s="6"/>
      <c r="BR46" s="6"/>
      <c r="BS46" s="6">
        <f>BO46+BP46+BQ46+BR46</f>
        <v>0</v>
      </c>
      <c r="BT46" s="6"/>
      <c r="BU46" s="6"/>
      <c r="BV46" s="6"/>
      <c r="BW46" s="6"/>
    </row>
    <row r="47" spans="2:75" x14ac:dyDescent="0.25">
      <c r="B47" s="721"/>
      <c r="C47" s="161" t="s">
        <v>720</v>
      </c>
      <c r="D47" s="129" t="s">
        <v>503</v>
      </c>
      <c r="E47" s="154" t="s">
        <v>32</v>
      </c>
      <c r="F47" s="130">
        <v>200000</v>
      </c>
      <c r="G47" s="159">
        <f t="shared" ref="G47:H49" si="66">BK47</f>
        <v>0</v>
      </c>
      <c r="H47" s="159">
        <f t="shared" si="66"/>
        <v>0</v>
      </c>
      <c r="I47" s="6"/>
      <c r="J47" s="6">
        <f>H47</f>
        <v>0</v>
      </c>
      <c r="K47" s="6"/>
      <c r="L47" s="6"/>
      <c r="M47" s="6"/>
      <c r="N47" s="6"/>
      <c r="O47" s="6"/>
      <c r="P47" s="6"/>
      <c r="Q47" s="6"/>
      <c r="R47" s="6"/>
      <c r="S47" s="6">
        <f>G47*0.25</f>
        <v>0</v>
      </c>
      <c r="T47" s="6">
        <f>G47*0.25</f>
        <v>0</v>
      </c>
      <c r="U47" s="6">
        <f>G47*0.25</f>
        <v>0</v>
      </c>
      <c r="V47" s="6">
        <f>G47*0.25</f>
        <v>0</v>
      </c>
      <c r="W47" s="6">
        <f>S47*F47</f>
        <v>0</v>
      </c>
      <c r="X47" s="6">
        <f>T47*F47</f>
        <v>0</v>
      </c>
      <c r="Y47" s="6">
        <f>U47*F47</f>
        <v>0</v>
      </c>
      <c r="Z47" s="6">
        <f>V47*F47</f>
        <v>0</v>
      </c>
      <c r="AA47" s="6"/>
      <c r="AB47" s="6"/>
      <c r="AC47" s="6">
        <f>AB47*F47</f>
        <v>0</v>
      </c>
      <c r="AD47" s="6"/>
      <c r="AE47" s="6">
        <f>AD47*F47</f>
        <v>0</v>
      </c>
      <c r="AF47" s="6"/>
      <c r="AG47" s="6">
        <f>AF47*F47</f>
        <v>0</v>
      </c>
      <c r="AH47" s="6"/>
      <c r="AI47" s="6">
        <f>AH47*F47</f>
        <v>0</v>
      </c>
      <c r="AJ47" s="6"/>
      <c r="AK47" s="6">
        <f>AJ47*F47</f>
        <v>0</v>
      </c>
      <c r="AL47" s="6"/>
      <c r="AM47" s="6">
        <f>AL47*F47</f>
        <v>0</v>
      </c>
      <c r="AN47" s="6"/>
      <c r="AO47" s="6">
        <v>0</v>
      </c>
      <c r="AP47" s="6">
        <f>AO47*F47</f>
        <v>0</v>
      </c>
      <c r="AQ47" s="6"/>
      <c r="AR47" s="6"/>
      <c r="AS47" s="6">
        <f>AR47*F47</f>
        <v>0</v>
      </c>
      <c r="AT47" s="6"/>
      <c r="AU47" s="6">
        <f>AT47*F47</f>
        <v>0</v>
      </c>
      <c r="AV47" s="6"/>
      <c r="AW47" s="6">
        <v>0</v>
      </c>
      <c r="AX47" s="6">
        <f>AW47*F47</f>
        <v>0</v>
      </c>
      <c r="AY47" s="6">
        <v>0</v>
      </c>
      <c r="AZ47" s="6">
        <f>AY47*F47</f>
        <v>0</v>
      </c>
      <c r="BA47" s="6">
        <v>0</v>
      </c>
      <c r="BB47" s="6"/>
      <c r="BC47" s="6">
        <v>0</v>
      </c>
      <c r="BD47" s="6">
        <f>BC47*F47</f>
        <v>0</v>
      </c>
      <c r="BE47" s="6">
        <v>0</v>
      </c>
      <c r="BF47" s="6">
        <f>BE47*F47</f>
        <v>0</v>
      </c>
      <c r="BG47" s="6"/>
      <c r="BH47" s="30"/>
      <c r="BI47" s="6">
        <v>0</v>
      </c>
      <c r="BJ47" s="144">
        <v>0</v>
      </c>
      <c r="BK47" s="6">
        <f t="shared" ref="BK47:BL49" si="67">AA47+AC47+AE47+AG47+AI47+AK47+AM47+AO47+AQ47+AS47+AU47+AW47+AY47+BA47+BC47+BE47+BG47+BI47</f>
        <v>0</v>
      </c>
      <c r="BL47" s="6">
        <f t="shared" si="67"/>
        <v>0</v>
      </c>
      <c r="BM47" s="154" t="s">
        <v>211</v>
      </c>
      <c r="BN47" s="136"/>
      <c r="BO47" s="6"/>
      <c r="BP47" s="6">
        <f>BL47</f>
        <v>0</v>
      </c>
      <c r="BQ47" s="6"/>
      <c r="BR47" s="6"/>
      <c r="BS47" s="6">
        <f>BR47+BQ47+BP47+BO47</f>
        <v>0</v>
      </c>
      <c r="BT47" s="6"/>
      <c r="BU47" s="6"/>
      <c r="BV47" s="6"/>
      <c r="BW47" s="6">
        <f>BV47+BS47</f>
        <v>0</v>
      </c>
    </row>
    <row r="48" spans="2:75" x14ac:dyDescent="0.25">
      <c r="B48" s="721"/>
      <c r="C48" s="161" t="s">
        <v>721</v>
      </c>
      <c r="D48" s="129" t="s">
        <v>886</v>
      </c>
      <c r="E48" s="154" t="s">
        <v>32</v>
      </c>
      <c r="F48" s="163">
        <v>250000</v>
      </c>
      <c r="G48" s="159">
        <f t="shared" si="66"/>
        <v>59</v>
      </c>
      <c r="H48" s="159">
        <f t="shared" si="66"/>
        <v>19500000</v>
      </c>
      <c r="I48" s="6">
        <f>H48*0</f>
        <v>0</v>
      </c>
      <c r="J48" s="6">
        <f>H48*1</f>
        <v>19500000</v>
      </c>
      <c r="K48" s="6"/>
      <c r="L48" s="6"/>
      <c r="M48" s="6"/>
      <c r="N48" s="6"/>
      <c r="O48" s="6"/>
      <c r="P48" s="6"/>
      <c r="Q48" s="6"/>
      <c r="R48" s="6"/>
      <c r="S48" s="30">
        <f>G48*0.25</f>
        <v>14.75</v>
      </c>
      <c r="T48" s="30">
        <f>G48*0.25</f>
        <v>14.75</v>
      </c>
      <c r="U48" s="30">
        <f>G48*0.25</f>
        <v>14.75</v>
      </c>
      <c r="V48" s="30">
        <f>G48*0.25</f>
        <v>14.75</v>
      </c>
      <c r="W48" s="6">
        <f>S48*F48</f>
        <v>3687500</v>
      </c>
      <c r="X48" s="6">
        <f>T48*F48</f>
        <v>3687500</v>
      </c>
      <c r="Y48" s="6">
        <f>U48*F48</f>
        <v>3687500</v>
      </c>
      <c r="Z48" s="6">
        <f>V48*F48</f>
        <v>3687500</v>
      </c>
      <c r="AA48" s="6">
        <v>12</v>
      </c>
      <c r="AB48" s="6">
        <f>AA48*F48</f>
        <v>3000000</v>
      </c>
      <c r="AC48" s="6">
        <v>1</v>
      </c>
      <c r="AD48" s="6">
        <f>AC48*F48</f>
        <v>250000</v>
      </c>
      <c r="AE48" s="6">
        <v>6</v>
      </c>
      <c r="AF48" s="6">
        <f>AE48*F48</f>
        <v>1500000</v>
      </c>
      <c r="AG48" s="6">
        <v>3</v>
      </c>
      <c r="AH48" s="6">
        <f>AG48*F48</f>
        <v>750000</v>
      </c>
      <c r="AI48" s="6">
        <v>3</v>
      </c>
      <c r="AJ48" s="6">
        <f>AI48*F48</f>
        <v>750000</v>
      </c>
      <c r="AK48" s="6">
        <v>0</v>
      </c>
      <c r="AL48" s="6">
        <f>AK48*F48</f>
        <v>0</v>
      </c>
      <c r="AM48" s="6">
        <v>3</v>
      </c>
      <c r="AN48" s="6">
        <f>AM48*F48</f>
        <v>750000</v>
      </c>
      <c r="AO48" s="6">
        <v>1</v>
      </c>
      <c r="AP48" s="6">
        <f>AO48*F48</f>
        <v>250000</v>
      </c>
      <c r="AQ48" s="6">
        <v>3</v>
      </c>
      <c r="AR48" s="6">
        <f>AQ48*F48</f>
        <v>750000</v>
      </c>
      <c r="AS48" s="6">
        <v>0</v>
      </c>
      <c r="AT48" s="6">
        <v>4750000</v>
      </c>
      <c r="AU48" s="6">
        <v>14</v>
      </c>
      <c r="AV48" s="6">
        <f>AU48*F48</f>
        <v>3500000</v>
      </c>
      <c r="AW48" s="6">
        <v>0</v>
      </c>
      <c r="AX48" s="6">
        <f>AW48*F48</f>
        <v>0</v>
      </c>
      <c r="AY48" s="6">
        <v>2</v>
      </c>
      <c r="AZ48" s="6">
        <f>AY48*F48</f>
        <v>500000</v>
      </c>
      <c r="BA48" s="6">
        <v>0</v>
      </c>
      <c r="BB48" s="6">
        <f>BA48*F48</f>
        <v>0</v>
      </c>
      <c r="BC48" s="6">
        <v>6</v>
      </c>
      <c r="BD48" s="6">
        <f>BC48*F48</f>
        <v>1500000</v>
      </c>
      <c r="BE48" s="6">
        <v>3</v>
      </c>
      <c r="BF48" s="6">
        <f>BE48*F48</f>
        <v>750000</v>
      </c>
      <c r="BG48" s="6">
        <v>2</v>
      </c>
      <c r="BH48" s="6">
        <f>BG48*F48</f>
        <v>500000</v>
      </c>
      <c r="BI48" s="30"/>
      <c r="BJ48" s="6">
        <f t="shared" si="2"/>
        <v>0</v>
      </c>
      <c r="BK48" s="6">
        <f t="shared" si="67"/>
        <v>59</v>
      </c>
      <c r="BL48" s="6">
        <f t="shared" si="67"/>
        <v>19500000</v>
      </c>
      <c r="BM48" s="154" t="s">
        <v>211</v>
      </c>
      <c r="BO48" s="6">
        <f t="shared" ref="BO48:BV48" si="68">SUM(BO45:BO46)</f>
        <v>0</v>
      </c>
      <c r="BP48" s="6">
        <f>BL48</f>
        <v>19500000</v>
      </c>
      <c r="BQ48" s="6">
        <f t="shared" si="68"/>
        <v>0</v>
      </c>
      <c r="BR48" s="6">
        <f t="shared" si="68"/>
        <v>0</v>
      </c>
      <c r="BS48" s="6">
        <f>BR48+BQ48+BP48+BO48</f>
        <v>19500000</v>
      </c>
      <c r="BT48" s="6">
        <f t="shared" si="68"/>
        <v>0</v>
      </c>
      <c r="BU48" s="6">
        <f t="shared" si="68"/>
        <v>0</v>
      </c>
      <c r="BV48" s="6">
        <f t="shared" si="68"/>
        <v>0</v>
      </c>
      <c r="BW48" s="6">
        <f>BV48+BS48</f>
        <v>19500000</v>
      </c>
    </row>
    <row r="49" spans="2:75" x14ac:dyDescent="0.25">
      <c r="B49" s="721"/>
      <c r="C49" s="171" t="s">
        <v>722</v>
      </c>
      <c r="D49" s="129" t="s">
        <v>887</v>
      </c>
      <c r="E49" s="154" t="s">
        <v>32</v>
      </c>
      <c r="F49" s="130">
        <v>300000</v>
      </c>
      <c r="G49" s="159">
        <f t="shared" si="66"/>
        <v>39</v>
      </c>
      <c r="H49" s="159">
        <f t="shared" si="66"/>
        <v>12022414</v>
      </c>
      <c r="I49" s="6">
        <f>H49*0</f>
        <v>0</v>
      </c>
      <c r="J49" s="6">
        <f>H49*1</f>
        <v>12022414</v>
      </c>
      <c r="K49" s="6"/>
      <c r="L49" s="6"/>
      <c r="M49" s="6"/>
      <c r="N49" s="6"/>
      <c r="O49" s="6"/>
      <c r="P49" s="6"/>
      <c r="Q49" s="6"/>
      <c r="R49" s="6"/>
      <c r="S49" s="6">
        <f>G49*0.25</f>
        <v>9.75</v>
      </c>
      <c r="T49" s="6">
        <f>G49*0.25</f>
        <v>9.75</v>
      </c>
      <c r="U49" s="6">
        <f>G49*0.25</f>
        <v>9.75</v>
      </c>
      <c r="V49" s="6">
        <f>G49*0.25</f>
        <v>9.75</v>
      </c>
      <c r="W49" s="6">
        <f>S49*F49</f>
        <v>2925000</v>
      </c>
      <c r="X49" s="6">
        <f>T49*F49</f>
        <v>2925000</v>
      </c>
      <c r="Y49" s="148">
        <f>U49*F49</f>
        <v>2925000</v>
      </c>
      <c r="Z49" s="148">
        <f>V49*F49</f>
        <v>2925000</v>
      </c>
      <c r="AA49" s="6">
        <v>4</v>
      </c>
      <c r="AB49" s="6">
        <f>AA49*F49</f>
        <v>1200000</v>
      </c>
      <c r="AC49" s="6">
        <v>3</v>
      </c>
      <c r="AD49" s="6">
        <f>(F49*4)+22414</f>
        <v>1222414</v>
      </c>
      <c r="AE49" s="6">
        <v>0</v>
      </c>
      <c r="AF49" s="6">
        <f>AE49*F49</f>
        <v>0</v>
      </c>
      <c r="AG49" s="6">
        <v>4</v>
      </c>
      <c r="AH49" s="6">
        <f>AG49*F49</f>
        <v>1200000</v>
      </c>
      <c r="AI49" s="6">
        <v>4</v>
      </c>
      <c r="AJ49" s="6">
        <f>AI49*F49</f>
        <v>1200000</v>
      </c>
      <c r="AK49" s="6">
        <v>3</v>
      </c>
      <c r="AL49" s="6">
        <f>AK49*F49</f>
        <v>900000</v>
      </c>
      <c r="AM49" s="6">
        <v>0</v>
      </c>
      <c r="AN49" s="6">
        <f>AM49*F49</f>
        <v>0</v>
      </c>
      <c r="AO49" s="6">
        <v>0</v>
      </c>
      <c r="AP49" s="6">
        <f>AO49*F49</f>
        <v>0</v>
      </c>
      <c r="AQ49" s="6">
        <v>0</v>
      </c>
      <c r="AR49" s="6">
        <f>AQ49*F49</f>
        <v>0</v>
      </c>
      <c r="AS49" s="6">
        <v>3</v>
      </c>
      <c r="AT49" s="6">
        <f>AS49*F49</f>
        <v>900000</v>
      </c>
      <c r="AU49" s="6">
        <v>0</v>
      </c>
      <c r="AV49" s="6">
        <f>AU49*F49</f>
        <v>0</v>
      </c>
      <c r="AW49" s="6">
        <v>4</v>
      </c>
      <c r="AX49" s="6">
        <f>AW49*F49</f>
        <v>1200000</v>
      </c>
      <c r="AY49" s="6">
        <v>2</v>
      </c>
      <c r="AZ49" s="6">
        <f>AY49*F49</f>
        <v>600000</v>
      </c>
      <c r="BA49" s="6">
        <v>3</v>
      </c>
      <c r="BB49" s="6">
        <f>BA49*F49</f>
        <v>900000</v>
      </c>
      <c r="BC49" s="6">
        <v>6</v>
      </c>
      <c r="BD49" s="6">
        <f>BC49*F49</f>
        <v>1800000</v>
      </c>
      <c r="BE49" s="6">
        <v>0</v>
      </c>
      <c r="BF49" s="6">
        <f>BE49*F49</f>
        <v>0</v>
      </c>
      <c r="BG49" s="6">
        <v>3</v>
      </c>
      <c r="BH49" s="6">
        <f>BG49*F49</f>
        <v>900000</v>
      </c>
      <c r="BI49" s="30"/>
      <c r="BJ49" s="6">
        <f t="shared" si="2"/>
        <v>0</v>
      </c>
      <c r="BK49" s="6">
        <f t="shared" si="67"/>
        <v>39</v>
      </c>
      <c r="BL49" s="6">
        <f t="shared" si="67"/>
        <v>12022414</v>
      </c>
      <c r="BM49" s="154" t="s">
        <v>211</v>
      </c>
      <c r="BO49" s="65"/>
      <c r="BP49" s="6">
        <f>BL49</f>
        <v>12022414</v>
      </c>
      <c r="BQ49" s="65"/>
      <c r="BR49" s="65"/>
      <c r="BS49" s="6">
        <f>BR49+BQ49+BP49+BO49</f>
        <v>12022414</v>
      </c>
      <c r="BT49" s="65"/>
      <c r="BU49" s="65"/>
      <c r="BV49" s="65"/>
      <c r="BW49" s="6">
        <f>BV49+BS49</f>
        <v>12022414</v>
      </c>
    </row>
    <row r="50" spans="2:75" s="170" customFormat="1" x14ac:dyDescent="0.25">
      <c r="B50" s="721"/>
      <c r="C50" s="158"/>
      <c r="D50" s="140" t="s">
        <v>492</v>
      </c>
      <c r="E50" s="156" t="s">
        <v>111</v>
      </c>
      <c r="F50" s="149" t="s">
        <v>111</v>
      </c>
      <c r="G50" s="172">
        <f t="shared" ref="G50:AL50" si="69">SUM(G47:G49)</f>
        <v>98</v>
      </c>
      <c r="H50" s="172">
        <f t="shared" si="69"/>
        <v>31522414</v>
      </c>
      <c r="I50" s="172">
        <f t="shared" si="69"/>
        <v>0</v>
      </c>
      <c r="J50" s="172">
        <f t="shared" si="69"/>
        <v>31522414</v>
      </c>
      <c r="K50" s="172">
        <f t="shared" si="69"/>
        <v>0</v>
      </c>
      <c r="L50" s="172">
        <f t="shared" si="69"/>
        <v>0</v>
      </c>
      <c r="M50" s="172">
        <f t="shared" si="69"/>
        <v>0</v>
      </c>
      <c r="N50" s="172">
        <f t="shared" si="69"/>
        <v>0</v>
      </c>
      <c r="O50" s="172">
        <f t="shared" si="69"/>
        <v>0</v>
      </c>
      <c r="P50" s="172">
        <f t="shared" si="69"/>
        <v>0</v>
      </c>
      <c r="Q50" s="172">
        <f t="shared" si="69"/>
        <v>0</v>
      </c>
      <c r="R50" s="172">
        <f t="shared" si="69"/>
        <v>0</v>
      </c>
      <c r="S50" s="172">
        <f t="shared" si="69"/>
        <v>24.5</v>
      </c>
      <c r="T50" s="172">
        <f t="shared" si="69"/>
        <v>24.5</v>
      </c>
      <c r="U50" s="172">
        <f t="shared" si="69"/>
        <v>24.5</v>
      </c>
      <c r="V50" s="172">
        <f t="shared" si="69"/>
        <v>24.5</v>
      </c>
      <c r="W50" s="172">
        <f t="shared" si="69"/>
        <v>6612500</v>
      </c>
      <c r="X50" s="172">
        <f t="shared" si="69"/>
        <v>6612500</v>
      </c>
      <c r="Y50" s="172">
        <f t="shared" si="69"/>
        <v>6612500</v>
      </c>
      <c r="Z50" s="172">
        <f t="shared" si="69"/>
        <v>6612500</v>
      </c>
      <c r="AA50" s="172">
        <f t="shared" si="69"/>
        <v>16</v>
      </c>
      <c r="AB50" s="172">
        <f t="shared" si="69"/>
        <v>4200000</v>
      </c>
      <c r="AC50" s="172">
        <f t="shared" si="69"/>
        <v>4</v>
      </c>
      <c r="AD50" s="172">
        <f t="shared" si="69"/>
        <v>1472414</v>
      </c>
      <c r="AE50" s="172">
        <f t="shared" si="69"/>
        <v>6</v>
      </c>
      <c r="AF50" s="172">
        <f t="shared" si="69"/>
        <v>1500000</v>
      </c>
      <c r="AG50" s="172">
        <f t="shared" si="69"/>
        <v>7</v>
      </c>
      <c r="AH50" s="172">
        <f t="shared" si="69"/>
        <v>1950000</v>
      </c>
      <c r="AI50" s="172">
        <f t="shared" si="69"/>
        <v>7</v>
      </c>
      <c r="AJ50" s="172">
        <f t="shared" si="69"/>
        <v>1950000</v>
      </c>
      <c r="AK50" s="172">
        <f t="shared" si="69"/>
        <v>3</v>
      </c>
      <c r="AL50" s="172">
        <f t="shared" si="69"/>
        <v>900000</v>
      </c>
      <c r="AM50" s="172">
        <f t="shared" ref="AM50:BR50" si="70">SUM(AM47:AM49)</f>
        <v>3</v>
      </c>
      <c r="AN50" s="172">
        <f t="shared" si="70"/>
        <v>750000</v>
      </c>
      <c r="AO50" s="172">
        <f t="shared" si="70"/>
        <v>1</v>
      </c>
      <c r="AP50" s="172">
        <f t="shared" si="70"/>
        <v>250000</v>
      </c>
      <c r="AQ50" s="172">
        <f t="shared" si="70"/>
        <v>3</v>
      </c>
      <c r="AR50" s="172">
        <f t="shared" si="70"/>
        <v>750000</v>
      </c>
      <c r="AS50" s="172">
        <f t="shared" si="70"/>
        <v>3</v>
      </c>
      <c r="AT50" s="172">
        <f t="shared" si="70"/>
        <v>5650000</v>
      </c>
      <c r="AU50" s="172">
        <f t="shared" si="70"/>
        <v>14</v>
      </c>
      <c r="AV50" s="172">
        <f t="shared" si="70"/>
        <v>3500000</v>
      </c>
      <c r="AW50" s="172">
        <f t="shared" si="70"/>
        <v>4</v>
      </c>
      <c r="AX50" s="172">
        <f t="shared" si="70"/>
        <v>1200000</v>
      </c>
      <c r="AY50" s="172">
        <f t="shared" si="70"/>
        <v>4</v>
      </c>
      <c r="AZ50" s="172">
        <f t="shared" si="70"/>
        <v>1100000</v>
      </c>
      <c r="BA50" s="172">
        <f t="shared" si="70"/>
        <v>3</v>
      </c>
      <c r="BB50" s="172">
        <f t="shared" si="70"/>
        <v>900000</v>
      </c>
      <c r="BC50" s="172">
        <f t="shared" si="70"/>
        <v>12</v>
      </c>
      <c r="BD50" s="172">
        <f t="shared" si="70"/>
        <v>3300000</v>
      </c>
      <c r="BE50" s="172">
        <f t="shared" si="70"/>
        <v>3</v>
      </c>
      <c r="BF50" s="172">
        <f t="shared" si="70"/>
        <v>750000</v>
      </c>
      <c r="BG50" s="172">
        <f t="shared" si="70"/>
        <v>5</v>
      </c>
      <c r="BH50" s="172">
        <f t="shared" si="70"/>
        <v>1400000</v>
      </c>
      <c r="BI50" s="172">
        <f t="shared" si="70"/>
        <v>0</v>
      </c>
      <c r="BJ50" s="172">
        <f t="shared" si="70"/>
        <v>0</v>
      </c>
      <c r="BK50" s="172">
        <f t="shared" si="70"/>
        <v>98</v>
      </c>
      <c r="BL50" s="172">
        <f t="shared" si="70"/>
        <v>31522414</v>
      </c>
      <c r="BM50" s="172">
        <f t="shared" si="70"/>
        <v>0</v>
      </c>
      <c r="BN50" s="172">
        <f t="shared" si="70"/>
        <v>0</v>
      </c>
      <c r="BO50" s="172">
        <f t="shared" si="70"/>
        <v>0</v>
      </c>
      <c r="BP50" s="172">
        <f t="shared" si="70"/>
        <v>31522414</v>
      </c>
      <c r="BQ50" s="172">
        <f t="shared" si="70"/>
        <v>0</v>
      </c>
      <c r="BR50" s="172">
        <f t="shared" si="70"/>
        <v>0</v>
      </c>
      <c r="BS50" s="172">
        <f t="shared" ref="BS50:BW50" si="71">SUM(BS47:BS49)</f>
        <v>31522414</v>
      </c>
      <c r="BT50" s="172">
        <f t="shared" si="71"/>
        <v>0</v>
      </c>
      <c r="BU50" s="172">
        <f t="shared" si="71"/>
        <v>0</v>
      </c>
      <c r="BV50" s="172">
        <f t="shared" si="71"/>
        <v>0</v>
      </c>
      <c r="BW50" s="172">
        <f t="shared" si="71"/>
        <v>31522414</v>
      </c>
    </row>
    <row r="51" spans="2:75" s="170" customFormat="1" x14ac:dyDescent="0.25">
      <c r="B51" s="721"/>
      <c r="C51" s="158"/>
      <c r="D51" s="156" t="s">
        <v>335</v>
      </c>
      <c r="E51" s="172"/>
      <c r="F51" s="31"/>
      <c r="G51" s="172">
        <f t="shared" ref="G51:AL51" si="72">G50+G45+G33+G26+G15+G10</f>
        <v>40783.5</v>
      </c>
      <c r="H51" s="172">
        <f t="shared" si="72"/>
        <v>236591114</v>
      </c>
      <c r="I51" s="172">
        <f t="shared" si="72"/>
        <v>68878940</v>
      </c>
      <c r="J51" s="172">
        <f t="shared" si="72"/>
        <v>167712174</v>
      </c>
      <c r="K51" s="172">
        <f t="shared" si="72"/>
        <v>0</v>
      </c>
      <c r="L51" s="172">
        <f t="shared" si="72"/>
        <v>0</v>
      </c>
      <c r="M51" s="172">
        <f t="shared" si="72"/>
        <v>0</v>
      </c>
      <c r="N51" s="172">
        <f t="shared" si="72"/>
        <v>0</v>
      </c>
      <c r="O51" s="172">
        <f t="shared" si="72"/>
        <v>0</v>
      </c>
      <c r="P51" s="172">
        <f t="shared" si="72"/>
        <v>0</v>
      </c>
      <c r="Q51" s="172">
        <f t="shared" si="72"/>
        <v>0</v>
      </c>
      <c r="R51" s="172">
        <f t="shared" si="72"/>
        <v>0</v>
      </c>
      <c r="S51" s="172">
        <f t="shared" si="72"/>
        <v>6792.5</v>
      </c>
      <c r="T51" s="172">
        <f t="shared" si="72"/>
        <v>6792.5</v>
      </c>
      <c r="U51" s="172">
        <f t="shared" si="72"/>
        <v>6792.5</v>
      </c>
      <c r="V51" s="172">
        <f t="shared" si="72"/>
        <v>9865.5</v>
      </c>
      <c r="W51" s="172">
        <f t="shared" si="72"/>
        <v>44655350</v>
      </c>
      <c r="X51" s="172">
        <f t="shared" si="72"/>
        <v>44655350</v>
      </c>
      <c r="Y51" s="172">
        <f t="shared" si="72"/>
        <v>44655350</v>
      </c>
      <c r="Z51" s="172">
        <f t="shared" si="72"/>
        <v>87236150</v>
      </c>
      <c r="AA51" s="172">
        <f t="shared" si="72"/>
        <v>3270</v>
      </c>
      <c r="AB51" s="172">
        <f t="shared" si="72"/>
        <v>12737600</v>
      </c>
      <c r="AC51" s="172">
        <f t="shared" si="72"/>
        <v>971</v>
      </c>
      <c r="AD51" s="172">
        <f t="shared" si="72"/>
        <v>8646864</v>
      </c>
      <c r="AE51" s="172">
        <f t="shared" si="72"/>
        <v>2447</v>
      </c>
      <c r="AF51" s="172">
        <f t="shared" si="72"/>
        <v>10082500</v>
      </c>
      <c r="AG51" s="172">
        <f t="shared" si="72"/>
        <v>3807.5</v>
      </c>
      <c r="AH51" s="172">
        <f t="shared" si="72"/>
        <v>13560850</v>
      </c>
      <c r="AI51" s="172">
        <f t="shared" si="72"/>
        <v>1774</v>
      </c>
      <c r="AJ51" s="172">
        <f t="shared" si="72"/>
        <v>9770500</v>
      </c>
      <c r="AK51" s="172">
        <f t="shared" si="72"/>
        <v>2048</v>
      </c>
      <c r="AL51" s="172">
        <f t="shared" si="72"/>
        <v>9621050</v>
      </c>
      <c r="AM51" s="172">
        <f t="shared" ref="AM51:BL51" si="73">AM50+AM45+AM33+AM26+AM15+AM10</f>
        <v>1860</v>
      </c>
      <c r="AN51" s="172">
        <f t="shared" si="73"/>
        <v>8661900</v>
      </c>
      <c r="AO51" s="172">
        <f t="shared" si="73"/>
        <v>3064</v>
      </c>
      <c r="AP51" s="172">
        <f t="shared" si="73"/>
        <v>9893300</v>
      </c>
      <c r="AQ51" s="172">
        <f t="shared" si="73"/>
        <v>638</v>
      </c>
      <c r="AR51" s="172">
        <f t="shared" si="73"/>
        <v>7487600</v>
      </c>
      <c r="AS51" s="172">
        <f t="shared" si="73"/>
        <v>1440</v>
      </c>
      <c r="AT51" s="172">
        <f t="shared" si="73"/>
        <v>13284100</v>
      </c>
      <c r="AU51" s="172">
        <f t="shared" si="73"/>
        <v>1903</v>
      </c>
      <c r="AV51" s="172">
        <f t="shared" si="73"/>
        <v>11631700</v>
      </c>
      <c r="AW51" s="172">
        <f t="shared" si="73"/>
        <v>1895</v>
      </c>
      <c r="AX51" s="172">
        <f t="shared" si="73"/>
        <v>9566300</v>
      </c>
      <c r="AY51" s="172">
        <f t="shared" si="73"/>
        <v>1917</v>
      </c>
      <c r="AZ51" s="172">
        <f t="shared" si="73"/>
        <v>9646050</v>
      </c>
      <c r="BA51" s="172">
        <f t="shared" si="73"/>
        <v>2677</v>
      </c>
      <c r="BB51" s="172">
        <f t="shared" si="73"/>
        <v>9985850</v>
      </c>
      <c r="BC51" s="172">
        <f t="shared" si="73"/>
        <v>2717</v>
      </c>
      <c r="BD51" s="172">
        <f t="shared" si="73"/>
        <v>12226350</v>
      </c>
      <c r="BE51" s="172">
        <f t="shared" si="73"/>
        <v>4808</v>
      </c>
      <c r="BF51" s="172">
        <f t="shared" si="73"/>
        <v>15371200</v>
      </c>
      <c r="BG51" s="172">
        <f t="shared" si="73"/>
        <v>2118</v>
      </c>
      <c r="BH51" s="172">
        <f t="shared" si="73"/>
        <v>9965400</v>
      </c>
      <c r="BI51" s="172">
        <f t="shared" si="73"/>
        <v>1429</v>
      </c>
      <c r="BJ51" s="172">
        <f t="shared" si="73"/>
        <v>54452000</v>
      </c>
      <c r="BK51" s="172">
        <f t="shared" si="73"/>
        <v>40783.5</v>
      </c>
      <c r="BL51" s="172">
        <f t="shared" si="73"/>
        <v>236591114</v>
      </c>
      <c r="BM51" s="172"/>
      <c r="BN51" s="172">
        <f t="shared" ref="BN51:BW51" si="74">BN50+BN45+BN33+BN26+BN15+BN10</f>
        <v>0</v>
      </c>
      <c r="BO51" s="172">
        <f t="shared" si="74"/>
        <v>0</v>
      </c>
      <c r="BP51" s="172">
        <f t="shared" si="74"/>
        <v>79259114</v>
      </c>
      <c r="BQ51" s="172">
        <f t="shared" si="74"/>
        <v>157332000</v>
      </c>
      <c r="BR51" s="172">
        <f t="shared" si="74"/>
        <v>0</v>
      </c>
      <c r="BS51" s="172">
        <f t="shared" si="74"/>
        <v>236591114</v>
      </c>
      <c r="BT51" s="172">
        <f t="shared" si="74"/>
        <v>0</v>
      </c>
      <c r="BU51" s="172">
        <f t="shared" si="74"/>
        <v>0</v>
      </c>
      <c r="BV51" s="172">
        <f t="shared" si="74"/>
        <v>0</v>
      </c>
      <c r="BW51" s="172">
        <f t="shared" si="74"/>
        <v>236591114</v>
      </c>
    </row>
  </sheetData>
  <mergeCells count="39">
    <mergeCell ref="B4:C4"/>
    <mergeCell ref="D4:R4"/>
    <mergeCell ref="B1:R1"/>
    <mergeCell ref="B2:C2"/>
    <mergeCell ref="D2:R2"/>
    <mergeCell ref="B3:C3"/>
    <mergeCell ref="D3:R3"/>
    <mergeCell ref="B5:C5"/>
    <mergeCell ref="D5:R5"/>
    <mergeCell ref="B6:C6"/>
    <mergeCell ref="D6:R6"/>
    <mergeCell ref="B7:F7"/>
    <mergeCell ref="G7:H7"/>
    <mergeCell ref="I7:R7"/>
    <mergeCell ref="BK7:BL7"/>
    <mergeCell ref="BO7:BS7"/>
    <mergeCell ref="BT7:BV7"/>
    <mergeCell ref="BW7:BW8"/>
    <mergeCell ref="AU7:AV7"/>
    <mergeCell ref="AW7:AX7"/>
    <mergeCell ref="AY7:AZ7"/>
    <mergeCell ref="BA7:BB7"/>
    <mergeCell ref="BC7:BD7"/>
    <mergeCell ref="BE7:BF7"/>
    <mergeCell ref="B9:B51"/>
    <mergeCell ref="BG7:BH7"/>
    <mergeCell ref="BI7:BJ7"/>
    <mergeCell ref="AI7:AJ7"/>
    <mergeCell ref="AK7:AL7"/>
    <mergeCell ref="AM7:AN7"/>
    <mergeCell ref="AO7:AP7"/>
    <mergeCell ref="AQ7:AR7"/>
    <mergeCell ref="AS7:AT7"/>
    <mergeCell ref="S7:V7"/>
    <mergeCell ref="W7:Z7"/>
    <mergeCell ref="AA7:AB7"/>
    <mergeCell ref="AC7:AD7"/>
    <mergeCell ref="AE7:AF7"/>
    <mergeCell ref="AG7:AH7"/>
  </mergeCells>
  <phoneticPr fontId="28" type="noConversion"/>
  <pageMargins left="0.17" right="0.17" top="0.5" bottom="0.75" header="0.3" footer="0.3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9">
    <tabColor rgb="FF00B0F0"/>
    <pageSetUpPr fitToPage="1"/>
  </sheetPr>
  <dimension ref="A1:BU68"/>
  <sheetViews>
    <sheetView zoomScale="80" zoomScaleNormal="80" workbookViewId="0">
      <pane xSplit="6" ySplit="9" topLeftCell="AT52" activePane="bottomRight" state="frozen"/>
      <selection pane="topRight" activeCell="G1" sqref="G1"/>
      <selection pane="bottomLeft" activeCell="A10" sqref="A10"/>
      <selection pane="bottomRight" activeCell="B72" sqref="B72"/>
    </sheetView>
  </sheetViews>
  <sheetFormatPr defaultColWidth="12.28515625" defaultRowHeight="15.75" x14ac:dyDescent="0.25"/>
  <cols>
    <col min="1" max="1" width="12.28515625" style="175"/>
    <col min="2" max="2" width="57" style="218" customWidth="1"/>
    <col min="3" max="3" width="13.42578125" style="551" customWidth="1"/>
    <col min="4" max="4" width="14.42578125" style="551" customWidth="1"/>
    <col min="5" max="5" width="12.28515625" style="551" customWidth="1"/>
    <col min="6" max="6" width="18.42578125" style="551" customWidth="1"/>
    <col min="7" max="7" width="14.7109375" style="551" customWidth="1"/>
    <col min="8" max="8" width="15.7109375" style="551" customWidth="1"/>
    <col min="9" max="15" width="12.28515625" style="551" customWidth="1"/>
    <col min="16" max="16" width="10" style="551" customWidth="1"/>
    <col min="17" max="20" width="12.28515625" style="176" customWidth="1"/>
    <col min="21" max="21" width="14.85546875" style="176" customWidth="1"/>
    <col min="22" max="22" width="13.140625" style="176" customWidth="1"/>
    <col min="23" max="23" width="16.28515625" style="176" customWidth="1"/>
    <col min="24" max="24" width="16.42578125" style="176" customWidth="1"/>
    <col min="25" max="25" width="12.28515625" style="176" customWidth="1"/>
    <col min="26" max="26" width="14.42578125" style="176" customWidth="1"/>
    <col min="27" max="27" width="12.28515625" style="176" customWidth="1"/>
    <col min="28" max="28" width="15.140625" style="176" customWidth="1"/>
    <col min="29" max="29" width="12.28515625" style="176" customWidth="1"/>
    <col min="30" max="30" width="15.140625" style="176" customWidth="1"/>
    <col min="31" max="31" width="12.28515625" style="176" customWidth="1"/>
    <col min="32" max="32" width="14.140625" style="176" customWidth="1"/>
    <col min="33" max="33" width="12.28515625" style="176" customWidth="1"/>
    <col min="34" max="34" width="13.140625" style="176" bestFit="1" customWidth="1"/>
    <col min="35" max="35" width="12.28515625" style="176" customWidth="1"/>
    <col min="36" max="36" width="13.7109375" style="176" customWidth="1"/>
    <col min="37" max="37" width="12.28515625" style="176" customWidth="1"/>
    <col min="38" max="38" width="14.28515625" style="176" customWidth="1"/>
    <col min="39" max="39" width="12.28515625" style="176" customWidth="1"/>
    <col min="40" max="40" width="14" style="176" customWidth="1"/>
    <col min="41" max="41" width="12.28515625" style="176" customWidth="1"/>
    <col min="42" max="42" width="15" style="176" customWidth="1"/>
    <col min="43" max="43" width="12.28515625" style="176" customWidth="1"/>
    <col min="44" max="44" width="14.28515625" style="176" customWidth="1"/>
    <col min="45" max="45" width="12.28515625" style="176" customWidth="1"/>
    <col min="46" max="46" width="13.7109375" style="176" customWidth="1"/>
    <col min="47" max="47" width="12.28515625" style="176" customWidth="1"/>
    <col min="48" max="48" width="16.42578125" style="176" customWidth="1"/>
    <col min="49" max="49" width="12.28515625" style="176" customWidth="1"/>
    <col min="50" max="50" width="15.28515625" style="176" customWidth="1"/>
    <col min="51" max="51" width="12.28515625" style="176" customWidth="1"/>
    <col min="52" max="52" width="15.140625" style="176" customWidth="1"/>
    <col min="53" max="53" width="12.28515625" style="176" customWidth="1"/>
    <col min="54" max="54" width="15.140625" style="176" customWidth="1"/>
    <col min="55" max="55" width="12.28515625" style="176" customWidth="1"/>
    <col min="56" max="56" width="14.28515625" style="176" customWidth="1"/>
    <col min="57" max="57" width="12.28515625" style="176" customWidth="1"/>
    <col min="58" max="58" width="15.140625" style="176" customWidth="1"/>
    <col min="59" max="59" width="12.28515625" style="176" customWidth="1"/>
    <col min="60" max="60" width="17.28515625" style="176" customWidth="1"/>
    <col min="61" max="61" width="12.28515625" style="176" customWidth="1"/>
    <col min="62" max="62" width="18.85546875" style="176" customWidth="1"/>
    <col min="63" max="63" width="22.42578125" style="176" hidden="1" customWidth="1"/>
    <col min="64" max="64" width="7.5703125" style="176" customWidth="1"/>
    <col min="65" max="65" width="12.28515625" style="176"/>
    <col min="66" max="66" width="15.140625" style="176" customWidth="1"/>
    <col min="67" max="67" width="16.28515625" style="176" customWidth="1"/>
    <col min="68" max="68" width="16" style="176" customWidth="1"/>
    <col min="69" max="69" width="16.7109375" style="176" customWidth="1"/>
    <col min="70" max="72" width="12.28515625" style="176"/>
    <col min="73" max="73" width="18.140625" style="176" customWidth="1"/>
    <col min="74" max="16384" width="12.28515625" style="176"/>
  </cols>
  <sheetData>
    <row r="1" spans="1:73" x14ac:dyDescent="0.25">
      <c r="A1" s="747" t="s">
        <v>153</v>
      </c>
      <c r="B1" s="747"/>
      <c r="C1" s="747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180"/>
      <c r="R1" s="180"/>
      <c r="S1" s="180"/>
      <c r="T1" s="180"/>
      <c r="U1" s="180"/>
      <c r="V1" s="180"/>
      <c r="W1" s="180"/>
      <c r="X1" s="180"/>
    </row>
    <row r="2" spans="1:73" x14ac:dyDescent="0.25">
      <c r="A2" s="747" t="s">
        <v>154</v>
      </c>
      <c r="B2" s="747"/>
      <c r="C2" s="747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180"/>
      <c r="R2" s="180"/>
      <c r="S2" s="180"/>
      <c r="T2" s="180"/>
      <c r="U2" s="180"/>
      <c r="V2" s="180"/>
      <c r="W2" s="180"/>
      <c r="X2" s="180"/>
      <c r="Y2" s="175" t="s">
        <v>288</v>
      </c>
      <c r="Z2" s="175">
        <v>8.34</v>
      </c>
      <c r="AA2" s="175"/>
      <c r="AB2" s="175">
        <v>2.85</v>
      </c>
      <c r="AC2" s="175"/>
      <c r="AD2" s="175">
        <v>8.3800000000000008</v>
      </c>
      <c r="AE2" s="175"/>
      <c r="AF2" s="175">
        <v>7.49</v>
      </c>
      <c r="AG2" s="175"/>
      <c r="AH2" s="175">
        <v>3.33</v>
      </c>
      <c r="AI2" s="175"/>
      <c r="AJ2" s="175">
        <v>6.64</v>
      </c>
      <c r="AK2" s="175"/>
      <c r="AL2" s="175">
        <v>3.67</v>
      </c>
      <c r="AM2" s="175"/>
      <c r="AN2" s="175">
        <v>5.0599999999999996</v>
      </c>
      <c r="AO2" s="175"/>
      <c r="AP2" s="175">
        <v>5.94</v>
      </c>
      <c r="AQ2" s="175"/>
      <c r="AR2" s="175">
        <v>6.85</v>
      </c>
      <c r="AS2" s="175"/>
      <c r="AT2" s="175">
        <v>7.45</v>
      </c>
      <c r="AU2" s="175"/>
      <c r="AV2" s="175">
        <v>5.13</v>
      </c>
      <c r="AW2" s="175"/>
      <c r="AX2" s="175">
        <v>4.8600000000000003</v>
      </c>
      <c r="AY2" s="175"/>
      <c r="AZ2" s="175">
        <v>5.79</v>
      </c>
      <c r="BA2" s="175"/>
      <c r="BB2" s="175">
        <v>5.3</v>
      </c>
      <c r="BC2" s="175"/>
      <c r="BD2" s="175">
        <v>3.47</v>
      </c>
      <c r="BE2" s="175"/>
      <c r="BF2" s="175">
        <v>9.42</v>
      </c>
      <c r="BG2" s="175"/>
      <c r="BH2" s="175"/>
      <c r="BI2" s="175"/>
      <c r="BJ2" s="175"/>
    </row>
    <row r="3" spans="1:73" x14ac:dyDescent="0.25">
      <c r="A3" s="747" t="s">
        <v>950</v>
      </c>
      <c r="B3" s="747"/>
      <c r="C3" s="747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180"/>
      <c r="R3" s="180"/>
      <c r="S3" s="180"/>
      <c r="T3" s="180"/>
      <c r="U3" s="180"/>
      <c r="V3" s="180"/>
      <c r="W3" s="180"/>
      <c r="X3" s="180"/>
      <c r="Y3" s="175" t="s">
        <v>286</v>
      </c>
      <c r="Z3" s="175">
        <v>48</v>
      </c>
      <c r="AA3" s="175"/>
      <c r="AB3" s="175">
        <v>23</v>
      </c>
      <c r="AC3" s="175"/>
      <c r="AD3" s="175">
        <v>80</v>
      </c>
      <c r="AE3" s="175"/>
      <c r="AF3" s="175">
        <v>105</v>
      </c>
      <c r="AG3" s="175"/>
      <c r="AH3" s="175">
        <v>43</v>
      </c>
      <c r="AI3" s="175"/>
      <c r="AJ3" s="175">
        <v>75</v>
      </c>
      <c r="AK3" s="175"/>
      <c r="AL3" s="175">
        <v>41</v>
      </c>
      <c r="AM3" s="175"/>
      <c r="AN3" s="175">
        <v>101</v>
      </c>
      <c r="AO3" s="175"/>
      <c r="AP3" s="175">
        <v>8</v>
      </c>
      <c r="AQ3" s="175"/>
      <c r="AR3" s="175">
        <v>33</v>
      </c>
      <c r="AS3" s="175"/>
      <c r="AT3" s="175">
        <v>53</v>
      </c>
      <c r="AU3" s="175"/>
      <c r="AV3" s="175">
        <v>52</v>
      </c>
      <c r="AW3" s="175"/>
      <c r="AX3" s="175">
        <v>76</v>
      </c>
      <c r="AY3" s="175"/>
      <c r="AZ3" s="175">
        <v>82</v>
      </c>
      <c r="BA3" s="175"/>
      <c r="BB3" s="175">
        <v>104</v>
      </c>
      <c r="BC3" s="175"/>
      <c r="BD3" s="175">
        <v>147</v>
      </c>
      <c r="BE3" s="175"/>
      <c r="BF3" s="175">
        <v>54</v>
      </c>
      <c r="BG3" s="175"/>
      <c r="BH3" s="175"/>
      <c r="BI3" s="175"/>
      <c r="BJ3" s="175"/>
    </row>
    <row r="4" spans="1:73" x14ac:dyDescent="0.25">
      <c r="A4" s="747" t="s">
        <v>0</v>
      </c>
      <c r="B4" s="747"/>
      <c r="C4" s="747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180"/>
      <c r="R4" s="180"/>
      <c r="S4" s="180"/>
      <c r="T4" s="180"/>
      <c r="U4" s="180"/>
      <c r="V4" s="180"/>
      <c r="W4" s="180"/>
      <c r="X4" s="180"/>
      <c r="Y4" s="175" t="s">
        <v>287</v>
      </c>
      <c r="Z4" s="177">
        <f>Z3/1125*100</f>
        <v>4.2666666666666666</v>
      </c>
      <c r="AA4" s="177">
        <f t="shared" ref="AA4:BF4" si="0">AA3/1125*100</f>
        <v>0</v>
      </c>
      <c r="AB4" s="177">
        <f t="shared" si="0"/>
        <v>2.0444444444444447</v>
      </c>
      <c r="AC4" s="177">
        <f t="shared" si="0"/>
        <v>0</v>
      </c>
      <c r="AD4" s="177">
        <f t="shared" si="0"/>
        <v>7.1111111111111107</v>
      </c>
      <c r="AE4" s="177">
        <f t="shared" si="0"/>
        <v>0</v>
      </c>
      <c r="AF4" s="177">
        <f t="shared" si="0"/>
        <v>9.3333333333333339</v>
      </c>
      <c r="AG4" s="177">
        <f t="shared" si="0"/>
        <v>0</v>
      </c>
      <c r="AH4" s="177">
        <f t="shared" si="0"/>
        <v>3.822222222222222</v>
      </c>
      <c r="AI4" s="177">
        <f t="shared" si="0"/>
        <v>0</v>
      </c>
      <c r="AJ4" s="177">
        <f t="shared" si="0"/>
        <v>6.666666666666667</v>
      </c>
      <c r="AK4" s="177">
        <f t="shared" si="0"/>
        <v>0</v>
      </c>
      <c r="AL4" s="177">
        <f t="shared" si="0"/>
        <v>3.6444444444444448</v>
      </c>
      <c r="AM4" s="177">
        <f t="shared" si="0"/>
        <v>0</v>
      </c>
      <c r="AN4" s="177">
        <f t="shared" si="0"/>
        <v>8.9777777777777779</v>
      </c>
      <c r="AO4" s="177">
        <f t="shared" si="0"/>
        <v>0</v>
      </c>
      <c r="AP4" s="177">
        <f t="shared" si="0"/>
        <v>0.71111111111111114</v>
      </c>
      <c r="AQ4" s="177">
        <f t="shared" si="0"/>
        <v>0</v>
      </c>
      <c r="AR4" s="177">
        <f t="shared" si="0"/>
        <v>2.9333333333333331</v>
      </c>
      <c r="AS4" s="177">
        <f t="shared" si="0"/>
        <v>0</v>
      </c>
      <c r="AT4" s="177">
        <f t="shared" si="0"/>
        <v>4.7111111111111112</v>
      </c>
      <c r="AU4" s="177">
        <f t="shared" si="0"/>
        <v>0</v>
      </c>
      <c r="AV4" s="177">
        <f t="shared" si="0"/>
        <v>4.6222222222222218</v>
      </c>
      <c r="AW4" s="177">
        <f t="shared" si="0"/>
        <v>0</v>
      </c>
      <c r="AX4" s="177">
        <f t="shared" si="0"/>
        <v>6.7555555555555546</v>
      </c>
      <c r="AY4" s="177">
        <f t="shared" si="0"/>
        <v>0</v>
      </c>
      <c r="AZ4" s="177">
        <f t="shared" si="0"/>
        <v>7.2888888888888896</v>
      </c>
      <c r="BA4" s="177">
        <f t="shared" si="0"/>
        <v>0</v>
      </c>
      <c r="BB4" s="177">
        <f t="shared" si="0"/>
        <v>9.2444444444444436</v>
      </c>
      <c r="BC4" s="177">
        <f t="shared" si="0"/>
        <v>0</v>
      </c>
      <c r="BD4" s="177">
        <f t="shared" si="0"/>
        <v>13.066666666666665</v>
      </c>
      <c r="BE4" s="177">
        <f t="shared" si="0"/>
        <v>0</v>
      </c>
      <c r="BF4" s="177">
        <f t="shared" si="0"/>
        <v>4.8</v>
      </c>
      <c r="BG4" s="175"/>
      <c r="BH4" s="175"/>
      <c r="BI4" s="175"/>
      <c r="BJ4" s="175"/>
    </row>
    <row r="5" spans="1:73" x14ac:dyDescent="0.25">
      <c r="B5" s="458" t="s">
        <v>177</v>
      </c>
      <c r="C5" s="458"/>
      <c r="D5" s="458"/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180"/>
      <c r="R5" s="180"/>
      <c r="S5" s="180"/>
      <c r="T5" s="180"/>
      <c r="U5" s="180"/>
      <c r="V5" s="180"/>
      <c r="W5" s="180"/>
      <c r="X5" s="180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</row>
    <row r="6" spans="1:73" x14ac:dyDescent="0.25">
      <c r="A6" s="591" t="s">
        <v>20</v>
      </c>
      <c r="B6" s="592"/>
      <c r="C6" s="592"/>
      <c r="D6" s="593"/>
      <c r="E6" s="724" t="s">
        <v>11</v>
      </c>
      <c r="F6" s="725"/>
      <c r="G6" s="748" t="s">
        <v>152</v>
      </c>
      <c r="H6" s="749"/>
      <c r="I6" s="749"/>
      <c r="J6" s="749"/>
      <c r="K6" s="749"/>
      <c r="L6" s="749"/>
      <c r="M6" s="749"/>
      <c r="N6" s="749"/>
      <c r="O6" s="749"/>
      <c r="P6" s="750"/>
      <c r="Q6" s="733" t="s">
        <v>61</v>
      </c>
      <c r="R6" s="751"/>
      <c r="S6" s="751"/>
      <c r="T6" s="742"/>
      <c r="U6" s="741" t="s">
        <v>6</v>
      </c>
      <c r="V6" s="751"/>
      <c r="W6" s="751"/>
      <c r="X6" s="742"/>
      <c r="Y6" s="732" t="s">
        <v>180</v>
      </c>
      <c r="Z6" s="732"/>
      <c r="AA6" s="732" t="s">
        <v>181</v>
      </c>
      <c r="AB6" s="732"/>
      <c r="AC6" s="732" t="s">
        <v>182</v>
      </c>
      <c r="AD6" s="732"/>
      <c r="AE6" s="732" t="s">
        <v>183</v>
      </c>
      <c r="AF6" s="732"/>
      <c r="AG6" s="732" t="s">
        <v>184</v>
      </c>
      <c r="AH6" s="732"/>
      <c r="AI6" s="732" t="s">
        <v>185</v>
      </c>
      <c r="AJ6" s="732"/>
      <c r="AK6" s="732" t="s">
        <v>186</v>
      </c>
      <c r="AL6" s="732"/>
      <c r="AM6" s="732" t="s">
        <v>187</v>
      </c>
      <c r="AN6" s="732"/>
      <c r="AO6" s="732" t="s">
        <v>188</v>
      </c>
      <c r="AP6" s="732"/>
      <c r="AQ6" s="732" t="s">
        <v>189</v>
      </c>
      <c r="AR6" s="732"/>
      <c r="AS6" s="732" t="s">
        <v>190</v>
      </c>
      <c r="AT6" s="732"/>
      <c r="AU6" s="733" t="s">
        <v>191</v>
      </c>
      <c r="AV6" s="734"/>
      <c r="AW6" s="733" t="s">
        <v>192</v>
      </c>
      <c r="AX6" s="734"/>
      <c r="AY6" s="732" t="s">
        <v>193</v>
      </c>
      <c r="AZ6" s="732"/>
      <c r="BA6" s="733" t="s">
        <v>194</v>
      </c>
      <c r="BB6" s="734"/>
      <c r="BC6" s="733" t="s">
        <v>195</v>
      </c>
      <c r="BD6" s="734"/>
      <c r="BE6" s="733" t="s">
        <v>196</v>
      </c>
      <c r="BF6" s="734"/>
      <c r="BG6" s="741" t="s">
        <v>197</v>
      </c>
      <c r="BH6" s="742"/>
      <c r="BI6" s="745" t="s">
        <v>17</v>
      </c>
      <c r="BJ6" s="745"/>
      <c r="BK6" s="8"/>
    </row>
    <row r="7" spans="1:73" ht="31.5" x14ac:dyDescent="0.25">
      <c r="B7" s="592" t="s">
        <v>12</v>
      </c>
      <c r="C7" s="594" t="s">
        <v>14</v>
      </c>
      <c r="D7" s="132" t="s">
        <v>18</v>
      </c>
      <c r="E7" s="132" t="s">
        <v>19</v>
      </c>
      <c r="F7" s="132" t="s">
        <v>15</v>
      </c>
      <c r="G7" s="11" t="s">
        <v>200</v>
      </c>
      <c r="H7" s="11" t="s">
        <v>201</v>
      </c>
      <c r="I7" s="11" t="s">
        <v>202</v>
      </c>
      <c r="J7" s="11" t="s">
        <v>203</v>
      </c>
      <c r="K7" s="11" t="s">
        <v>204</v>
      </c>
      <c r="L7" s="11" t="s">
        <v>205</v>
      </c>
      <c r="M7" s="11" t="s">
        <v>919</v>
      </c>
      <c r="N7" s="11" t="s">
        <v>206</v>
      </c>
      <c r="O7" s="11" t="s">
        <v>207</v>
      </c>
      <c r="P7" s="11" t="s">
        <v>768</v>
      </c>
      <c r="Q7" s="743"/>
      <c r="R7" s="752"/>
      <c r="S7" s="752"/>
      <c r="T7" s="744"/>
      <c r="U7" s="743"/>
      <c r="V7" s="752"/>
      <c r="W7" s="752"/>
      <c r="X7" s="744"/>
      <c r="Y7" s="732"/>
      <c r="Z7" s="732"/>
      <c r="AA7" s="732"/>
      <c r="AB7" s="732"/>
      <c r="AC7" s="732"/>
      <c r="AD7" s="732"/>
      <c r="AE7" s="732"/>
      <c r="AF7" s="732"/>
      <c r="AG7" s="732"/>
      <c r="AH7" s="732"/>
      <c r="AI7" s="732"/>
      <c r="AJ7" s="732"/>
      <c r="AK7" s="732"/>
      <c r="AL7" s="732"/>
      <c r="AM7" s="732"/>
      <c r="AN7" s="732"/>
      <c r="AO7" s="732"/>
      <c r="AP7" s="732"/>
      <c r="AQ7" s="732"/>
      <c r="AR7" s="732"/>
      <c r="AS7" s="732"/>
      <c r="AT7" s="732"/>
      <c r="AU7" s="735"/>
      <c r="AV7" s="736"/>
      <c r="AW7" s="735"/>
      <c r="AX7" s="736"/>
      <c r="AY7" s="732"/>
      <c r="AZ7" s="732"/>
      <c r="BA7" s="735"/>
      <c r="BB7" s="736"/>
      <c r="BC7" s="735"/>
      <c r="BD7" s="736"/>
      <c r="BE7" s="735"/>
      <c r="BF7" s="736"/>
      <c r="BG7" s="743"/>
      <c r="BH7" s="744"/>
      <c r="BI7" s="745"/>
      <c r="BJ7" s="745"/>
      <c r="BK7" s="553" t="s">
        <v>230</v>
      </c>
      <c r="BM7" s="737" t="s">
        <v>228</v>
      </c>
      <c r="BN7" s="738"/>
      <c r="BO7" s="738"/>
      <c r="BP7" s="738"/>
      <c r="BQ7" s="739"/>
      <c r="BR7" s="746" t="s">
        <v>229</v>
      </c>
      <c r="BS7" s="746"/>
      <c r="BT7" s="746"/>
      <c r="BU7" s="740" t="s">
        <v>17</v>
      </c>
    </row>
    <row r="8" spans="1:73" ht="47.25" x14ac:dyDescent="0.25">
      <c r="A8" s="595"/>
      <c r="B8" s="596"/>
      <c r="C8" s="597"/>
      <c r="D8" s="598"/>
      <c r="E8" s="598"/>
      <c r="F8" s="598"/>
      <c r="G8" s="599"/>
      <c r="H8" s="599"/>
      <c r="I8" s="599"/>
      <c r="J8" s="599"/>
      <c r="K8" s="599"/>
      <c r="L8" s="599"/>
      <c r="M8" s="599"/>
      <c r="N8" s="599"/>
      <c r="O8" s="599"/>
      <c r="P8" s="599"/>
      <c r="Q8" s="11" t="s">
        <v>7</v>
      </c>
      <c r="R8" s="11" t="s">
        <v>8</v>
      </c>
      <c r="S8" s="11" t="s">
        <v>9</v>
      </c>
      <c r="T8" s="11" t="s">
        <v>10</v>
      </c>
      <c r="U8" s="11" t="s">
        <v>7</v>
      </c>
      <c r="V8" s="11" t="s">
        <v>8</v>
      </c>
      <c r="W8" s="11" t="s">
        <v>9</v>
      </c>
      <c r="X8" s="11" t="s">
        <v>10</v>
      </c>
      <c r="Y8" s="11" t="s">
        <v>14</v>
      </c>
      <c r="Z8" s="11" t="s">
        <v>15</v>
      </c>
      <c r="AA8" s="11" t="s">
        <v>14</v>
      </c>
      <c r="AB8" s="11" t="s">
        <v>15</v>
      </c>
      <c r="AC8" s="11" t="s">
        <v>14</v>
      </c>
      <c r="AD8" s="11" t="s">
        <v>15</v>
      </c>
      <c r="AE8" s="11" t="s">
        <v>14</v>
      </c>
      <c r="AF8" s="11" t="s">
        <v>15</v>
      </c>
      <c r="AG8" s="11" t="s">
        <v>14</v>
      </c>
      <c r="AH8" s="11" t="s">
        <v>15</v>
      </c>
      <c r="AI8" s="11" t="s">
        <v>14</v>
      </c>
      <c r="AJ8" s="11" t="s">
        <v>15</v>
      </c>
      <c r="AK8" s="11" t="s">
        <v>14</v>
      </c>
      <c r="AL8" s="11" t="s">
        <v>15</v>
      </c>
      <c r="AM8" s="11" t="s">
        <v>14</v>
      </c>
      <c r="AN8" s="11" t="s">
        <v>15</v>
      </c>
      <c r="AO8" s="11" t="s">
        <v>14</v>
      </c>
      <c r="AP8" s="11" t="s">
        <v>15</v>
      </c>
      <c r="AQ8" s="11" t="s">
        <v>14</v>
      </c>
      <c r="AR8" s="11" t="s">
        <v>15</v>
      </c>
      <c r="AS8" s="11" t="s">
        <v>14</v>
      </c>
      <c r="AT8" s="11" t="s">
        <v>15</v>
      </c>
      <c r="AU8" s="11" t="s">
        <v>14</v>
      </c>
      <c r="AV8" s="11" t="s">
        <v>15</v>
      </c>
      <c r="AW8" s="11" t="s">
        <v>14</v>
      </c>
      <c r="AX8" s="11" t="s">
        <v>15</v>
      </c>
      <c r="AY8" s="11" t="s">
        <v>14</v>
      </c>
      <c r="AZ8" s="11" t="s">
        <v>15</v>
      </c>
      <c r="BA8" s="11" t="s">
        <v>14</v>
      </c>
      <c r="BB8" s="11" t="s">
        <v>15</v>
      </c>
      <c r="BC8" s="11" t="s">
        <v>14</v>
      </c>
      <c r="BD8" s="11" t="s">
        <v>15</v>
      </c>
      <c r="BE8" s="11" t="s">
        <v>14</v>
      </c>
      <c r="BF8" s="11" t="s">
        <v>15</v>
      </c>
      <c r="BG8" s="11" t="s">
        <v>14</v>
      </c>
      <c r="BH8" s="11" t="s">
        <v>15</v>
      </c>
      <c r="BI8" s="11" t="s">
        <v>14</v>
      </c>
      <c r="BJ8" s="11" t="s">
        <v>15</v>
      </c>
      <c r="BK8" s="553"/>
      <c r="BM8" s="16" t="s">
        <v>219</v>
      </c>
      <c r="BN8" s="28" t="s">
        <v>220</v>
      </c>
      <c r="BO8" s="28" t="s">
        <v>221</v>
      </c>
      <c r="BP8" s="565" t="s">
        <v>222</v>
      </c>
      <c r="BQ8" s="28" t="s">
        <v>223</v>
      </c>
      <c r="BR8" s="28" t="s">
        <v>224</v>
      </c>
      <c r="BS8" s="28" t="s">
        <v>225</v>
      </c>
      <c r="BT8" s="28" t="s">
        <v>226</v>
      </c>
      <c r="BU8" s="740"/>
    </row>
    <row r="9" spans="1:73" x14ac:dyDescent="0.25">
      <c r="A9" s="595"/>
      <c r="B9" s="185" t="s">
        <v>316</v>
      </c>
      <c r="C9" s="186"/>
      <c r="D9" s="186"/>
      <c r="E9" s="8"/>
      <c r="F9" s="549"/>
      <c r="G9" s="549"/>
      <c r="H9" s="549"/>
      <c r="I9" s="549"/>
      <c r="J9" s="549"/>
      <c r="K9" s="549"/>
      <c r="L9" s="549"/>
      <c r="M9" s="549"/>
      <c r="N9" s="549"/>
      <c r="O9" s="549"/>
      <c r="P9" s="549"/>
      <c r="Q9" s="11"/>
      <c r="R9" s="11"/>
      <c r="S9" s="11"/>
      <c r="T9" s="11"/>
      <c r="U9" s="11"/>
      <c r="V9" s="11"/>
      <c r="W9" s="11"/>
      <c r="X9" s="11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439"/>
      <c r="BK9" s="186"/>
      <c r="BM9" s="190"/>
      <c r="BN9" s="190"/>
      <c r="BO9" s="190"/>
      <c r="BP9" s="190"/>
      <c r="BQ9" s="190"/>
      <c r="BR9" s="190"/>
      <c r="BS9" s="190"/>
      <c r="BT9" s="190"/>
      <c r="BU9" s="167"/>
    </row>
    <row r="10" spans="1:73" x14ac:dyDescent="0.25">
      <c r="A10" s="595"/>
      <c r="B10" s="185" t="s">
        <v>1014</v>
      </c>
      <c r="C10" s="186"/>
      <c r="D10" s="186"/>
      <c r="E10" s="8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11"/>
      <c r="R10" s="11"/>
      <c r="S10" s="11"/>
      <c r="T10" s="11"/>
      <c r="U10" s="11"/>
      <c r="V10" s="11"/>
      <c r="W10" s="11"/>
      <c r="X10" s="11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439"/>
      <c r="BK10" s="186"/>
      <c r="BM10" s="190"/>
      <c r="BN10" s="190"/>
      <c r="BO10" s="190"/>
      <c r="BP10" s="190"/>
      <c r="BQ10" s="190"/>
      <c r="BR10" s="190"/>
      <c r="BS10" s="190"/>
      <c r="BT10" s="190"/>
      <c r="BU10" s="167"/>
    </row>
    <row r="11" spans="1:73" x14ac:dyDescent="0.25">
      <c r="A11" s="595"/>
      <c r="B11" s="185" t="s">
        <v>437</v>
      </c>
      <c r="C11" s="186"/>
      <c r="D11" s="186"/>
      <c r="E11" s="8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7"/>
      <c r="BJ11" s="439"/>
      <c r="BK11" s="186"/>
      <c r="BM11" s="190"/>
      <c r="BN11" s="190"/>
      <c r="BO11" s="190"/>
      <c r="BP11" s="190"/>
      <c r="BQ11" s="190"/>
      <c r="BR11" s="190"/>
      <c r="BS11" s="190"/>
      <c r="BT11" s="190"/>
      <c r="BU11" s="167"/>
    </row>
    <row r="12" spans="1:73" x14ac:dyDescent="0.25">
      <c r="A12" s="595" t="s">
        <v>723</v>
      </c>
      <c r="B12" s="192" t="s">
        <v>988</v>
      </c>
      <c r="C12" s="186" t="s">
        <v>69</v>
      </c>
      <c r="D12" s="193">
        <v>200</v>
      </c>
      <c r="E12" s="7">
        <f>BI12</f>
        <v>600</v>
      </c>
      <c r="F12" s="6">
        <f>BJ12</f>
        <v>120000</v>
      </c>
      <c r="G12" s="6">
        <f>F12*0.2</f>
        <v>24000</v>
      </c>
      <c r="H12" s="6">
        <f>F12*0.8</f>
        <v>96000</v>
      </c>
      <c r="I12" s="6"/>
      <c r="J12" s="6"/>
      <c r="K12" s="6"/>
      <c r="L12" s="6"/>
      <c r="M12" s="6"/>
      <c r="N12" s="6"/>
      <c r="O12" s="6"/>
      <c r="P12" s="6"/>
      <c r="Q12" s="6">
        <f>E12*0.25</f>
        <v>150</v>
      </c>
      <c r="R12" s="6">
        <f>E12*0.25</f>
        <v>150</v>
      </c>
      <c r="S12" s="6">
        <f>E12*0.25</f>
        <v>150</v>
      </c>
      <c r="T12" s="6">
        <f>E12*0.25</f>
        <v>150</v>
      </c>
      <c r="U12" s="6">
        <f>Q12*D12</f>
        <v>30000</v>
      </c>
      <c r="V12" s="6">
        <f>R12*D12</f>
        <v>30000</v>
      </c>
      <c r="W12" s="6">
        <f>S12*D12</f>
        <v>30000</v>
      </c>
      <c r="X12" s="6">
        <f>T12*D12</f>
        <v>30000</v>
      </c>
      <c r="Y12" s="6">
        <f>12+14</f>
        <v>26</v>
      </c>
      <c r="Z12" s="6">
        <f>Y12*D12</f>
        <v>5200</v>
      </c>
      <c r="AA12" s="6">
        <f>14+14</f>
        <v>28</v>
      </c>
      <c r="AB12" s="6">
        <f>D12*AA12</f>
        <v>5600</v>
      </c>
      <c r="AC12" s="6">
        <f>19+14</f>
        <v>33</v>
      </c>
      <c r="AD12" s="6">
        <f>AC12*D12</f>
        <v>6600</v>
      </c>
      <c r="AE12" s="6">
        <f>25+14</f>
        <v>39</v>
      </c>
      <c r="AF12" s="6">
        <f>AE12*D12</f>
        <v>7800</v>
      </c>
      <c r="AG12" s="6">
        <f>22+14</f>
        <v>36</v>
      </c>
      <c r="AH12" s="6">
        <f>AG12*D12</f>
        <v>7200</v>
      </c>
      <c r="AI12" s="6">
        <f>30+14</f>
        <v>44</v>
      </c>
      <c r="AJ12" s="6">
        <f>D12*AI12</f>
        <v>8800</v>
      </c>
      <c r="AK12" s="6">
        <f>15+14</f>
        <v>29</v>
      </c>
      <c r="AL12" s="6">
        <f>D12*AK12</f>
        <v>5800</v>
      </c>
      <c r="AM12" s="6">
        <f>20+14</f>
        <v>34</v>
      </c>
      <c r="AN12" s="6">
        <f>D12*AM12</f>
        <v>6800</v>
      </c>
      <c r="AO12" s="6">
        <f>10+14</f>
        <v>24</v>
      </c>
      <c r="AP12" s="6">
        <f>AO12*D12</f>
        <v>4800</v>
      </c>
      <c r="AQ12" s="6">
        <f>10+14</f>
        <v>24</v>
      </c>
      <c r="AR12" s="6">
        <f>AQ12*D12</f>
        <v>4800</v>
      </c>
      <c r="AS12" s="6">
        <f>15+14</f>
        <v>29</v>
      </c>
      <c r="AT12" s="6">
        <f>AS12*D12</f>
        <v>5800</v>
      </c>
      <c r="AU12" s="6">
        <f>30+14</f>
        <v>44</v>
      </c>
      <c r="AV12" s="6">
        <f>AU12*D12</f>
        <v>8800</v>
      </c>
      <c r="AW12" s="6">
        <f>20+14</f>
        <v>34</v>
      </c>
      <c r="AX12" s="6">
        <f>AW12*D12</f>
        <v>6800</v>
      </c>
      <c r="AY12" s="6">
        <f>10+14</f>
        <v>24</v>
      </c>
      <c r="AZ12" s="6">
        <f>AY12*D12</f>
        <v>4800</v>
      </c>
      <c r="BA12" s="6">
        <f>60+14</f>
        <v>74</v>
      </c>
      <c r="BB12" s="6">
        <f>D12*BA12</f>
        <v>14800</v>
      </c>
      <c r="BC12" s="6">
        <f>10+14</f>
        <v>24</v>
      </c>
      <c r="BD12" s="6">
        <f>BC12*D12</f>
        <v>4800</v>
      </c>
      <c r="BE12" s="6">
        <f>40+14</f>
        <v>54</v>
      </c>
      <c r="BF12" s="6">
        <f>BE12*D12</f>
        <v>10800</v>
      </c>
      <c r="BG12" s="6"/>
      <c r="BH12" s="6">
        <f>BG12*D12</f>
        <v>0</v>
      </c>
      <c r="BI12" s="7">
        <f t="shared" ref="BI12:BJ14" si="1">BG12+BE12+BC12+BA12+AY12+AW12+AU12+AS12+AQ12+AO12+AM12+AK12+AI12+AG12+AE12+AC12+AA12+Y12</f>
        <v>600</v>
      </c>
      <c r="BJ12" s="7">
        <f t="shared" si="1"/>
        <v>120000</v>
      </c>
      <c r="BK12" s="186" t="s">
        <v>210</v>
      </c>
      <c r="BM12" s="190">
        <v>0</v>
      </c>
      <c r="BN12" s="190">
        <f>BJ12</f>
        <v>120000</v>
      </c>
      <c r="BO12" s="190">
        <v>0</v>
      </c>
      <c r="BP12" s="190">
        <v>0</v>
      </c>
      <c r="BQ12" s="190">
        <f>BM12+BN12+BO12+BP12</f>
        <v>120000</v>
      </c>
      <c r="BR12" s="190">
        <v>0</v>
      </c>
      <c r="BS12" s="190">
        <v>0</v>
      </c>
      <c r="BT12" s="190">
        <f>BR12+BS12</f>
        <v>0</v>
      </c>
      <c r="BU12" s="167">
        <f t="shared" ref="BU12:BU61" si="2">BQ12+BT12</f>
        <v>120000</v>
      </c>
    </row>
    <row r="13" spans="1:73" x14ac:dyDescent="0.25">
      <c r="A13" s="595" t="s">
        <v>724</v>
      </c>
      <c r="B13" s="192" t="s">
        <v>652</v>
      </c>
      <c r="C13" s="186" t="s">
        <v>653</v>
      </c>
      <c r="D13" s="193">
        <v>1000</v>
      </c>
      <c r="E13" s="7">
        <f>BI13</f>
        <v>242</v>
      </c>
      <c r="F13" s="6">
        <f>D13*E13</f>
        <v>242000</v>
      </c>
      <c r="G13" s="6">
        <f>F13*0.2</f>
        <v>48400</v>
      </c>
      <c r="H13" s="6">
        <f>F13*0.8</f>
        <v>193600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>
        <v>12</v>
      </c>
      <c r="Z13" s="6">
        <f>Y13*D13</f>
        <v>12000</v>
      </c>
      <c r="AA13" s="6">
        <v>14</v>
      </c>
      <c r="AB13" s="6">
        <f>D13*AA13</f>
        <v>14000</v>
      </c>
      <c r="AC13" s="6">
        <v>19</v>
      </c>
      <c r="AD13" s="6">
        <f>AC13*D13</f>
        <v>19000</v>
      </c>
      <c r="AE13" s="6">
        <v>5</v>
      </c>
      <c r="AF13" s="6">
        <f>AE13*D13</f>
        <v>5000</v>
      </c>
      <c r="AG13" s="6">
        <v>4</v>
      </c>
      <c r="AH13" s="6">
        <f>AG13*D13</f>
        <v>4000</v>
      </c>
      <c r="AI13" s="6">
        <v>22</v>
      </c>
      <c r="AJ13" s="6">
        <f>D13*AI13</f>
        <v>22000</v>
      </c>
      <c r="AK13" s="6">
        <v>4</v>
      </c>
      <c r="AL13" s="6">
        <f>D13*AK13</f>
        <v>4000</v>
      </c>
      <c r="AM13" s="6">
        <v>20</v>
      </c>
      <c r="AN13" s="6">
        <f>D13*AM13</f>
        <v>20000</v>
      </c>
      <c r="AO13" s="6">
        <v>3</v>
      </c>
      <c r="AP13" s="6">
        <f>AO13*D13</f>
        <v>3000</v>
      </c>
      <c r="AQ13" s="6">
        <v>1</v>
      </c>
      <c r="AR13" s="6">
        <f>AQ13*D13</f>
        <v>1000</v>
      </c>
      <c r="AS13" s="6">
        <v>12</v>
      </c>
      <c r="AT13" s="6">
        <f>AS13*D13</f>
        <v>12000</v>
      </c>
      <c r="AU13" s="6">
        <v>25</v>
      </c>
      <c r="AV13" s="6">
        <f>AU13*D13</f>
        <v>25000</v>
      </c>
      <c r="AW13" s="6">
        <v>5</v>
      </c>
      <c r="AX13" s="6">
        <f>AW13*D13</f>
        <v>5000</v>
      </c>
      <c r="AY13" s="6">
        <v>1</v>
      </c>
      <c r="AZ13" s="6">
        <f>AY13*D13</f>
        <v>1000</v>
      </c>
      <c r="BA13" s="6">
        <v>56</v>
      </c>
      <c r="BB13" s="6">
        <f>D13*BA13</f>
        <v>56000</v>
      </c>
      <c r="BC13" s="6">
        <v>4</v>
      </c>
      <c r="BD13" s="6">
        <f>BC13*D13</f>
        <v>4000</v>
      </c>
      <c r="BE13" s="6">
        <v>35</v>
      </c>
      <c r="BF13" s="6">
        <f>BE13*D13</f>
        <v>35000</v>
      </c>
      <c r="BG13" s="6"/>
      <c r="BH13" s="6"/>
      <c r="BI13" s="7">
        <f t="shared" si="1"/>
        <v>242</v>
      </c>
      <c r="BJ13" s="7">
        <f t="shared" si="1"/>
        <v>242000</v>
      </c>
      <c r="BK13" s="186"/>
      <c r="BM13" s="190"/>
      <c r="BN13" s="190">
        <f>BJ13</f>
        <v>242000</v>
      </c>
      <c r="BO13" s="190"/>
      <c r="BP13" s="190"/>
      <c r="BQ13" s="190">
        <f>BM13+BN13+BO13+BP13</f>
        <v>242000</v>
      </c>
      <c r="BR13" s="190"/>
      <c r="BS13" s="190"/>
      <c r="BT13" s="190"/>
      <c r="BU13" s="167">
        <f t="shared" si="2"/>
        <v>242000</v>
      </c>
    </row>
    <row r="14" spans="1:73" ht="31.5" x14ac:dyDescent="0.25">
      <c r="A14" s="595" t="s">
        <v>725</v>
      </c>
      <c r="B14" s="199" t="s">
        <v>954</v>
      </c>
      <c r="C14" s="186" t="s">
        <v>467</v>
      </c>
      <c r="D14" s="193">
        <v>1000</v>
      </c>
      <c r="E14" s="8">
        <f>BI14</f>
        <v>765</v>
      </c>
      <c r="F14" s="6">
        <f>BJ14</f>
        <v>900000</v>
      </c>
      <c r="G14" s="6">
        <f>F14*0.2</f>
        <v>180000</v>
      </c>
      <c r="H14" s="6">
        <f>F14*0.8</f>
        <v>720000</v>
      </c>
      <c r="I14" s="6"/>
      <c r="J14" s="6"/>
      <c r="K14" s="6"/>
      <c r="L14" s="6"/>
      <c r="M14" s="6"/>
      <c r="N14" s="6"/>
      <c r="O14" s="6"/>
      <c r="P14" s="6"/>
      <c r="Q14" s="6">
        <f>E14*0.25</f>
        <v>191.25</v>
      </c>
      <c r="R14" s="6">
        <f>E14*0.25</f>
        <v>191.25</v>
      </c>
      <c r="S14" s="6">
        <f>E14*0.25</f>
        <v>191.25</v>
      </c>
      <c r="T14" s="6">
        <f>E14*0.25</f>
        <v>191.25</v>
      </c>
      <c r="U14" s="6">
        <f>Q14*D14</f>
        <v>191250</v>
      </c>
      <c r="V14" s="6">
        <f>R14*D14</f>
        <v>191250</v>
      </c>
      <c r="W14" s="6">
        <f>S14*D14</f>
        <v>191250</v>
      </c>
      <c r="X14" s="6">
        <f>F14-89250</f>
        <v>810750</v>
      </c>
      <c r="Y14" s="6">
        <v>45</v>
      </c>
      <c r="Z14" s="6">
        <f>Y14*D14</f>
        <v>45000</v>
      </c>
      <c r="AA14" s="6">
        <v>45</v>
      </c>
      <c r="AB14" s="6">
        <f>D14*AA14</f>
        <v>45000</v>
      </c>
      <c r="AC14" s="6">
        <v>45</v>
      </c>
      <c r="AD14" s="6">
        <f>AC14*D14</f>
        <v>45000</v>
      </c>
      <c r="AE14" s="6">
        <v>45</v>
      </c>
      <c r="AF14" s="6">
        <f>AE14*D14</f>
        <v>45000</v>
      </c>
      <c r="AG14" s="6">
        <v>45</v>
      </c>
      <c r="AH14" s="6">
        <f>AG14*D14</f>
        <v>45000</v>
      </c>
      <c r="AI14" s="6">
        <v>45</v>
      </c>
      <c r="AJ14" s="6">
        <f>D14*AI14</f>
        <v>45000</v>
      </c>
      <c r="AK14" s="6">
        <v>45</v>
      </c>
      <c r="AL14" s="6">
        <f>D14*AK14</f>
        <v>45000</v>
      </c>
      <c r="AM14" s="6">
        <v>45</v>
      </c>
      <c r="AN14" s="6">
        <f>D14*AM14*4</f>
        <v>180000</v>
      </c>
      <c r="AO14" s="6">
        <v>45</v>
      </c>
      <c r="AP14" s="6">
        <f>AO14*D14</f>
        <v>45000</v>
      </c>
      <c r="AQ14" s="6">
        <v>45</v>
      </c>
      <c r="AR14" s="6">
        <f>AQ14*D14</f>
        <v>45000</v>
      </c>
      <c r="AS14" s="6">
        <v>45</v>
      </c>
      <c r="AT14" s="6">
        <f>AS14*D14</f>
        <v>45000</v>
      </c>
      <c r="AU14" s="6">
        <v>45</v>
      </c>
      <c r="AV14" s="6">
        <f>AU14*D14</f>
        <v>45000</v>
      </c>
      <c r="AW14" s="6">
        <v>45</v>
      </c>
      <c r="AX14" s="6">
        <f>AW14*D14</f>
        <v>45000</v>
      </c>
      <c r="AY14" s="6">
        <v>45</v>
      </c>
      <c r="AZ14" s="6">
        <f>AY14*D14</f>
        <v>45000</v>
      </c>
      <c r="BA14" s="6">
        <v>45</v>
      </c>
      <c r="BB14" s="6">
        <f>D14*BA14</f>
        <v>45000</v>
      </c>
      <c r="BC14" s="6">
        <v>45</v>
      </c>
      <c r="BD14" s="6">
        <f>BC14*D14</f>
        <v>45000</v>
      </c>
      <c r="BE14" s="6">
        <v>45</v>
      </c>
      <c r="BF14" s="6">
        <f>BE14*D14</f>
        <v>45000</v>
      </c>
      <c r="BG14" s="6">
        <v>0</v>
      </c>
      <c r="BH14" s="6">
        <f>BG14*D14</f>
        <v>0</v>
      </c>
      <c r="BI14" s="7">
        <f t="shared" si="1"/>
        <v>765</v>
      </c>
      <c r="BJ14" s="7">
        <f t="shared" si="1"/>
        <v>900000</v>
      </c>
      <c r="BK14" s="186" t="s">
        <v>210</v>
      </c>
      <c r="BM14" s="190">
        <v>0</v>
      </c>
      <c r="BN14" s="190">
        <f>BJ14</f>
        <v>900000</v>
      </c>
      <c r="BO14" s="190">
        <v>0</v>
      </c>
      <c r="BP14" s="190">
        <v>0</v>
      </c>
      <c r="BQ14" s="190">
        <f>BM14+BN14+BO14+BP14</f>
        <v>900000</v>
      </c>
      <c r="BR14" s="190">
        <v>0</v>
      </c>
      <c r="BS14" s="190">
        <v>0</v>
      </c>
      <c r="BT14" s="190">
        <f>BR14+BS14</f>
        <v>0</v>
      </c>
      <c r="BU14" s="167">
        <f t="shared" si="2"/>
        <v>900000</v>
      </c>
    </row>
    <row r="15" spans="1:73" x14ac:dyDescent="0.25">
      <c r="B15" s="185" t="s">
        <v>438</v>
      </c>
      <c r="C15" s="186" t="s">
        <v>111</v>
      </c>
      <c r="D15" s="193" t="s">
        <v>111</v>
      </c>
      <c r="E15" s="11">
        <f>SUM(E12:E14)</f>
        <v>1607</v>
      </c>
      <c r="F15" s="11">
        <f>SUM(F12:F14)</f>
        <v>1262000</v>
      </c>
      <c r="G15" s="11">
        <f>SUM(G12:G14)</f>
        <v>252400</v>
      </c>
      <c r="H15" s="11">
        <f t="shared" ref="H15:P15" si="3">SUM(H12:H14)</f>
        <v>1009600</v>
      </c>
      <c r="I15" s="11">
        <f t="shared" si="3"/>
        <v>0</v>
      </c>
      <c r="J15" s="11">
        <f t="shared" si="3"/>
        <v>0</v>
      </c>
      <c r="K15" s="11">
        <f t="shared" si="3"/>
        <v>0</v>
      </c>
      <c r="L15" s="11">
        <f t="shared" si="3"/>
        <v>0</v>
      </c>
      <c r="M15" s="11">
        <f t="shared" si="3"/>
        <v>0</v>
      </c>
      <c r="N15" s="11">
        <f t="shared" si="3"/>
        <v>0</v>
      </c>
      <c r="O15" s="11">
        <f t="shared" si="3"/>
        <v>0</v>
      </c>
      <c r="P15" s="11">
        <f t="shared" si="3"/>
        <v>0</v>
      </c>
      <c r="Q15" s="11"/>
      <c r="R15" s="11"/>
      <c r="S15" s="11"/>
      <c r="T15" s="11"/>
      <c r="U15" s="11">
        <f>SUM(U12:U14)</f>
        <v>221250</v>
      </c>
      <c r="V15" s="11">
        <f>SUM(V12:V14)</f>
        <v>221250</v>
      </c>
      <c r="W15" s="11">
        <f>SUM(W12:W14)</f>
        <v>221250</v>
      </c>
      <c r="X15" s="11">
        <f>SUM(X12:X14)</f>
        <v>840750</v>
      </c>
      <c r="Y15" s="6">
        <f>SUM(Y12:Y14)</f>
        <v>83</v>
      </c>
      <c r="Z15" s="6">
        <f t="shared" ref="Z15:BU15" si="4">SUM(Z12:Z14)</f>
        <v>62200</v>
      </c>
      <c r="AA15" s="6">
        <f t="shared" si="4"/>
        <v>87</v>
      </c>
      <c r="AB15" s="6">
        <f t="shared" si="4"/>
        <v>64600</v>
      </c>
      <c r="AC15" s="6">
        <f t="shared" si="4"/>
        <v>97</v>
      </c>
      <c r="AD15" s="6">
        <f t="shared" si="4"/>
        <v>70600</v>
      </c>
      <c r="AE15" s="6">
        <f t="shared" si="4"/>
        <v>89</v>
      </c>
      <c r="AF15" s="6">
        <f t="shared" si="4"/>
        <v>57800</v>
      </c>
      <c r="AG15" s="6">
        <f t="shared" si="4"/>
        <v>85</v>
      </c>
      <c r="AH15" s="6">
        <f t="shared" si="4"/>
        <v>56200</v>
      </c>
      <c r="AI15" s="6">
        <f t="shared" si="4"/>
        <v>111</v>
      </c>
      <c r="AJ15" s="6">
        <f t="shared" si="4"/>
        <v>75800</v>
      </c>
      <c r="AK15" s="6">
        <f t="shared" si="4"/>
        <v>78</v>
      </c>
      <c r="AL15" s="6">
        <f t="shared" si="4"/>
        <v>54800</v>
      </c>
      <c r="AM15" s="6">
        <f t="shared" si="4"/>
        <v>99</v>
      </c>
      <c r="AN15" s="6">
        <f t="shared" si="4"/>
        <v>206800</v>
      </c>
      <c r="AO15" s="6">
        <f t="shared" si="4"/>
        <v>72</v>
      </c>
      <c r="AP15" s="6">
        <f t="shared" si="4"/>
        <v>52800</v>
      </c>
      <c r="AQ15" s="6">
        <f t="shared" si="4"/>
        <v>70</v>
      </c>
      <c r="AR15" s="6">
        <f t="shared" si="4"/>
        <v>50800</v>
      </c>
      <c r="AS15" s="6">
        <f t="shared" si="4"/>
        <v>86</v>
      </c>
      <c r="AT15" s="6">
        <f t="shared" si="4"/>
        <v>62800</v>
      </c>
      <c r="AU15" s="6">
        <f t="shared" si="4"/>
        <v>114</v>
      </c>
      <c r="AV15" s="6">
        <f t="shared" si="4"/>
        <v>78800</v>
      </c>
      <c r="AW15" s="6">
        <f t="shared" si="4"/>
        <v>84</v>
      </c>
      <c r="AX15" s="6">
        <f t="shared" si="4"/>
        <v>56800</v>
      </c>
      <c r="AY15" s="6">
        <f t="shared" si="4"/>
        <v>70</v>
      </c>
      <c r="AZ15" s="6">
        <f t="shared" si="4"/>
        <v>50800</v>
      </c>
      <c r="BA15" s="6">
        <f t="shared" si="4"/>
        <v>175</v>
      </c>
      <c r="BB15" s="6">
        <f t="shared" si="4"/>
        <v>115800</v>
      </c>
      <c r="BC15" s="6">
        <v>0</v>
      </c>
      <c r="BD15" s="6">
        <f t="shared" si="4"/>
        <v>53800</v>
      </c>
      <c r="BE15" s="6">
        <f t="shared" si="4"/>
        <v>134</v>
      </c>
      <c r="BF15" s="6">
        <f t="shared" si="4"/>
        <v>90800</v>
      </c>
      <c r="BG15" s="6">
        <f t="shared" si="4"/>
        <v>0</v>
      </c>
      <c r="BH15" s="6">
        <f t="shared" si="4"/>
        <v>0</v>
      </c>
      <c r="BI15" s="6">
        <f t="shared" si="4"/>
        <v>1607</v>
      </c>
      <c r="BJ15" s="6">
        <f t="shared" si="4"/>
        <v>1262000</v>
      </c>
      <c r="BK15" s="6">
        <f t="shared" si="4"/>
        <v>0</v>
      </c>
      <c r="BL15" s="6">
        <f t="shared" si="4"/>
        <v>0</v>
      </c>
      <c r="BM15" s="6">
        <f t="shared" si="4"/>
        <v>0</v>
      </c>
      <c r="BN15" s="6">
        <f t="shared" si="4"/>
        <v>1262000</v>
      </c>
      <c r="BO15" s="6">
        <f t="shared" si="4"/>
        <v>0</v>
      </c>
      <c r="BP15" s="6">
        <f t="shared" si="4"/>
        <v>0</v>
      </c>
      <c r="BQ15" s="6">
        <f t="shared" si="4"/>
        <v>1262000</v>
      </c>
      <c r="BR15" s="6">
        <f t="shared" si="4"/>
        <v>0</v>
      </c>
      <c r="BS15" s="6">
        <f t="shared" si="4"/>
        <v>0</v>
      </c>
      <c r="BT15" s="6">
        <f t="shared" si="4"/>
        <v>0</v>
      </c>
      <c r="BU15" s="6">
        <f t="shared" si="4"/>
        <v>1262000</v>
      </c>
    </row>
    <row r="16" spans="1:73" ht="31.5" x14ac:dyDescent="0.25">
      <c r="A16" s="595" t="s">
        <v>726</v>
      </c>
      <c r="B16" s="199" t="s">
        <v>961</v>
      </c>
      <c r="C16" s="186" t="s">
        <v>69</v>
      </c>
      <c r="D16" s="193" t="s">
        <v>471</v>
      </c>
      <c r="E16" s="8">
        <f>BI16</f>
        <v>100</v>
      </c>
      <c r="F16" s="6">
        <f>E16*D16</f>
        <v>65000</v>
      </c>
      <c r="G16" s="6">
        <f>F16*0.2</f>
        <v>13000</v>
      </c>
      <c r="H16" s="6">
        <f>F16*0.8</f>
        <v>52000</v>
      </c>
      <c r="I16" s="6"/>
      <c r="J16" s="6"/>
      <c r="K16" s="6"/>
      <c r="L16" s="6"/>
      <c r="M16" s="6"/>
      <c r="N16" s="6"/>
      <c r="O16" s="6"/>
      <c r="P16" s="6"/>
      <c r="Q16" s="30">
        <f>E16*0.25</f>
        <v>25</v>
      </c>
      <c r="R16" s="30">
        <f>E16*0.25</f>
        <v>25</v>
      </c>
      <c r="S16" s="30">
        <f>E16*0.25</f>
        <v>25</v>
      </c>
      <c r="T16" s="30">
        <f>E16*0.25</f>
        <v>25</v>
      </c>
      <c r="U16" s="6">
        <f>Q16*D16</f>
        <v>16250</v>
      </c>
      <c r="V16" s="6">
        <f>R16*D16</f>
        <v>16250</v>
      </c>
      <c r="W16" s="6">
        <f>S16*D16</f>
        <v>16250</v>
      </c>
      <c r="X16" s="6">
        <f>T16*D16</f>
        <v>16250</v>
      </c>
      <c r="Y16" s="6">
        <v>0</v>
      </c>
      <c r="Z16" s="6">
        <f>Y16*D16</f>
        <v>0</v>
      </c>
      <c r="AA16" s="6">
        <v>0</v>
      </c>
      <c r="AB16" s="6">
        <f>D16*AA16</f>
        <v>0</v>
      </c>
      <c r="AC16" s="6">
        <v>0</v>
      </c>
      <c r="AD16" s="6">
        <f>AC16*D16</f>
        <v>0</v>
      </c>
      <c r="AE16" s="6">
        <v>0</v>
      </c>
      <c r="AF16" s="6">
        <f>AE16*D16</f>
        <v>0</v>
      </c>
      <c r="AG16" s="6">
        <v>0</v>
      </c>
      <c r="AH16" s="6">
        <f>AG16*D16</f>
        <v>0</v>
      </c>
      <c r="AI16" s="6">
        <v>0</v>
      </c>
      <c r="AJ16" s="6">
        <f>D16*AI16</f>
        <v>0</v>
      </c>
      <c r="AK16" s="6">
        <v>0</v>
      </c>
      <c r="AL16" s="6">
        <f>D16*AK16</f>
        <v>0</v>
      </c>
      <c r="AM16" s="6">
        <v>0</v>
      </c>
      <c r="AN16" s="6">
        <f>D16*AM16</f>
        <v>0</v>
      </c>
      <c r="AO16" s="6">
        <v>0</v>
      </c>
      <c r="AP16" s="6">
        <f>AO16*D16</f>
        <v>0</v>
      </c>
      <c r="AQ16" s="6">
        <v>0</v>
      </c>
      <c r="AR16" s="6">
        <f>AQ16*D16</f>
        <v>0</v>
      </c>
      <c r="AS16" s="6">
        <v>0</v>
      </c>
      <c r="AT16" s="6">
        <f>AS16*D16</f>
        <v>0</v>
      </c>
      <c r="AU16" s="6">
        <v>100</v>
      </c>
      <c r="AV16" s="6">
        <f>AU16*D16</f>
        <v>65000</v>
      </c>
      <c r="AW16" s="6">
        <v>0</v>
      </c>
      <c r="AX16" s="6">
        <f>AW16*D16</f>
        <v>0</v>
      </c>
      <c r="AY16" s="6">
        <v>0</v>
      </c>
      <c r="AZ16" s="6">
        <f>AY16*D16</f>
        <v>0</v>
      </c>
      <c r="BA16" s="6">
        <v>0</v>
      </c>
      <c r="BB16" s="6">
        <f>D16*BA16</f>
        <v>0</v>
      </c>
      <c r="BC16" s="6">
        <v>0</v>
      </c>
      <c r="BD16" s="6">
        <f>BC16*D16</f>
        <v>0</v>
      </c>
      <c r="BE16" s="6">
        <v>0</v>
      </c>
      <c r="BF16" s="6">
        <f>BE16*D16</f>
        <v>0</v>
      </c>
      <c r="BG16" s="6">
        <v>0</v>
      </c>
      <c r="BH16" s="6">
        <f>BG16*D16</f>
        <v>0</v>
      </c>
      <c r="BI16" s="7">
        <f>BG16+BE16+BC16+BA16+AY16+AW16+AU16+AS16+AQ16+AO16+AM16+AK16+AI16+AG16+AE16+AC16+AA16+Y16</f>
        <v>100</v>
      </c>
      <c r="BJ16" s="7">
        <f>BH16+BF16+BD16+BB16+AZ16+AX16+AV16+AT16+AR16+AP16+AN16+AL16+AJ16+AH16+AF16+AD16+AB16+Z16</f>
        <v>65000</v>
      </c>
      <c r="BK16" s="186" t="s">
        <v>210</v>
      </c>
      <c r="BM16" s="190"/>
      <c r="BN16" s="190"/>
      <c r="BO16" s="190">
        <f>F16</f>
        <v>65000</v>
      </c>
      <c r="BP16" s="190"/>
      <c r="BQ16" s="190">
        <f>BM16+BN16+BO16+BP16</f>
        <v>65000</v>
      </c>
      <c r="BR16" s="190"/>
      <c r="BS16" s="190"/>
      <c r="BT16" s="190"/>
      <c r="BU16" s="167">
        <f t="shared" si="2"/>
        <v>65000</v>
      </c>
    </row>
    <row r="17" spans="1:73" x14ac:dyDescent="0.25">
      <c r="A17" s="595"/>
      <c r="B17" s="185" t="s">
        <v>439</v>
      </c>
      <c r="C17" s="204" t="s">
        <v>111</v>
      </c>
      <c r="D17" s="193" t="s">
        <v>111</v>
      </c>
      <c r="E17" s="11">
        <f>E16</f>
        <v>100</v>
      </c>
      <c r="F17" s="11">
        <f>F16</f>
        <v>65000</v>
      </c>
      <c r="G17" s="11">
        <f>G16</f>
        <v>13000</v>
      </c>
      <c r="H17" s="11">
        <f t="shared" ref="H17:P17" si="5">H16</f>
        <v>52000</v>
      </c>
      <c r="I17" s="11">
        <f t="shared" si="5"/>
        <v>0</v>
      </c>
      <c r="J17" s="11">
        <f t="shared" si="5"/>
        <v>0</v>
      </c>
      <c r="K17" s="11">
        <f t="shared" si="5"/>
        <v>0</v>
      </c>
      <c r="L17" s="11">
        <f t="shared" si="5"/>
        <v>0</v>
      </c>
      <c r="M17" s="11">
        <f t="shared" si="5"/>
        <v>0</v>
      </c>
      <c r="N17" s="11">
        <f t="shared" si="5"/>
        <v>0</v>
      </c>
      <c r="O17" s="11">
        <f t="shared" si="5"/>
        <v>0</v>
      </c>
      <c r="P17" s="11">
        <f t="shared" si="5"/>
        <v>0</v>
      </c>
      <c r="Q17" s="11"/>
      <c r="R17" s="600"/>
      <c r="S17" s="600"/>
      <c r="T17" s="600"/>
      <c r="U17" s="11">
        <f>SUM(U16)</f>
        <v>16250</v>
      </c>
      <c r="V17" s="11">
        <f>SUM(V16)</f>
        <v>16250</v>
      </c>
      <c r="W17" s="11">
        <f>SUM(W16)</f>
        <v>16250</v>
      </c>
      <c r="X17" s="11">
        <f>SUM(X16)</f>
        <v>16250</v>
      </c>
      <c r="Y17" s="6">
        <f>SUM(Y16)</f>
        <v>0</v>
      </c>
      <c r="Z17" s="6">
        <f t="shared" ref="Z17:BU17" si="6">SUM(Z16)</f>
        <v>0</v>
      </c>
      <c r="AA17" s="6">
        <f t="shared" si="6"/>
        <v>0</v>
      </c>
      <c r="AB17" s="6">
        <f t="shared" si="6"/>
        <v>0</v>
      </c>
      <c r="AC17" s="6">
        <f t="shared" si="6"/>
        <v>0</v>
      </c>
      <c r="AD17" s="6">
        <f t="shared" si="6"/>
        <v>0</v>
      </c>
      <c r="AE17" s="6">
        <f t="shared" si="6"/>
        <v>0</v>
      </c>
      <c r="AF17" s="6">
        <f t="shared" si="6"/>
        <v>0</v>
      </c>
      <c r="AG17" s="6">
        <f t="shared" si="6"/>
        <v>0</v>
      </c>
      <c r="AH17" s="6">
        <f t="shared" si="6"/>
        <v>0</v>
      </c>
      <c r="AI17" s="6">
        <f t="shared" si="6"/>
        <v>0</v>
      </c>
      <c r="AJ17" s="6">
        <f t="shared" si="6"/>
        <v>0</v>
      </c>
      <c r="AK17" s="6">
        <f t="shared" si="6"/>
        <v>0</v>
      </c>
      <c r="AL17" s="6">
        <f t="shared" si="6"/>
        <v>0</v>
      </c>
      <c r="AM17" s="6">
        <f t="shared" si="6"/>
        <v>0</v>
      </c>
      <c r="AN17" s="6">
        <f t="shared" si="6"/>
        <v>0</v>
      </c>
      <c r="AO17" s="6">
        <f t="shared" si="6"/>
        <v>0</v>
      </c>
      <c r="AP17" s="6">
        <f t="shared" si="6"/>
        <v>0</v>
      </c>
      <c r="AQ17" s="6">
        <f t="shared" si="6"/>
        <v>0</v>
      </c>
      <c r="AR17" s="6">
        <f t="shared" si="6"/>
        <v>0</v>
      </c>
      <c r="AS17" s="6">
        <f t="shared" si="6"/>
        <v>0</v>
      </c>
      <c r="AT17" s="6">
        <f t="shared" si="6"/>
        <v>0</v>
      </c>
      <c r="AU17" s="6">
        <f t="shared" si="6"/>
        <v>100</v>
      </c>
      <c r="AV17" s="6">
        <f t="shared" si="6"/>
        <v>65000</v>
      </c>
      <c r="AW17" s="6">
        <f t="shared" si="6"/>
        <v>0</v>
      </c>
      <c r="AX17" s="6">
        <f t="shared" si="6"/>
        <v>0</v>
      </c>
      <c r="AY17" s="6">
        <f t="shared" si="6"/>
        <v>0</v>
      </c>
      <c r="AZ17" s="6">
        <f t="shared" si="6"/>
        <v>0</v>
      </c>
      <c r="BA17" s="6">
        <f t="shared" si="6"/>
        <v>0</v>
      </c>
      <c r="BB17" s="6">
        <f t="shared" si="6"/>
        <v>0</v>
      </c>
      <c r="BC17" s="6">
        <f t="shared" si="6"/>
        <v>0</v>
      </c>
      <c r="BD17" s="6">
        <f t="shared" si="6"/>
        <v>0</v>
      </c>
      <c r="BE17" s="6">
        <f t="shared" si="6"/>
        <v>0</v>
      </c>
      <c r="BF17" s="6">
        <f t="shared" si="6"/>
        <v>0</v>
      </c>
      <c r="BG17" s="6">
        <f t="shared" si="6"/>
        <v>0</v>
      </c>
      <c r="BH17" s="6">
        <f t="shared" si="6"/>
        <v>0</v>
      </c>
      <c r="BI17" s="6">
        <f t="shared" si="6"/>
        <v>100</v>
      </c>
      <c r="BJ17" s="6">
        <f t="shared" si="6"/>
        <v>65000</v>
      </c>
      <c r="BK17" s="6">
        <f t="shared" si="6"/>
        <v>0</v>
      </c>
      <c r="BL17" s="6">
        <f t="shared" si="6"/>
        <v>0</v>
      </c>
      <c r="BM17" s="6">
        <f t="shared" si="6"/>
        <v>0</v>
      </c>
      <c r="BN17" s="6">
        <f t="shared" si="6"/>
        <v>0</v>
      </c>
      <c r="BO17" s="6">
        <f t="shared" si="6"/>
        <v>65000</v>
      </c>
      <c r="BP17" s="6">
        <f t="shared" si="6"/>
        <v>0</v>
      </c>
      <c r="BQ17" s="6">
        <f t="shared" si="6"/>
        <v>65000</v>
      </c>
      <c r="BR17" s="6">
        <f t="shared" si="6"/>
        <v>0</v>
      </c>
      <c r="BS17" s="6">
        <f t="shared" si="6"/>
        <v>0</v>
      </c>
      <c r="BT17" s="6">
        <f t="shared" si="6"/>
        <v>0</v>
      </c>
      <c r="BU17" s="6">
        <f t="shared" si="6"/>
        <v>65000</v>
      </c>
    </row>
    <row r="18" spans="1:73" s="180" customFormat="1" x14ac:dyDescent="0.25">
      <c r="A18" s="498"/>
      <c r="B18" s="185" t="s">
        <v>440</v>
      </c>
      <c r="C18" s="186"/>
      <c r="D18" s="186"/>
      <c r="E18" s="16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600"/>
      <c r="R18" s="600"/>
      <c r="S18" s="600"/>
      <c r="T18" s="600"/>
      <c r="U18" s="11"/>
      <c r="V18" s="11"/>
      <c r="W18" s="11"/>
      <c r="X18" s="11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7"/>
      <c r="BJ18" s="439"/>
      <c r="BK18" s="186"/>
      <c r="BM18" s="11"/>
      <c r="BN18" s="11"/>
      <c r="BO18" s="11"/>
      <c r="BP18" s="11"/>
      <c r="BQ18" s="11"/>
      <c r="BR18" s="11"/>
      <c r="BS18" s="11"/>
      <c r="BT18" s="11"/>
      <c r="BU18" s="468"/>
    </row>
    <row r="19" spans="1:73" x14ac:dyDescent="0.25">
      <c r="A19" s="595"/>
      <c r="B19" s="185" t="s">
        <v>441</v>
      </c>
      <c r="C19" s="186"/>
      <c r="D19" s="186"/>
      <c r="E19" s="8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30"/>
      <c r="R19" s="30"/>
      <c r="S19" s="30"/>
      <c r="T19" s="30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7"/>
      <c r="BJ19" s="439"/>
      <c r="BK19" s="186"/>
      <c r="BM19" s="190"/>
      <c r="BN19" s="190"/>
      <c r="BO19" s="190"/>
      <c r="BP19" s="190"/>
      <c r="BQ19" s="190"/>
      <c r="BR19" s="190"/>
      <c r="BS19" s="190"/>
      <c r="BT19" s="190"/>
      <c r="BU19" s="167">
        <f t="shared" si="2"/>
        <v>0</v>
      </c>
    </row>
    <row r="20" spans="1:73" ht="31.5" x14ac:dyDescent="0.25">
      <c r="A20" s="595" t="s">
        <v>727</v>
      </c>
      <c r="B20" s="199" t="s">
        <v>654</v>
      </c>
      <c r="C20" s="186" t="s">
        <v>467</v>
      </c>
      <c r="D20" s="193">
        <v>500</v>
      </c>
      <c r="E20" s="7">
        <f>BI20</f>
        <v>204</v>
      </c>
      <c r="F20" s="6">
        <f>E20*D20</f>
        <v>102000</v>
      </c>
      <c r="G20" s="6">
        <f>F20*0.2</f>
        <v>20400</v>
      </c>
      <c r="H20" s="6">
        <f>F20*0.8</f>
        <v>81600</v>
      </c>
      <c r="I20" s="6"/>
      <c r="J20" s="6"/>
      <c r="K20" s="6"/>
      <c r="L20" s="6"/>
      <c r="M20" s="6"/>
      <c r="N20" s="6"/>
      <c r="O20" s="6"/>
      <c r="P20" s="6"/>
      <c r="Q20" s="30">
        <f>E20*0.25</f>
        <v>51</v>
      </c>
      <c r="R20" s="30">
        <f>E20*0.25</f>
        <v>51</v>
      </c>
      <c r="S20" s="30">
        <f>E20*0.25</f>
        <v>51</v>
      </c>
      <c r="T20" s="30">
        <f>E20*0.25</f>
        <v>51</v>
      </c>
      <c r="U20" s="6">
        <f>Q20*D20</f>
        <v>25500</v>
      </c>
      <c r="V20" s="6">
        <f>R20*D20</f>
        <v>25500</v>
      </c>
      <c r="W20" s="6">
        <f>S20*D20</f>
        <v>25500</v>
      </c>
      <c r="X20" s="6">
        <f>T20*D20</f>
        <v>25500</v>
      </c>
      <c r="Y20" s="6">
        <v>0</v>
      </c>
      <c r="Z20" s="6">
        <f>Y20*D20</f>
        <v>0</v>
      </c>
      <c r="AA20" s="6">
        <v>0</v>
      </c>
      <c r="AB20" s="6">
        <f>AA20*D20</f>
        <v>0</v>
      </c>
      <c r="AC20" s="6">
        <v>0</v>
      </c>
      <c r="AD20" s="6">
        <f>AC20*D20</f>
        <v>0</v>
      </c>
      <c r="AE20" s="6">
        <v>0</v>
      </c>
      <c r="AF20" s="6">
        <f>AE20*D20</f>
        <v>0</v>
      </c>
      <c r="AG20" s="6">
        <v>0</v>
      </c>
      <c r="AH20" s="6">
        <f>AG20*D20</f>
        <v>0</v>
      </c>
      <c r="AI20" s="6">
        <v>0</v>
      </c>
      <c r="AJ20" s="6">
        <f>D20*AI20</f>
        <v>0</v>
      </c>
      <c r="AK20" s="6">
        <v>0</v>
      </c>
      <c r="AL20" s="6">
        <f>D20*AK20</f>
        <v>0</v>
      </c>
      <c r="AM20" s="6">
        <v>0</v>
      </c>
      <c r="AN20" s="6">
        <f>D20*AM20</f>
        <v>0</v>
      </c>
      <c r="AO20" s="6">
        <v>0</v>
      </c>
      <c r="AP20" s="6">
        <f>AO20*D20</f>
        <v>0</v>
      </c>
      <c r="AQ20" s="6">
        <v>0</v>
      </c>
      <c r="AR20" s="6">
        <f>AQ20*D20</f>
        <v>0</v>
      </c>
      <c r="AS20" s="6">
        <v>0</v>
      </c>
      <c r="AT20" s="6">
        <f>AS20*D20</f>
        <v>0</v>
      </c>
      <c r="AU20" s="6">
        <v>0</v>
      </c>
      <c r="AV20" s="6">
        <f>AU20*D20</f>
        <v>0</v>
      </c>
      <c r="AW20" s="6">
        <v>0</v>
      </c>
      <c r="AX20" s="6">
        <f>AW20*D20</f>
        <v>0</v>
      </c>
      <c r="AY20" s="6">
        <v>0</v>
      </c>
      <c r="AZ20" s="6">
        <f>AY20*D20</f>
        <v>0</v>
      </c>
      <c r="BA20" s="6">
        <v>0</v>
      </c>
      <c r="BB20" s="6">
        <f>D20*BA20</f>
        <v>0</v>
      </c>
      <c r="BC20" s="6">
        <v>0</v>
      </c>
      <c r="BD20" s="6">
        <f>BC20*D20</f>
        <v>0</v>
      </c>
      <c r="BE20" s="6">
        <v>0</v>
      </c>
      <c r="BF20" s="6">
        <f>BE20*D20</f>
        <v>0</v>
      </c>
      <c r="BG20" s="6">
        <f>17*3*4</f>
        <v>204</v>
      </c>
      <c r="BH20" s="6">
        <f>BG20*D20</f>
        <v>102000</v>
      </c>
      <c r="BI20" s="7">
        <f t="shared" ref="BI20:BJ24" si="7">BG20+BE20+BC20+BA20+AY20+AW20+AU20+AS20+AQ20+AO20+AM20+AK20+AI20+AG20+AE20+AC20+AA20+Y20</f>
        <v>204</v>
      </c>
      <c r="BJ20" s="7">
        <f t="shared" si="7"/>
        <v>102000</v>
      </c>
      <c r="BK20" s="186" t="s">
        <v>210</v>
      </c>
      <c r="BM20" s="190"/>
      <c r="BN20" s="190">
        <f>BJ20</f>
        <v>102000</v>
      </c>
      <c r="BO20" s="190"/>
      <c r="BP20" s="190"/>
      <c r="BQ20" s="190">
        <f>BM20+BN20+BO20+BP20</f>
        <v>102000</v>
      </c>
      <c r="BR20" s="190"/>
      <c r="BS20" s="190"/>
      <c r="BT20" s="190"/>
      <c r="BU20" s="167">
        <f t="shared" si="2"/>
        <v>102000</v>
      </c>
    </row>
    <row r="21" spans="1:73" ht="31.5" x14ac:dyDescent="0.25">
      <c r="A21" s="595" t="s">
        <v>728</v>
      </c>
      <c r="B21" s="199" t="s">
        <v>1015</v>
      </c>
      <c r="C21" s="186" t="s">
        <v>467</v>
      </c>
      <c r="D21" s="193">
        <v>150</v>
      </c>
      <c r="E21" s="8">
        <f>BI21</f>
        <v>1665</v>
      </c>
      <c r="F21" s="6">
        <f>E21*D21</f>
        <v>249750</v>
      </c>
      <c r="G21" s="6">
        <f>F21*0.2</f>
        <v>49950</v>
      </c>
      <c r="H21" s="6">
        <f>F21*0.8</f>
        <v>199800</v>
      </c>
      <c r="I21" s="6"/>
      <c r="J21" s="6"/>
      <c r="K21" s="6"/>
      <c r="L21" s="6"/>
      <c r="M21" s="6"/>
      <c r="N21" s="6"/>
      <c r="O21" s="6"/>
      <c r="P21" s="6"/>
      <c r="Q21" s="30">
        <f>E21*0.25</f>
        <v>416.25</v>
      </c>
      <c r="R21" s="30">
        <f>E21*0.25</f>
        <v>416.25</v>
      </c>
      <c r="S21" s="30">
        <f>E21*0.25</f>
        <v>416.25</v>
      </c>
      <c r="T21" s="30">
        <f>E21*0.25</f>
        <v>416.25</v>
      </c>
      <c r="U21" s="6">
        <f>Q21*D21</f>
        <v>62437.5</v>
      </c>
      <c r="V21" s="6">
        <f>R21*D21</f>
        <v>62437.5</v>
      </c>
      <c r="W21" s="6">
        <f>S21*D21</f>
        <v>62437.5</v>
      </c>
      <c r="X21" s="6">
        <f>T21*D21</f>
        <v>62437.5</v>
      </c>
      <c r="Y21" s="6">
        <f>40*3</f>
        <v>120</v>
      </c>
      <c r="Z21" s="6">
        <f>Y21*D21</f>
        <v>18000</v>
      </c>
      <c r="AA21" s="6">
        <f>21*3</f>
        <v>63</v>
      </c>
      <c r="AB21" s="6">
        <f>AA21*D21</f>
        <v>9450</v>
      </c>
      <c r="AC21" s="6">
        <f>30*3</f>
        <v>90</v>
      </c>
      <c r="AD21" s="6">
        <f>AC21*D21</f>
        <v>13500</v>
      </c>
      <c r="AE21" s="6">
        <f>51*3</f>
        <v>153</v>
      </c>
      <c r="AF21" s="6">
        <f>AE21*D21</f>
        <v>22950</v>
      </c>
      <c r="AG21" s="6">
        <f>21*3</f>
        <v>63</v>
      </c>
      <c r="AH21" s="6">
        <f>AG21*D21</f>
        <v>9450</v>
      </c>
      <c r="AI21" s="6">
        <f>30*3</f>
        <v>90</v>
      </c>
      <c r="AJ21" s="6">
        <f>D21*AI21</f>
        <v>13500</v>
      </c>
      <c r="AK21" s="6">
        <f>22*3</f>
        <v>66</v>
      </c>
      <c r="AL21" s="6">
        <f>D21*AK21</f>
        <v>9900</v>
      </c>
      <c r="AM21" s="6">
        <f>45*3</f>
        <v>135</v>
      </c>
      <c r="AN21" s="6">
        <f>D21*AM21</f>
        <v>20250</v>
      </c>
      <c r="AO21" s="6">
        <v>24</v>
      </c>
      <c r="AP21" s="6">
        <f>AO21*D21</f>
        <v>3600</v>
      </c>
      <c r="AQ21" s="6">
        <f>32*3</f>
        <v>96</v>
      </c>
      <c r="AR21" s="6">
        <f>AQ21*D21</f>
        <v>14400</v>
      </c>
      <c r="AS21" s="6">
        <f>30*3</f>
        <v>90</v>
      </c>
      <c r="AT21" s="6">
        <f>AS21*D21</f>
        <v>13500</v>
      </c>
      <c r="AU21" s="6">
        <f>30*3</f>
        <v>90</v>
      </c>
      <c r="AV21" s="6">
        <f>AU21*D21</f>
        <v>13500</v>
      </c>
      <c r="AW21" s="6">
        <f>30*3</f>
        <v>90</v>
      </c>
      <c r="AX21" s="6">
        <f>AW21*D21</f>
        <v>13500</v>
      </c>
      <c r="AY21" s="6">
        <f>30*3</f>
        <v>90</v>
      </c>
      <c r="AZ21" s="6">
        <f>AY21*D21</f>
        <v>13500</v>
      </c>
      <c r="BA21" s="6">
        <f>45*3</f>
        <v>135</v>
      </c>
      <c r="BB21" s="6">
        <f>D21*BA21</f>
        <v>20250</v>
      </c>
      <c r="BC21" s="6">
        <f>60*3</f>
        <v>180</v>
      </c>
      <c r="BD21" s="6">
        <f>BC21*D21</f>
        <v>27000</v>
      </c>
      <c r="BE21" s="6">
        <f>30*3</f>
        <v>90</v>
      </c>
      <c r="BF21" s="6">
        <f>BE21*D21</f>
        <v>13500</v>
      </c>
      <c r="BG21" s="6">
        <v>0</v>
      </c>
      <c r="BH21" s="6">
        <f>BG21*D21</f>
        <v>0</v>
      </c>
      <c r="BI21" s="7">
        <f t="shared" si="7"/>
        <v>1665</v>
      </c>
      <c r="BJ21" s="7">
        <f t="shared" si="7"/>
        <v>249750</v>
      </c>
      <c r="BK21" s="186" t="s">
        <v>210</v>
      </c>
      <c r="BM21" s="190"/>
      <c r="BN21" s="190">
        <f>BJ21</f>
        <v>249750</v>
      </c>
      <c r="BO21" s="190"/>
      <c r="BP21" s="190"/>
      <c r="BQ21" s="190">
        <f>BM21+BN21+BO21+BP21</f>
        <v>249750</v>
      </c>
      <c r="BR21" s="190"/>
      <c r="BS21" s="190"/>
      <c r="BT21" s="190"/>
      <c r="BU21" s="167">
        <f t="shared" si="2"/>
        <v>249750</v>
      </c>
    </row>
    <row r="22" spans="1:73" x14ac:dyDescent="0.25">
      <c r="A22" s="595" t="s">
        <v>729</v>
      </c>
      <c r="B22" s="192" t="s">
        <v>624</v>
      </c>
      <c r="C22" s="186" t="s">
        <v>467</v>
      </c>
      <c r="D22" s="193">
        <v>150</v>
      </c>
      <c r="E22" s="8">
        <f>BI22</f>
        <v>0</v>
      </c>
      <c r="F22" s="6">
        <f>E22*D22</f>
        <v>0</v>
      </c>
      <c r="G22" s="6">
        <f>F22*0.2</f>
        <v>0</v>
      </c>
      <c r="H22" s="6">
        <f>F22*0.8</f>
        <v>0</v>
      </c>
      <c r="I22" s="6"/>
      <c r="J22" s="6"/>
      <c r="K22" s="6"/>
      <c r="L22" s="6"/>
      <c r="M22" s="6"/>
      <c r="N22" s="6"/>
      <c r="O22" s="6"/>
      <c r="P22" s="6"/>
      <c r="Q22" s="30">
        <f>E22*0.25</f>
        <v>0</v>
      </c>
      <c r="R22" s="30">
        <f>E22*0.25</f>
        <v>0</v>
      </c>
      <c r="S22" s="30">
        <f>E22*0.25</f>
        <v>0</v>
      </c>
      <c r="T22" s="30">
        <f>E22*0.25</f>
        <v>0</v>
      </c>
      <c r="U22" s="6">
        <f>Q22*D22</f>
        <v>0</v>
      </c>
      <c r="V22" s="6">
        <f>R22*D22</f>
        <v>0</v>
      </c>
      <c r="W22" s="6">
        <f>S22*D22</f>
        <v>0</v>
      </c>
      <c r="X22" s="6">
        <f>T22*D22</f>
        <v>0</v>
      </c>
      <c r="Y22" s="6">
        <v>0</v>
      </c>
      <c r="Z22" s="6">
        <f>Y22*D22</f>
        <v>0</v>
      </c>
      <c r="AA22" s="6">
        <v>0</v>
      </c>
      <c r="AB22" s="6">
        <f>AA22*D22</f>
        <v>0</v>
      </c>
      <c r="AC22" s="6">
        <v>0</v>
      </c>
      <c r="AD22" s="6">
        <f>AC22*D22</f>
        <v>0</v>
      </c>
      <c r="AE22" s="6">
        <v>0</v>
      </c>
      <c r="AF22" s="6">
        <f>AE22*D22</f>
        <v>0</v>
      </c>
      <c r="AG22" s="6">
        <v>0</v>
      </c>
      <c r="AH22" s="6">
        <f>AG22*D22</f>
        <v>0</v>
      </c>
      <c r="AI22" s="6">
        <v>0</v>
      </c>
      <c r="AJ22" s="6">
        <f>D22*AI22</f>
        <v>0</v>
      </c>
      <c r="AK22" s="6">
        <v>0</v>
      </c>
      <c r="AL22" s="6">
        <f>D22*AK22</f>
        <v>0</v>
      </c>
      <c r="AM22" s="6">
        <v>0</v>
      </c>
      <c r="AN22" s="6">
        <f>D22*AM22</f>
        <v>0</v>
      </c>
      <c r="AO22" s="6">
        <v>0</v>
      </c>
      <c r="AP22" s="6">
        <f>AO22*D22</f>
        <v>0</v>
      </c>
      <c r="AQ22" s="6">
        <v>0</v>
      </c>
      <c r="AR22" s="6">
        <f>AQ22*D22</f>
        <v>0</v>
      </c>
      <c r="AS22" s="6">
        <v>0</v>
      </c>
      <c r="AT22" s="6">
        <f>AS22*D22</f>
        <v>0</v>
      </c>
      <c r="AU22" s="6">
        <v>0</v>
      </c>
      <c r="AV22" s="6">
        <f>AU22*D22</f>
        <v>0</v>
      </c>
      <c r="AW22" s="6">
        <v>0</v>
      </c>
      <c r="AX22" s="6">
        <f>AW22*D22</f>
        <v>0</v>
      </c>
      <c r="AY22" s="6">
        <v>0</v>
      </c>
      <c r="AZ22" s="6">
        <f>AY22*D22</f>
        <v>0</v>
      </c>
      <c r="BA22" s="6">
        <v>0</v>
      </c>
      <c r="BB22" s="6">
        <f>D22*BA22</f>
        <v>0</v>
      </c>
      <c r="BC22" s="6">
        <v>0</v>
      </c>
      <c r="BD22" s="6">
        <f>BC22*D22</f>
        <v>0</v>
      </c>
      <c r="BE22" s="6">
        <v>0</v>
      </c>
      <c r="BF22" s="6">
        <f>BE22*D22</f>
        <v>0</v>
      </c>
      <c r="BG22" s="6">
        <v>0</v>
      </c>
      <c r="BH22" s="6">
        <f>BG22*D22</f>
        <v>0</v>
      </c>
      <c r="BI22" s="7">
        <f t="shared" si="7"/>
        <v>0</v>
      </c>
      <c r="BJ22" s="7">
        <f t="shared" si="7"/>
        <v>0</v>
      </c>
      <c r="BK22" s="186" t="s">
        <v>210</v>
      </c>
      <c r="BM22" s="190"/>
      <c r="BN22" s="190">
        <f>BJ22</f>
        <v>0</v>
      </c>
      <c r="BO22" s="190">
        <v>0</v>
      </c>
      <c r="BP22" s="190">
        <v>0</v>
      </c>
      <c r="BQ22" s="190">
        <f>BM22+BN22+BO22+BP22</f>
        <v>0</v>
      </c>
      <c r="BR22" s="190">
        <v>0</v>
      </c>
      <c r="BS22" s="190">
        <v>0</v>
      </c>
      <c r="BT22" s="190">
        <f>BR22+BS22</f>
        <v>0</v>
      </c>
      <c r="BU22" s="167">
        <f t="shared" si="2"/>
        <v>0</v>
      </c>
    </row>
    <row r="23" spans="1:73" x14ac:dyDescent="0.25">
      <c r="A23" s="595" t="s">
        <v>730</v>
      </c>
      <c r="B23" s="192" t="s">
        <v>625</v>
      </c>
      <c r="C23" s="186" t="s">
        <v>467</v>
      </c>
      <c r="D23" s="193">
        <v>150</v>
      </c>
      <c r="E23" s="434">
        <f>BI23</f>
        <v>4472.5</v>
      </c>
      <c r="F23" s="6">
        <f>E23*D23</f>
        <v>670875</v>
      </c>
      <c r="G23" s="6">
        <f>F23*0.2</f>
        <v>134175</v>
      </c>
      <c r="H23" s="6">
        <f>F23*0.8</f>
        <v>536700</v>
      </c>
      <c r="I23" s="6"/>
      <c r="J23" s="6"/>
      <c r="K23" s="6"/>
      <c r="L23" s="6"/>
      <c r="M23" s="6"/>
      <c r="N23" s="6"/>
      <c r="O23" s="6"/>
      <c r="P23" s="6"/>
      <c r="Q23" s="30">
        <f>E23*0.25</f>
        <v>1118.125</v>
      </c>
      <c r="R23" s="30">
        <f>E23*0.25</f>
        <v>1118.125</v>
      </c>
      <c r="S23" s="30">
        <f>E23*0.25</f>
        <v>1118.125</v>
      </c>
      <c r="T23" s="30">
        <f>E23*0.25</f>
        <v>1118.125</v>
      </c>
      <c r="U23" s="6">
        <f>Q23*D23</f>
        <v>167718.75</v>
      </c>
      <c r="V23" s="6">
        <f>R23*D23</f>
        <v>167718.75</v>
      </c>
      <c r="W23" s="6">
        <f>S23*D23</f>
        <v>167718.75</v>
      </c>
      <c r="X23" s="6">
        <f>T23*D23</f>
        <v>167718.75</v>
      </c>
      <c r="Y23" s="6">
        <v>300</v>
      </c>
      <c r="Z23" s="6">
        <f>Y23*D23</f>
        <v>45000</v>
      </c>
      <c r="AA23" s="6">
        <f>49*3</f>
        <v>147</v>
      </c>
      <c r="AB23" s="6">
        <f>AA23*D23</f>
        <v>22050</v>
      </c>
      <c r="AC23" s="6">
        <f>130*3</f>
        <v>390</v>
      </c>
      <c r="AD23" s="6">
        <f>AC23*D23</f>
        <v>58500</v>
      </c>
      <c r="AE23" s="6">
        <f>90*3</f>
        <v>270</v>
      </c>
      <c r="AF23" s="6">
        <f>AE23*D23</f>
        <v>40500</v>
      </c>
      <c r="AG23" s="6">
        <f>38*3</f>
        <v>114</v>
      </c>
      <c r="AH23" s="6">
        <f>AG23*D23</f>
        <v>17100</v>
      </c>
      <c r="AI23" s="6">
        <f>119*3</f>
        <v>357</v>
      </c>
      <c r="AJ23" s="6">
        <f>D23*AI23</f>
        <v>53550</v>
      </c>
      <c r="AK23" s="6">
        <f>68*3</f>
        <v>204</v>
      </c>
      <c r="AL23" s="6">
        <f>D23*AK23</f>
        <v>30600</v>
      </c>
      <c r="AM23" s="6">
        <v>300</v>
      </c>
      <c r="AN23" s="6">
        <f>D23*AM23</f>
        <v>45000</v>
      </c>
      <c r="AO23" s="6">
        <v>200</v>
      </c>
      <c r="AP23" s="6">
        <f>AO23*D23</f>
        <v>30000</v>
      </c>
      <c r="AQ23" s="6">
        <v>300</v>
      </c>
      <c r="AR23" s="6">
        <f>AQ23*D23</f>
        <v>45000</v>
      </c>
      <c r="AS23" s="6">
        <f>131*3</f>
        <v>393</v>
      </c>
      <c r="AT23" s="6">
        <f>AS23*D23</f>
        <v>58950</v>
      </c>
      <c r="AU23" s="6">
        <f>71*3</f>
        <v>213</v>
      </c>
      <c r="AV23" s="6">
        <f>AU23*D23</f>
        <v>31950</v>
      </c>
      <c r="AW23" s="6">
        <f>83*3</f>
        <v>249</v>
      </c>
      <c r="AX23" s="6">
        <f>AW23*D23</f>
        <v>37350</v>
      </c>
      <c r="AY23" s="6">
        <f>108*3</f>
        <v>324</v>
      </c>
      <c r="AZ23" s="6">
        <f>AY23*D23</f>
        <v>48600</v>
      </c>
      <c r="BA23" s="30">
        <f>(171*3)*0.5</f>
        <v>256.5</v>
      </c>
      <c r="BB23" s="6">
        <f>D23*BA23</f>
        <v>38475</v>
      </c>
      <c r="BC23" s="6">
        <v>200</v>
      </c>
      <c r="BD23" s="6">
        <f>BC23*D23</f>
        <v>30000</v>
      </c>
      <c r="BE23" s="6">
        <f>(170*3)*0.5</f>
        <v>255</v>
      </c>
      <c r="BF23" s="6">
        <f>BE23*D23</f>
        <v>38250</v>
      </c>
      <c r="BG23" s="6">
        <v>0</v>
      </c>
      <c r="BH23" s="6">
        <f>BG23*D23</f>
        <v>0</v>
      </c>
      <c r="BI23" s="7">
        <f t="shared" si="7"/>
        <v>4472.5</v>
      </c>
      <c r="BJ23" s="7">
        <f t="shared" si="7"/>
        <v>670875</v>
      </c>
      <c r="BK23" s="186" t="s">
        <v>210</v>
      </c>
      <c r="BM23" s="190"/>
      <c r="BN23" s="190">
        <f>BJ23</f>
        <v>670875</v>
      </c>
      <c r="BO23" s="190">
        <v>0</v>
      </c>
      <c r="BP23" s="190">
        <v>0</v>
      </c>
      <c r="BQ23" s="190">
        <f>BM23+BN23+BO23+BP23</f>
        <v>670875</v>
      </c>
      <c r="BR23" s="190">
        <v>0</v>
      </c>
      <c r="BS23" s="190">
        <v>0</v>
      </c>
      <c r="BT23" s="190">
        <f>BR23+BS23</f>
        <v>0</v>
      </c>
      <c r="BU23" s="167">
        <f t="shared" si="2"/>
        <v>670875</v>
      </c>
    </row>
    <row r="24" spans="1:73" x14ac:dyDescent="0.25">
      <c r="A24" s="595" t="s">
        <v>731</v>
      </c>
      <c r="B24" s="192" t="s">
        <v>626</v>
      </c>
      <c r="C24" s="186" t="s">
        <v>467</v>
      </c>
      <c r="D24" s="193">
        <v>150</v>
      </c>
      <c r="E24" s="8">
        <f>BI24</f>
        <v>810</v>
      </c>
      <c r="F24" s="6">
        <f>E24*D24</f>
        <v>121500</v>
      </c>
      <c r="G24" s="6">
        <f>F24*0.2</f>
        <v>24300</v>
      </c>
      <c r="H24" s="6">
        <f>F24*0.8</f>
        <v>97200</v>
      </c>
      <c r="I24" s="6"/>
      <c r="J24" s="6"/>
      <c r="K24" s="6"/>
      <c r="L24" s="6"/>
      <c r="M24" s="6"/>
      <c r="N24" s="6"/>
      <c r="O24" s="6"/>
      <c r="P24" s="6"/>
      <c r="Q24" s="30">
        <f>E24*0.25</f>
        <v>202.5</v>
      </c>
      <c r="R24" s="30">
        <f>E24*0.25</f>
        <v>202.5</v>
      </c>
      <c r="S24" s="30">
        <f>E24*0.25</f>
        <v>202.5</v>
      </c>
      <c r="T24" s="30">
        <f>E24*0.25</f>
        <v>202.5</v>
      </c>
      <c r="U24" s="6">
        <f>Q24*D24</f>
        <v>30375</v>
      </c>
      <c r="V24" s="6">
        <f>R24*D24</f>
        <v>30375</v>
      </c>
      <c r="W24" s="6">
        <f>S24*D24</f>
        <v>30375</v>
      </c>
      <c r="X24" s="6">
        <f>T24*D24</f>
        <v>30375</v>
      </c>
      <c r="Y24" s="6">
        <v>40</v>
      </c>
      <c r="Z24" s="6">
        <f>Y24*D24</f>
        <v>6000</v>
      </c>
      <c r="AA24" s="6">
        <v>30</v>
      </c>
      <c r="AB24" s="6">
        <f>AA24*D24</f>
        <v>4500</v>
      </c>
      <c r="AC24" s="6">
        <v>40</v>
      </c>
      <c r="AD24" s="6">
        <f>AC24*D24</f>
        <v>6000</v>
      </c>
      <c r="AE24" s="6">
        <v>80</v>
      </c>
      <c r="AF24" s="6">
        <f>AE24*D24</f>
        <v>12000</v>
      </c>
      <c r="AG24" s="6">
        <v>35</v>
      </c>
      <c r="AH24" s="6">
        <f>AG24*D24</f>
        <v>5250</v>
      </c>
      <c r="AI24" s="6">
        <v>45</v>
      </c>
      <c r="AJ24" s="6">
        <f>D24*AI24</f>
        <v>6750</v>
      </c>
      <c r="AK24" s="6">
        <v>35</v>
      </c>
      <c r="AL24" s="6">
        <f>D24*AK24</f>
        <v>5250</v>
      </c>
      <c r="AM24" s="6">
        <v>70</v>
      </c>
      <c r="AN24" s="6">
        <f>D24*AM24</f>
        <v>10500</v>
      </c>
      <c r="AO24" s="6">
        <v>20</v>
      </c>
      <c r="AP24" s="6">
        <f>AO24*D24</f>
        <v>3000</v>
      </c>
      <c r="AQ24" s="6">
        <v>40</v>
      </c>
      <c r="AR24" s="6">
        <f>AQ24*D24</f>
        <v>6000</v>
      </c>
      <c r="AS24" s="6">
        <v>45</v>
      </c>
      <c r="AT24" s="6">
        <f>AS24*D24</f>
        <v>6750</v>
      </c>
      <c r="AU24" s="6">
        <v>45</v>
      </c>
      <c r="AV24" s="6">
        <f>AU24*D24</f>
        <v>6750</v>
      </c>
      <c r="AW24" s="6">
        <v>50</v>
      </c>
      <c r="AX24" s="6">
        <f>AW24*D24</f>
        <v>7500</v>
      </c>
      <c r="AY24" s="6">
        <v>50</v>
      </c>
      <c r="AZ24" s="6">
        <f>AY24*D24</f>
        <v>7500</v>
      </c>
      <c r="BA24" s="6">
        <v>55</v>
      </c>
      <c r="BB24" s="6">
        <f>D24*BA24</f>
        <v>8250</v>
      </c>
      <c r="BC24" s="6">
        <v>85</v>
      </c>
      <c r="BD24" s="6">
        <f>BC24*D24</f>
        <v>12750</v>
      </c>
      <c r="BE24" s="6">
        <v>45</v>
      </c>
      <c r="BF24" s="6">
        <f>BE24*D24</f>
        <v>6750</v>
      </c>
      <c r="BG24" s="6">
        <v>0</v>
      </c>
      <c r="BH24" s="6">
        <f>BG24*D24</f>
        <v>0</v>
      </c>
      <c r="BI24" s="7">
        <f t="shared" si="7"/>
        <v>810</v>
      </c>
      <c r="BJ24" s="7">
        <f t="shared" si="7"/>
        <v>121500</v>
      </c>
      <c r="BK24" s="186" t="s">
        <v>210</v>
      </c>
      <c r="BM24" s="190"/>
      <c r="BN24" s="190">
        <f>BJ24</f>
        <v>121500</v>
      </c>
      <c r="BO24" s="190">
        <v>0</v>
      </c>
      <c r="BP24" s="190">
        <v>0</v>
      </c>
      <c r="BQ24" s="190">
        <f>BM24+BN24+BO24+BP24</f>
        <v>121500</v>
      </c>
      <c r="BR24" s="190">
        <v>0</v>
      </c>
      <c r="BS24" s="190">
        <v>0</v>
      </c>
      <c r="BT24" s="190">
        <f>BR24+BS24</f>
        <v>0</v>
      </c>
      <c r="BU24" s="167">
        <f t="shared" si="2"/>
        <v>121500</v>
      </c>
    </row>
    <row r="25" spans="1:73" s="180" customFormat="1" x14ac:dyDescent="0.25">
      <c r="A25" s="498"/>
      <c r="B25" s="185" t="s">
        <v>442</v>
      </c>
      <c r="C25" s="186" t="s">
        <v>111</v>
      </c>
      <c r="D25" s="193" t="s">
        <v>111</v>
      </c>
      <c r="E25" s="16">
        <f>SUM(E20:E24)</f>
        <v>7151.5</v>
      </c>
      <c r="F25" s="16">
        <f t="shared" ref="F25:BQ25" si="8">SUM(F20:F24)</f>
        <v>1144125</v>
      </c>
      <c r="G25" s="16">
        <f t="shared" si="8"/>
        <v>228825</v>
      </c>
      <c r="H25" s="16">
        <f t="shared" si="8"/>
        <v>915300</v>
      </c>
      <c r="I25" s="16">
        <f t="shared" si="8"/>
        <v>0</v>
      </c>
      <c r="J25" s="16">
        <f t="shared" si="8"/>
        <v>0</v>
      </c>
      <c r="K25" s="16">
        <f t="shared" si="8"/>
        <v>0</v>
      </c>
      <c r="L25" s="16">
        <f t="shared" si="8"/>
        <v>0</v>
      </c>
      <c r="M25" s="16">
        <f t="shared" si="8"/>
        <v>0</v>
      </c>
      <c r="N25" s="16">
        <f t="shared" si="8"/>
        <v>0</v>
      </c>
      <c r="O25" s="16">
        <f t="shared" si="8"/>
        <v>0</v>
      </c>
      <c r="P25" s="16">
        <f t="shared" si="8"/>
        <v>0</v>
      </c>
      <c r="Q25" s="16">
        <f t="shared" si="8"/>
        <v>1787.875</v>
      </c>
      <c r="R25" s="16">
        <f t="shared" si="8"/>
        <v>1787.875</v>
      </c>
      <c r="S25" s="16">
        <f t="shared" si="8"/>
        <v>1787.875</v>
      </c>
      <c r="T25" s="16">
        <f t="shared" si="8"/>
        <v>1787.875</v>
      </c>
      <c r="U25" s="16">
        <f t="shared" si="8"/>
        <v>286031.25</v>
      </c>
      <c r="V25" s="16">
        <f t="shared" si="8"/>
        <v>286031.25</v>
      </c>
      <c r="W25" s="16">
        <f t="shared" si="8"/>
        <v>286031.25</v>
      </c>
      <c r="X25" s="16">
        <f t="shared" si="8"/>
        <v>286031.25</v>
      </c>
      <c r="Y25" s="16">
        <f t="shared" si="8"/>
        <v>460</v>
      </c>
      <c r="Z25" s="16">
        <f t="shared" si="8"/>
        <v>69000</v>
      </c>
      <c r="AA25" s="16">
        <f t="shared" si="8"/>
        <v>240</v>
      </c>
      <c r="AB25" s="16">
        <f t="shared" si="8"/>
        <v>36000</v>
      </c>
      <c r="AC25" s="16">
        <f t="shared" si="8"/>
        <v>520</v>
      </c>
      <c r="AD25" s="16">
        <f t="shared" si="8"/>
        <v>78000</v>
      </c>
      <c r="AE25" s="16">
        <f t="shared" si="8"/>
        <v>503</v>
      </c>
      <c r="AF25" s="16">
        <f t="shared" si="8"/>
        <v>75450</v>
      </c>
      <c r="AG25" s="16">
        <f t="shared" si="8"/>
        <v>212</v>
      </c>
      <c r="AH25" s="16">
        <f t="shared" si="8"/>
        <v>31800</v>
      </c>
      <c r="AI25" s="16">
        <f t="shared" si="8"/>
        <v>492</v>
      </c>
      <c r="AJ25" s="16">
        <f t="shared" si="8"/>
        <v>73800</v>
      </c>
      <c r="AK25" s="16">
        <f t="shared" si="8"/>
        <v>305</v>
      </c>
      <c r="AL25" s="16">
        <f t="shared" si="8"/>
        <v>45750</v>
      </c>
      <c r="AM25" s="16">
        <f t="shared" si="8"/>
        <v>505</v>
      </c>
      <c r="AN25" s="16">
        <f t="shared" si="8"/>
        <v>75750</v>
      </c>
      <c r="AO25" s="16">
        <f t="shared" si="8"/>
        <v>244</v>
      </c>
      <c r="AP25" s="16">
        <f t="shared" si="8"/>
        <v>36600</v>
      </c>
      <c r="AQ25" s="16">
        <f t="shared" si="8"/>
        <v>436</v>
      </c>
      <c r="AR25" s="16">
        <f t="shared" si="8"/>
        <v>65400</v>
      </c>
      <c r="AS25" s="16">
        <f t="shared" si="8"/>
        <v>528</v>
      </c>
      <c r="AT25" s="16">
        <f t="shared" si="8"/>
        <v>79200</v>
      </c>
      <c r="AU25" s="16">
        <f t="shared" si="8"/>
        <v>348</v>
      </c>
      <c r="AV25" s="16">
        <f t="shared" si="8"/>
        <v>52200</v>
      </c>
      <c r="AW25" s="16">
        <f t="shared" si="8"/>
        <v>389</v>
      </c>
      <c r="AX25" s="16">
        <f t="shared" si="8"/>
        <v>58350</v>
      </c>
      <c r="AY25" s="16">
        <f t="shared" si="8"/>
        <v>464</v>
      </c>
      <c r="AZ25" s="16">
        <f t="shared" si="8"/>
        <v>69600</v>
      </c>
      <c r="BA25" s="16">
        <f t="shared" si="8"/>
        <v>446.5</v>
      </c>
      <c r="BB25" s="16">
        <f t="shared" si="8"/>
        <v>66975</v>
      </c>
      <c r="BC25" s="16">
        <f t="shared" si="8"/>
        <v>465</v>
      </c>
      <c r="BD25" s="16">
        <f t="shared" si="8"/>
        <v>69750</v>
      </c>
      <c r="BE25" s="16">
        <f t="shared" si="8"/>
        <v>390</v>
      </c>
      <c r="BF25" s="16">
        <f t="shared" si="8"/>
        <v>58500</v>
      </c>
      <c r="BG25" s="16">
        <f t="shared" si="8"/>
        <v>204</v>
      </c>
      <c r="BH25" s="16">
        <f t="shared" si="8"/>
        <v>102000</v>
      </c>
      <c r="BI25" s="16">
        <f t="shared" si="8"/>
        <v>7151.5</v>
      </c>
      <c r="BJ25" s="16">
        <f t="shared" si="8"/>
        <v>1144125</v>
      </c>
      <c r="BK25" s="16">
        <f t="shared" si="8"/>
        <v>0</v>
      </c>
      <c r="BL25" s="16">
        <f t="shared" si="8"/>
        <v>0</v>
      </c>
      <c r="BM25" s="16">
        <f t="shared" si="8"/>
        <v>0</v>
      </c>
      <c r="BN25" s="16">
        <f t="shared" si="8"/>
        <v>1144125</v>
      </c>
      <c r="BO25" s="16">
        <f t="shared" si="8"/>
        <v>0</v>
      </c>
      <c r="BP25" s="16">
        <f t="shared" si="8"/>
        <v>0</v>
      </c>
      <c r="BQ25" s="16">
        <f t="shared" si="8"/>
        <v>1144125</v>
      </c>
      <c r="BR25" s="16">
        <f>SUM(BR20:BR24)</f>
        <v>0</v>
      </c>
      <c r="BS25" s="16">
        <f>SUM(BS20:BS24)</f>
        <v>0</v>
      </c>
      <c r="BT25" s="16">
        <f>SUM(BT20:BT24)</f>
        <v>0</v>
      </c>
      <c r="BU25" s="16">
        <f>SUM(BU20:BU24)</f>
        <v>1144125</v>
      </c>
    </row>
    <row r="26" spans="1:73" s="180" customFormat="1" x14ac:dyDescent="0.25">
      <c r="A26" s="498"/>
      <c r="B26" s="185" t="s">
        <v>1016</v>
      </c>
      <c r="C26" s="186"/>
      <c r="D26" s="186"/>
      <c r="E26" s="16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600"/>
      <c r="R26" s="600"/>
      <c r="S26" s="600"/>
      <c r="T26" s="600"/>
      <c r="U26" s="11"/>
      <c r="V26" s="11"/>
      <c r="W26" s="11"/>
      <c r="X26" s="11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7"/>
      <c r="BJ26" s="439"/>
      <c r="BK26" s="186"/>
      <c r="BM26" s="11"/>
      <c r="BN26" s="11"/>
      <c r="BO26" s="11"/>
      <c r="BP26" s="11"/>
      <c r="BQ26" s="11"/>
      <c r="BR26" s="11"/>
      <c r="BS26" s="11"/>
      <c r="BT26" s="11"/>
      <c r="BU26" s="468"/>
    </row>
    <row r="27" spans="1:73" x14ac:dyDescent="0.25">
      <c r="A27" s="595" t="s">
        <v>732</v>
      </c>
      <c r="B27" s="192" t="s">
        <v>443</v>
      </c>
      <c r="C27" s="186" t="s">
        <v>467</v>
      </c>
      <c r="D27" s="193">
        <v>500</v>
      </c>
      <c r="E27" s="8">
        <f>BI27</f>
        <v>153</v>
      </c>
      <c r="F27" s="6">
        <f>E27*D27</f>
        <v>76500</v>
      </c>
      <c r="G27" s="6">
        <f>F27*0.2</f>
        <v>15300</v>
      </c>
      <c r="H27" s="6">
        <f>F27*0.8</f>
        <v>61200</v>
      </c>
      <c r="I27" s="6"/>
      <c r="J27" s="6"/>
      <c r="K27" s="6"/>
      <c r="L27" s="6"/>
      <c r="M27" s="6"/>
      <c r="N27" s="6"/>
      <c r="O27" s="6"/>
      <c r="P27" s="6"/>
      <c r="Q27" s="30">
        <f>E27*0.25</f>
        <v>38.25</v>
      </c>
      <c r="R27" s="30">
        <f>E27*0.25</f>
        <v>38.25</v>
      </c>
      <c r="S27" s="30">
        <f>E27*0.25</f>
        <v>38.25</v>
      </c>
      <c r="T27" s="30">
        <f>E27*0.25</f>
        <v>38.25</v>
      </c>
      <c r="U27" s="6">
        <f>Q27*D27</f>
        <v>19125</v>
      </c>
      <c r="V27" s="6">
        <f>R27*D27</f>
        <v>19125</v>
      </c>
      <c r="W27" s="6">
        <f>S27*D27</f>
        <v>19125</v>
      </c>
      <c r="X27" s="6">
        <f>T27*D27</f>
        <v>19125</v>
      </c>
      <c r="Y27" s="6">
        <v>0</v>
      </c>
      <c r="Z27" s="6">
        <f>Y27*D27</f>
        <v>0</v>
      </c>
      <c r="AA27" s="6">
        <v>0</v>
      </c>
      <c r="AB27" s="6">
        <f>AA27*D27</f>
        <v>0</v>
      </c>
      <c r="AC27" s="6">
        <v>0</v>
      </c>
      <c r="AD27" s="6">
        <f>AC27*D27</f>
        <v>0</v>
      </c>
      <c r="AE27" s="6">
        <v>0</v>
      </c>
      <c r="AF27" s="6">
        <f>AE27*D27</f>
        <v>0</v>
      </c>
      <c r="AG27" s="6">
        <v>0</v>
      </c>
      <c r="AH27" s="6">
        <f>AG27*D27</f>
        <v>0</v>
      </c>
      <c r="AI27" s="6">
        <v>0</v>
      </c>
      <c r="AJ27" s="6">
        <f>D27*AI27</f>
        <v>0</v>
      </c>
      <c r="AK27" s="6">
        <v>0</v>
      </c>
      <c r="AL27" s="6">
        <f>D27*AK27</f>
        <v>0</v>
      </c>
      <c r="AM27" s="6">
        <v>0</v>
      </c>
      <c r="AN27" s="6">
        <f>D27*AM27</f>
        <v>0</v>
      </c>
      <c r="AO27" s="6">
        <v>0</v>
      </c>
      <c r="AP27" s="6">
        <f>AO27*D27</f>
        <v>0</v>
      </c>
      <c r="AQ27" s="6">
        <v>0</v>
      </c>
      <c r="AR27" s="6">
        <f>AQ27*D27</f>
        <v>0</v>
      </c>
      <c r="AS27" s="6">
        <v>0</v>
      </c>
      <c r="AT27" s="6">
        <f>AS27*D27</f>
        <v>0</v>
      </c>
      <c r="AU27" s="6">
        <v>0</v>
      </c>
      <c r="AV27" s="6">
        <f>AU27*D27</f>
        <v>0</v>
      </c>
      <c r="AW27" s="6">
        <v>0</v>
      </c>
      <c r="AX27" s="6">
        <f>AW27*D27</f>
        <v>0</v>
      </c>
      <c r="AY27" s="6">
        <v>0</v>
      </c>
      <c r="AZ27" s="6">
        <f>AY27*D27</f>
        <v>0</v>
      </c>
      <c r="BA27" s="6">
        <v>0</v>
      </c>
      <c r="BB27" s="6">
        <f>D27*BA27</f>
        <v>0</v>
      </c>
      <c r="BC27" s="6">
        <v>0</v>
      </c>
      <c r="BD27" s="6">
        <f>BC27*D27</f>
        <v>0</v>
      </c>
      <c r="BE27" s="6">
        <v>0</v>
      </c>
      <c r="BF27" s="6">
        <f>BE27*D27</f>
        <v>0</v>
      </c>
      <c r="BG27" s="6">
        <f>17*3*3</f>
        <v>153</v>
      </c>
      <c r="BH27" s="6">
        <f>BG27*D27</f>
        <v>76500</v>
      </c>
      <c r="BI27" s="7">
        <f t="shared" ref="BI27:BJ31" si="9">BG27+BE27+BC27+BA27+AY27+AW27+AU27+AS27+AQ27+AO27+AM27+AK27+AI27+AG27+AE27+AC27+AA27+Y27</f>
        <v>153</v>
      </c>
      <c r="BJ27" s="7">
        <f t="shared" si="9"/>
        <v>76500</v>
      </c>
      <c r="BK27" s="186" t="s">
        <v>210</v>
      </c>
      <c r="BM27" s="190"/>
      <c r="BN27" s="190">
        <f>BJ27</f>
        <v>76500</v>
      </c>
      <c r="BO27" s="190"/>
      <c r="BP27" s="190"/>
      <c r="BQ27" s="190">
        <f>BM27+BN27+BO27+BP27</f>
        <v>76500</v>
      </c>
      <c r="BR27" s="190"/>
      <c r="BS27" s="190"/>
      <c r="BT27" s="190"/>
      <c r="BU27" s="167">
        <f t="shared" si="2"/>
        <v>76500</v>
      </c>
    </row>
    <row r="28" spans="1:73" ht="31.5" x14ac:dyDescent="0.25">
      <c r="A28" s="595" t="s">
        <v>733</v>
      </c>
      <c r="B28" s="199" t="s">
        <v>655</v>
      </c>
      <c r="C28" s="186" t="s">
        <v>467</v>
      </c>
      <c r="D28" s="193">
        <v>150</v>
      </c>
      <c r="E28" s="8">
        <f>BI28</f>
        <v>810</v>
      </c>
      <c r="F28" s="6">
        <f>E28*D28</f>
        <v>121500</v>
      </c>
      <c r="G28" s="6">
        <f>F28*0.2</f>
        <v>24300</v>
      </c>
      <c r="H28" s="6">
        <f>F28*0.8</f>
        <v>97200</v>
      </c>
      <c r="I28" s="6"/>
      <c r="J28" s="6"/>
      <c r="K28" s="6"/>
      <c r="L28" s="6"/>
      <c r="M28" s="6"/>
      <c r="N28" s="6"/>
      <c r="O28" s="6"/>
      <c r="P28" s="6"/>
      <c r="Q28" s="30">
        <f>E28*0.25</f>
        <v>202.5</v>
      </c>
      <c r="R28" s="30">
        <f>E28*0.25</f>
        <v>202.5</v>
      </c>
      <c r="S28" s="30">
        <f>E28*0.25</f>
        <v>202.5</v>
      </c>
      <c r="T28" s="30">
        <f>E28*0.25</f>
        <v>202.5</v>
      </c>
      <c r="U28" s="6">
        <f>Q28*D28</f>
        <v>30375</v>
      </c>
      <c r="V28" s="6">
        <f>R28*D28</f>
        <v>30375</v>
      </c>
      <c r="W28" s="6">
        <f>S28*D28</f>
        <v>30375</v>
      </c>
      <c r="X28" s="6">
        <f>T28*D28</f>
        <v>30375</v>
      </c>
      <c r="Y28" s="6">
        <v>40</v>
      </c>
      <c r="Z28" s="6">
        <f>Y28*D28</f>
        <v>6000</v>
      </c>
      <c r="AA28" s="6">
        <v>30</v>
      </c>
      <c r="AB28" s="6">
        <f>AA28*D28</f>
        <v>4500</v>
      </c>
      <c r="AC28" s="6">
        <v>40</v>
      </c>
      <c r="AD28" s="6">
        <f>AC28*D28</f>
        <v>6000</v>
      </c>
      <c r="AE28" s="6">
        <v>80</v>
      </c>
      <c r="AF28" s="6">
        <f>AE28*D28</f>
        <v>12000</v>
      </c>
      <c r="AG28" s="6">
        <v>35</v>
      </c>
      <c r="AH28" s="6">
        <f>AG28*D28</f>
        <v>5250</v>
      </c>
      <c r="AI28" s="6">
        <v>45</v>
      </c>
      <c r="AJ28" s="6">
        <f>D28*AI28</f>
        <v>6750</v>
      </c>
      <c r="AK28" s="6">
        <v>35</v>
      </c>
      <c r="AL28" s="6">
        <f>D28*AK28</f>
        <v>5250</v>
      </c>
      <c r="AM28" s="6">
        <v>70</v>
      </c>
      <c r="AN28" s="6">
        <f>D28*AM28</f>
        <v>10500</v>
      </c>
      <c r="AO28" s="6">
        <v>20</v>
      </c>
      <c r="AP28" s="6">
        <f>AO28*D28</f>
        <v>3000</v>
      </c>
      <c r="AQ28" s="6">
        <v>40</v>
      </c>
      <c r="AR28" s="6">
        <f>AQ28*D28</f>
        <v>6000</v>
      </c>
      <c r="AS28" s="6">
        <v>45</v>
      </c>
      <c r="AT28" s="6">
        <f>AS28*D28</f>
        <v>6750</v>
      </c>
      <c r="AU28" s="6">
        <v>45</v>
      </c>
      <c r="AV28" s="6">
        <f>AU28*D28</f>
        <v>6750</v>
      </c>
      <c r="AW28" s="6">
        <v>50</v>
      </c>
      <c r="AX28" s="6">
        <f>AW28*D28</f>
        <v>7500</v>
      </c>
      <c r="AY28" s="6">
        <v>50</v>
      </c>
      <c r="AZ28" s="6">
        <f>AY28*D28</f>
        <v>7500</v>
      </c>
      <c r="BA28" s="6">
        <v>55</v>
      </c>
      <c r="BB28" s="6">
        <f>D28*BA28</f>
        <v>8250</v>
      </c>
      <c r="BC28" s="6">
        <v>85</v>
      </c>
      <c r="BD28" s="6">
        <f>BC28*D28</f>
        <v>12750</v>
      </c>
      <c r="BE28" s="6">
        <v>45</v>
      </c>
      <c r="BF28" s="6">
        <f>BE28*D28</f>
        <v>6750</v>
      </c>
      <c r="BG28" s="6">
        <v>0</v>
      </c>
      <c r="BH28" s="6">
        <f>BG28*D28</f>
        <v>0</v>
      </c>
      <c r="BI28" s="7">
        <f t="shared" si="9"/>
        <v>810</v>
      </c>
      <c r="BJ28" s="7">
        <f t="shared" si="9"/>
        <v>121500</v>
      </c>
      <c r="BK28" s="186" t="s">
        <v>210</v>
      </c>
      <c r="BM28" s="190">
        <v>0</v>
      </c>
      <c r="BN28" s="190">
        <f>BJ28</f>
        <v>121500</v>
      </c>
      <c r="BO28" s="190">
        <v>0</v>
      </c>
      <c r="BP28" s="190">
        <v>0</v>
      </c>
      <c r="BQ28" s="190">
        <f>BM28+BN28+BO28+BP28</f>
        <v>121500</v>
      </c>
      <c r="BR28" s="190">
        <v>0</v>
      </c>
      <c r="BS28" s="190">
        <v>0</v>
      </c>
      <c r="BT28" s="190">
        <f>BR28+BS28</f>
        <v>0</v>
      </c>
      <c r="BU28" s="167">
        <f t="shared" si="2"/>
        <v>121500</v>
      </c>
    </row>
    <row r="29" spans="1:73" ht="31.5" x14ac:dyDescent="0.25">
      <c r="A29" s="595" t="s">
        <v>734</v>
      </c>
      <c r="B29" s="199" t="s">
        <v>444</v>
      </c>
      <c r="C29" s="186" t="s">
        <v>467</v>
      </c>
      <c r="D29" s="193">
        <v>150</v>
      </c>
      <c r="E29" s="8">
        <f>BI29</f>
        <v>0</v>
      </c>
      <c r="F29" s="6">
        <f>E29*D29</f>
        <v>0</v>
      </c>
      <c r="G29" s="6">
        <f>F29*0.2</f>
        <v>0</v>
      </c>
      <c r="H29" s="6">
        <f>F29*0.8</f>
        <v>0</v>
      </c>
      <c r="I29" s="6"/>
      <c r="J29" s="6"/>
      <c r="K29" s="6"/>
      <c r="L29" s="6"/>
      <c r="M29" s="6"/>
      <c r="N29" s="6"/>
      <c r="O29" s="6"/>
      <c r="P29" s="6"/>
      <c r="Q29" s="30">
        <f>E29*0.25</f>
        <v>0</v>
      </c>
      <c r="R29" s="30">
        <f>E29*0.25</f>
        <v>0</v>
      </c>
      <c r="S29" s="8">
        <f>E29*0.25</f>
        <v>0</v>
      </c>
      <c r="T29" s="8">
        <f>E29*0.25</f>
        <v>0</v>
      </c>
      <c r="U29" s="6">
        <f>Q29*D29</f>
        <v>0</v>
      </c>
      <c r="V29" s="6">
        <f>R29*D29</f>
        <v>0</v>
      </c>
      <c r="W29" s="6">
        <f>S29*D29</f>
        <v>0</v>
      </c>
      <c r="X29" s="6">
        <f>T29*D29</f>
        <v>0</v>
      </c>
      <c r="Y29" s="6">
        <v>0</v>
      </c>
      <c r="Z29" s="6">
        <f>Y29*D29</f>
        <v>0</v>
      </c>
      <c r="AA29" s="6">
        <v>0</v>
      </c>
      <c r="AB29" s="6">
        <f>AA29*D29</f>
        <v>0</v>
      </c>
      <c r="AC29" s="6">
        <v>0</v>
      </c>
      <c r="AD29" s="6">
        <f>AC29*D29</f>
        <v>0</v>
      </c>
      <c r="AE29" s="6">
        <v>0</v>
      </c>
      <c r="AF29" s="6">
        <f>AE29*D29</f>
        <v>0</v>
      </c>
      <c r="AG29" s="6">
        <v>0</v>
      </c>
      <c r="AH29" s="6">
        <f>AG29*D29</f>
        <v>0</v>
      </c>
      <c r="AI29" s="6">
        <v>0</v>
      </c>
      <c r="AJ29" s="6">
        <f>D29*AI29</f>
        <v>0</v>
      </c>
      <c r="AK29" s="6">
        <v>0</v>
      </c>
      <c r="AL29" s="6">
        <f>D29*AK29</f>
        <v>0</v>
      </c>
      <c r="AM29" s="6">
        <v>0</v>
      </c>
      <c r="AN29" s="6">
        <f>D29*AM29</f>
        <v>0</v>
      </c>
      <c r="AO29" s="6">
        <v>0</v>
      </c>
      <c r="AP29" s="6">
        <f>AO29*D29</f>
        <v>0</v>
      </c>
      <c r="AQ29" s="6">
        <v>0</v>
      </c>
      <c r="AR29" s="6">
        <f>AQ29*D29</f>
        <v>0</v>
      </c>
      <c r="AS29" s="6">
        <v>0</v>
      </c>
      <c r="AT29" s="6">
        <f>AS29*D29</f>
        <v>0</v>
      </c>
      <c r="AU29" s="6">
        <v>0</v>
      </c>
      <c r="AV29" s="6">
        <f>AU29*D29</f>
        <v>0</v>
      </c>
      <c r="AW29" s="6">
        <v>0</v>
      </c>
      <c r="AX29" s="6">
        <f>AW29*D29</f>
        <v>0</v>
      </c>
      <c r="AY29" s="6">
        <v>0</v>
      </c>
      <c r="AZ29" s="6">
        <f>AY29*D29</f>
        <v>0</v>
      </c>
      <c r="BA29" s="6">
        <v>0</v>
      </c>
      <c r="BB29" s="6">
        <f>D29*BA29</f>
        <v>0</v>
      </c>
      <c r="BC29" s="6">
        <v>0</v>
      </c>
      <c r="BD29" s="6">
        <f>BC29*D29</f>
        <v>0</v>
      </c>
      <c r="BE29" s="6">
        <v>0</v>
      </c>
      <c r="BF29" s="6">
        <f>BE29*D29</f>
        <v>0</v>
      </c>
      <c r="BG29" s="6">
        <v>0</v>
      </c>
      <c r="BH29" s="6">
        <f>BG29*D29</f>
        <v>0</v>
      </c>
      <c r="BI29" s="7">
        <f t="shared" si="9"/>
        <v>0</v>
      </c>
      <c r="BJ29" s="7">
        <f t="shared" si="9"/>
        <v>0</v>
      </c>
      <c r="BK29" s="186" t="s">
        <v>210</v>
      </c>
      <c r="BM29" s="190">
        <v>0</v>
      </c>
      <c r="BN29" s="190">
        <f>BJ29</f>
        <v>0</v>
      </c>
      <c r="BO29" s="190">
        <v>0</v>
      </c>
      <c r="BP29" s="190">
        <v>0</v>
      </c>
      <c r="BQ29" s="190">
        <f>BM29+BN29+BO29+BP29</f>
        <v>0</v>
      </c>
      <c r="BR29" s="190">
        <v>0</v>
      </c>
      <c r="BS29" s="190">
        <v>0</v>
      </c>
      <c r="BT29" s="190">
        <f>BR29+BS29</f>
        <v>0</v>
      </c>
      <c r="BU29" s="167">
        <f t="shared" si="2"/>
        <v>0</v>
      </c>
    </row>
    <row r="30" spans="1:73" x14ac:dyDescent="0.25">
      <c r="A30" s="595" t="s">
        <v>735</v>
      </c>
      <c r="B30" s="192" t="s">
        <v>445</v>
      </c>
      <c r="C30" s="186" t="s">
        <v>467</v>
      </c>
      <c r="D30" s="193">
        <v>150</v>
      </c>
      <c r="E30" s="8">
        <f>BI30</f>
        <v>4473</v>
      </c>
      <c r="F30" s="6">
        <f>E30*D30</f>
        <v>670950</v>
      </c>
      <c r="G30" s="6">
        <f>F30*0.2</f>
        <v>134190</v>
      </c>
      <c r="H30" s="6">
        <f>F30*0.8</f>
        <v>536760</v>
      </c>
      <c r="I30" s="6"/>
      <c r="J30" s="6"/>
      <c r="K30" s="6"/>
      <c r="L30" s="6"/>
      <c r="M30" s="6"/>
      <c r="N30" s="6"/>
      <c r="O30" s="6"/>
      <c r="P30" s="6"/>
      <c r="Q30" s="30">
        <f>E30*0.25</f>
        <v>1118.25</v>
      </c>
      <c r="R30" s="30">
        <f>E30*0.25</f>
        <v>1118.25</v>
      </c>
      <c r="S30" s="30">
        <f>E30*0.25</f>
        <v>1118.25</v>
      </c>
      <c r="T30" s="30">
        <f>E30*0.25</f>
        <v>1118.25</v>
      </c>
      <c r="U30" s="6">
        <f>Q30*D30</f>
        <v>167737.5</v>
      </c>
      <c r="V30" s="6">
        <f>R30*D30</f>
        <v>167737.5</v>
      </c>
      <c r="W30" s="6">
        <f>S30*D30</f>
        <v>167737.5</v>
      </c>
      <c r="X30" s="6">
        <f>T30*D30</f>
        <v>167737.5</v>
      </c>
      <c r="Y30" s="6">
        <v>300</v>
      </c>
      <c r="Z30" s="6">
        <f>Y30*D30</f>
        <v>45000</v>
      </c>
      <c r="AA30" s="6">
        <v>147</v>
      </c>
      <c r="AB30" s="6">
        <f>AA30*D30</f>
        <v>22050</v>
      </c>
      <c r="AC30" s="6">
        <v>390</v>
      </c>
      <c r="AD30" s="6">
        <f>AC30*D30</f>
        <v>58500</v>
      </c>
      <c r="AE30" s="6">
        <v>270</v>
      </c>
      <c r="AF30" s="6">
        <f>AE30*D30</f>
        <v>40500</v>
      </c>
      <c r="AG30" s="6">
        <v>114</v>
      </c>
      <c r="AH30" s="6">
        <f>AG30*D30</f>
        <v>17100</v>
      </c>
      <c r="AI30" s="6">
        <v>357</v>
      </c>
      <c r="AJ30" s="6">
        <f>D30*AI30</f>
        <v>53550</v>
      </c>
      <c r="AK30" s="6">
        <v>204</v>
      </c>
      <c r="AL30" s="6">
        <f>D30*AK30</f>
        <v>30600</v>
      </c>
      <c r="AM30" s="6">
        <v>300</v>
      </c>
      <c r="AN30" s="6">
        <f>D30*AM30</f>
        <v>45000</v>
      </c>
      <c r="AO30" s="6">
        <v>200</v>
      </c>
      <c r="AP30" s="6">
        <f>AO30*D30</f>
        <v>30000</v>
      </c>
      <c r="AQ30" s="6">
        <v>300</v>
      </c>
      <c r="AR30" s="6">
        <f>AQ30*D30</f>
        <v>45000</v>
      </c>
      <c r="AS30" s="6">
        <v>393</v>
      </c>
      <c r="AT30" s="6">
        <f>AS30*D30</f>
        <v>58950</v>
      </c>
      <c r="AU30" s="6">
        <v>213</v>
      </c>
      <c r="AV30" s="6">
        <f>AU30*D30</f>
        <v>31950</v>
      </c>
      <c r="AW30" s="6">
        <v>249</v>
      </c>
      <c r="AX30" s="6">
        <f>AW30*D30</f>
        <v>37350</v>
      </c>
      <c r="AY30" s="6">
        <v>324</v>
      </c>
      <c r="AZ30" s="6">
        <f>AY30*D30</f>
        <v>48600</v>
      </c>
      <c r="BA30" s="6">
        <v>257</v>
      </c>
      <c r="BB30" s="6">
        <f>D30*BA30</f>
        <v>38550</v>
      </c>
      <c r="BC30" s="6">
        <v>200</v>
      </c>
      <c r="BD30" s="6">
        <f>BC30*D30</f>
        <v>30000</v>
      </c>
      <c r="BE30" s="6">
        <v>255</v>
      </c>
      <c r="BF30" s="6">
        <f>BE30*D30</f>
        <v>38250</v>
      </c>
      <c r="BG30" s="6">
        <v>0</v>
      </c>
      <c r="BH30" s="6">
        <f>BG30*D30</f>
        <v>0</v>
      </c>
      <c r="BI30" s="7">
        <f t="shared" si="9"/>
        <v>4473</v>
      </c>
      <c r="BJ30" s="7">
        <f t="shared" si="9"/>
        <v>670950</v>
      </c>
      <c r="BK30" s="186" t="s">
        <v>210</v>
      </c>
      <c r="BM30" s="190">
        <v>0</v>
      </c>
      <c r="BN30" s="190">
        <f>BJ30</f>
        <v>670950</v>
      </c>
      <c r="BO30" s="190">
        <v>0</v>
      </c>
      <c r="BP30" s="190">
        <v>0</v>
      </c>
      <c r="BQ30" s="190">
        <f>BM30+BN30+BO30+BP30</f>
        <v>670950</v>
      </c>
      <c r="BR30" s="190">
        <v>0</v>
      </c>
      <c r="BS30" s="190">
        <v>0</v>
      </c>
      <c r="BT30" s="190">
        <f>BR30+BS30</f>
        <v>0</v>
      </c>
      <c r="BU30" s="167">
        <f t="shared" si="2"/>
        <v>670950</v>
      </c>
    </row>
    <row r="31" spans="1:73" x14ac:dyDescent="0.25">
      <c r="A31" s="595" t="s">
        <v>736</v>
      </c>
      <c r="B31" s="192" t="s">
        <v>446</v>
      </c>
      <c r="C31" s="186" t="s">
        <v>468</v>
      </c>
      <c r="D31" s="193" t="s">
        <v>305</v>
      </c>
      <c r="E31" s="8">
        <f>BI31</f>
        <v>1</v>
      </c>
      <c r="F31" s="11">
        <f>E31*D31</f>
        <v>300000</v>
      </c>
      <c r="G31" s="6">
        <f>F31*0.2</f>
        <v>60000</v>
      </c>
      <c r="H31" s="6">
        <f>F31*0.8</f>
        <v>240000</v>
      </c>
      <c r="I31" s="11"/>
      <c r="J31" s="11"/>
      <c r="K31" s="11"/>
      <c r="L31" s="11"/>
      <c r="M31" s="11"/>
      <c r="N31" s="11"/>
      <c r="O31" s="11"/>
      <c r="P31" s="11"/>
      <c r="Q31" s="600">
        <f>E31*0.25</f>
        <v>0.25</v>
      </c>
      <c r="R31" s="600">
        <f>E31*0.25</f>
        <v>0.25</v>
      </c>
      <c r="S31" s="600">
        <f>E31*0.25</f>
        <v>0.25</v>
      </c>
      <c r="T31" s="600">
        <f>E31*0.25</f>
        <v>0.25</v>
      </c>
      <c r="U31" s="11">
        <f>Q31*D31</f>
        <v>75000</v>
      </c>
      <c r="V31" s="11">
        <f>R31*D31</f>
        <v>75000</v>
      </c>
      <c r="W31" s="11">
        <f>S31*D31</f>
        <v>75000</v>
      </c>
      <c r="X31" s="11">
        <f>T31*D31</f>
        <v>75000</v>
      </c>
      <c r="Y31" s="6">
        <v>0</v>
      </c>
      <c r="Z31" s="6">
        <f>Y31*D31</f>
        <v>0</v>
      </c>
      <c r="AA31" s="6">
        <v>0</v>
      </c>
      <c r="AB31" s="6">
        <f>AA31*D31</f>
        <v>0</v>
      </c>
      <c r="AC31" s="6">
        <v>0</v>
      </c>
      <c r="AD31" s="6">
        <f>AC31*D31</f>
        <v>0</v>
      </c>
      <c r="AE31" s="6">
        <v>0</v>
      </c>
      <c r="AF31" s="6">
        <f>AE31*D31</f>
        <v>0</v>
      </c>
      <c r="AG31" s="6">
        <v>0</v>
      </c>
      <c r="AH31" s="6">
        <f>AG31*D31</f>
        <v>0</v>
      </c>
      <c r="AI31" s="6">
        <v>0</v>
      </c>
      <c r="AJ31" s="6">
        <f>D31*AI31</f>
        <v>0</v>
      </c>
      <c r="AK31" s="6">
        <v>0</v>
      </c>
      <c r="AL31" s="6">
        <f>D31*AK31</f>
        <v>0</v>
      </c>
      <c r="AM31" s="6">
        <v>0</v>
      </c>
      <c r="AN31" s="6">
        <f>D31*AM31</f>
        <v>0</v>
      </c>
      <c r="AO31" s="6">
        <v>0</v>
      </c>
      <c r="AP31" s="6">
        <f>AO31*D31</f>
        <v>0</v>
      </c>
      <c r="AQ31" s="6">
        <v>0</v>
      </c>
      <c r="AR31" s="6">
        <f>AQ31*D31</f>
        <v>0</v>
      </c>
      <c r="AS31" s="6">
        <v>0</v>
      </c>
      <c r="AT31" s="6">
        <f>AS31*D31</f>
        <v>0</v>
      </c>
      <c r="AU31" s="6">
        <v>0</v>
      </c>
      <c r="AV31" s="6">
        <f>AU31*D31</f>
        <v>0</v>
      </c>
      <c r="AW31" s="6">
        <v>0</v>
      </c>
      <c r="AX31" s="6">
        <f>AW31*D31</f>
        <v>0</v>
      </c>
      <c r="AY31" s="6">
        <v>0</v>
      </c>
      <c r="AZ31" s="6">
        <f>AY31*D31</f>
        <v>0</v>
      </c>
      <c r="BA31" s="6">
        <v>0</v>
      </c>
      <c r="BB31" s="6">
        <f>D31*BA31</f>
        <v>0</v>
      </c>
      <c r="BC31" s="6">
        <v>0</v>
      </c>
      <c r="BD31" s="6">
        <f>BC31*D31</f>
        <v>0</v>
      </c>
      <c r="BE31" s="6">
        <v>0</v>
      </c>
      <c r="BF31" s="6">
        <f>BE31*D31</f>
        <v>0</v>
      </c>
      <c r="BG31" s="6">
        <v>1</v>
      </c>
      <c r="BH31" s="6">
        <f>BG31*D31</f>
        <v>300000</v>
      </c>
      <c r="BI31" s="7">
        <f t="shared" si="9"/>
        <v>1</v>
      </c>
      <c r="BJ31" s="7">
        <f t="shared" si="9"/>
        <v>300000</v>
      </c>
      <c r="BK31" s="186" t="s">
        <v>210</v>
      </c>
      <c r="BM31" s="7">
        <f t="shared" ref="BM31:BT31" si="10">SUM(BM28:BM30)</f>
        <v>0</v>
      </c>
      <c r="BN31" s="190">
        <f>BJ31</f>
        <v>300000</v>
      </c>
      <c r="BO31" s="7">
        <f t="shared" si="10"/>
        <v>0</v>
      </c>
      <c r="BP31" s="7">
        <f t="shared" si="10"/>
        <v>0</v>
      </c>
      <c r="BQ31" s="190">
        <f>BM31+BN31+BO31+BP31</f>
        <v>300000</v>
      </c>
      <c r="BR31" s="7">
        <f t="shared" si="10"/>
        <v>0</v>
      </c>
      <c r="BS31" s="7">
        <f t="shared" si="10"/>
        <v>0</v>
      </c>
      <c r="BT31" s="7">
        <f t="shared" si="10"/>
        <v>0</v>
      </c>
      <c r="BU31" s="167">
        <f t="shared" si="2"/>
        <v>300000</v>
      </c>
    </row>
    <row r="32" spans="1:73" s="180" customFormat="1" x14ac:dyDescent="0.25">
      <c r="A32" s="498"/>
      <c r="B32" s="185" t="s">
        <v>447</v>
      </c>
      <c r="C32" s="186" t="s">
        <v>111</v>
      </c>
      <c r="D32" s="193" t="s">
        <v>111</v>
      </c>
      <c r="E32" s="16">
        <f>SUM(E27:E31)</f>
        <v>5437</v>
      </c>
      <c r="F32" s="16">
        <f t="shared" ref="F32:X32" si="11">SUM(F27:F31)</f>
        <v>1168950</v>
      </c>
      <c r="G32" s="16">
        <f t="shared" si="11"/>
        <v>233790</v>
      </c>
      <c r="H32" s="16">
        <f t="shared" si="11"/>
        <v>935160</v>
      </c>
      <c r="I32" s="16">
        <f t="shared" si="11"/>
        <v>0</v>
      </c>
      <c r="J32" s="16">
        <f t="shared" si="11"/>
        <v>0</v>
      </c>
      <c r="K32" s="16">
        <f t="shared" si="11"/>
        <v>0</v>
      </c>
      <c r="L32" s="16">
        <f t="shared" si="11"/>
        <v>0</v>
      </c>
      <c r="M32" s="16">
        <f t="shared" si="11"/>
        <v>0</v>
      </c>
      <c r="N32" s="16">
        <f t="shared" si="11"/>
        <v>0</v>
      </c>
      <c r="O32" s="16">
        <f t="shared" si="11"/>
        <v>0</v>
      </c>
      <c r="P32" s="16">
        <f t="shared" si="11"/>
        <v>0</v>
      </c>
      <c r="Q32" s="16">
        <f t="shared" si="11"/>
        <v>1359.25</v>
      </c>
      <c r="R32" s="16">
        <f t="shared" si="11"/>
        <v>1359.25</v>
      </c>
      <c r="S32" s="16">
        <f t="shared" si="11"/>
        <v>1359.25</v>
      </c>
      <c r="T32" s="16">
        <f t="shared" si="11"/>
        <v>1359.25</v>
      </c>
      <c r="U32" s="16">
        <f t="shared" si="11"/>
        <v>292237.5</v>
      </c>
      <c r="V32" s="16">
        <f t="shared" si="11"/>
        <v>292237.5</v>
      </c>
      <c r="W32" s="16">
        <f t="shared" si="11"/>
        <v>292237.5</v>
      </c>
      <c r="X32" s="16">
        <f t="shared" si="11"/>
        <v>292237.5</v>
      </c>
      <c r="Y32" s="6">
        <f>SUM(Y27:Y31)</f>
        <v>340</v>
      </c>
      <c r="Z32" s="6">
        <f t="shared" ref="Z32:BU32" si="12">SUM(Z27:Z31)</f>
        <v>51000</v>
      </c>
      <c r="AA32" s="6">
        <f t="shared" si="12"/>
        <v>177</v>
      </c>
      <c r="AB32" s="6">
        <f t="shared" si="12"/>
        <v>26550</v>
      </c>
      <c r="AC32" s="6">
        <f t="shared" si="12"/>
        <v>430</v>
      </c>
      <c r="AD32" s="6">
        <f t="shared" si="12"/>
        <v>64500</v>
      </c>
      <c r="AE32" s="6">
        <f t="shared" si="12"/>
        <v>350</v>
      </c>
      <c r="AF32" s="6">
        <f t="shared" si="12"/>
        <v>52500</v>
      </c>
      <c r="AG32" s="6">
        <f t="shared" si="12"/>
        <v>149</v>
      </c>
      <c r="AH32" s="6">
        <f t="shared" si="12"/>
        <v>22350</v>
      </c>
      <c r="AI32" s="6">
        <f t="shared" si="12"/>
        <v>402</v>
      </c>
      <c r="AJ32" s="6">
        <f t="shared" si="12"/>
        <v>60300</v>
      </c>
      <c r="AK32" s="6">
        <f t="shared" si="12"/>
        <v>239</v>
      </c>
      <c r="AL32" s="6">
        <f t="shared" si="12"/>
        <v>35850</v>
      </c>
      <c r="AM32" s="6">
        <f t="shared" si="12"/>
        <v>370</v>
      </c>
      <c r="AN32" s="6">
        <f t="shared" si="12"/>
        <v>55500</v>
      </c>
      <c r="AO32" s="6">
        <f t="shared" si="12"/>
        <v>220</v>
      </c>
      <c r="AP32" s="6">
        <f t="shared" si="12"/>
        <v>33000</v>
      </c>
      <c r="AQ32" s="6">
        <f t="shared" si="12"/>
        <v>340</v>
      </c>
      <c r="AR32" s="6">
        <f t="shared" si="12"/>
        <v>51000</v>
      </c>
      <c r="AS32" s="6">
        <f t="shared" si="12"/>
        <v>438</v>
      </c>
      <c r="AT32" s="6">
        <f t="shared" si="12"/>
        <v>65700</v>
      </c>
      <c r="AU32" s="6">
        <f t="shared" si="12"/>
        <v>258</v>
      </c>
      <c r="AV32" s="6">
        <f t="shared" si="12"/>
        <v>38700</v>
      </c>
      <c r="AW32" s="6">
        <f t="shared" si="12"/>
        <v>299</v>
      </c>
      <c r="AX32" s="6">
        <f t="shared" si="12"/>
        <v>44850</v>
      </c>
      <c r="AY32" s="6">
        <f t="shared" si="12"/>
        <v>374</v>
      </c>
      <c r="AZ32" s="6">
        <f t="shared" si="12"/>
        <v>56100</v>
      </c>
      <c r="BA32" s="6">
        <f t="shared" si="12"/>
        <v>312</v>
      </c>
      <c r="BB32" s="6">
        <f t="shared" si="12"/>
        <v>46800</v>
      </c>
      <c r="BC32" s="6">
        <f t="shared" si="12"/>
        <v>285</v>
      </c>
      <c r="BD32" s="6">
        <f t="shared" si="12"/>
        <v>42750</v>
      </c>
      <c r="BE32" s="6">
        <f t="shared" si="12"/>
        <v>300</v>
      </c>
      <c r="BF32" s="6">
        <f t="shared" si="12"/>
        <v>45000</v>
      </c>
      <c r="BG32" s="6">
        <f t="shared" si="12"/>
        <v>154</v>
      </c>
      <c r="BH32" s="6">
        <f t="shared" si="12"/>
        <v>376500</v>
      </c>
      <c r="BI32" s="6">
        <f t="shared" si="12"/>
        <v>5437</v>
      </c>
      <c r="BJ32" s="6">
        <f t="shared" si="12"/>
        <v>1168950</v>
      </c>
      <c r="BK32" s="6">
        <f t="shared" si="12"/>
        <v>0</v>
      </c>
      <c r="BL32" s="6">
        <f t="shared" si="12"/>
        <v>0</v>
      </c>
      <c r="BM32" s="6">
        <f t="shared" si="12"/>
        <v>0</v>
      </c>
      <c r="BN32" s="6">
        <f t="shared" si="12"/>
        <v>1168950</v>
      </c>
      <c r="BO32" s="6">
        <f t="shared" si="12"/>
        <v>0</v>
      </c>
      <c r="BP32" s="6">
        <f t="shared" si="12"/>
        <v>0</v>
      </c>
      <c r="BQ32" s="6">
        <f t="shared" si="12"/>
        <v>1168950</v>
      </c>
      <c r="BR32" s="6">
        <f t="shared" si="12"/>
        <v>0</v>
      </c>
      <c r="BS32" s="6">
        <f t="shared" si="12"/>
        <v>0</v>
      </c>
      <c r="BT32" s="6">
        <f t="shared" si="12"/>
        <v>0</v>
      </c>
      <c r="BU32" s="6">
        <f t="shared" si="12"/>
        <v>1168950</v>
      </c>
    </row>
    <row r="33" spans="1:73" x14ac:dyDescent="0.25">
      <c r="A33" s="595"/>
      <c r="B33" s="185" t="s">
        <v>448</v>
      </c>
      <c r="C33" s="186"/>
      <c r="D33" s="186"/>
      <c r="E33" s="8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30"/>
      <c r="R33" s="30"/>
      <c r="S33" s="30"/>
      <c r="T33" s="30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7"/>
      <c r="BJ33" s="439"/>
      <c r="BK33" s="186"/>
      <c r="BM33" s="190"/>
      <c r="BN33" s="190"/>
      <c r="BO33" s="190"/>
      <c r="BP33" s="190"/>
      <c r="BQ33" s="190"/>
      <c r="BR33" s="190"/>
      <c r="BS33" s="190"/>
      <c r="BT33" s="190"/>
      <c r="BU33" s="167">
        <f t="shared" si="2"/>
        <v>0</v>
      </c>
    </row>
    <row r="34" spans="1:73" x14ac:dyDescent="0.25">
      <c r="A34" s="595" t="s">
        <v>737</v>
      </c>
      <c r="B34" s="192" t="s">
        <v>982</v>
      </c>
      <c r="C34" s="186" t="s">
        <v>67</v>
      </c>
      <c r="D34" s="193">
        <v>150</v>
      </c>
      <c r="E34" s="8">
        <f>BI34</f>
        <v>0</v>
      </c>
      <c r="F34" s="6">
        <f>E34*D34</f>
        <v>0</v>
      </c>
      <c r="G34" s="6">
        <f>F34*0.2</f>
        <v>0</v>
      </c>
      <c r="H34" s="6">
        <f>F34*0.8</f>
        <v>0</v>
      </c>
      <c r="I34" s="6"/>
      <c r="J34" s="6"/>
      <c r="K34" s="6"/>
      <c r="L34" s="6"/>
      <c r="M34" s="6"/>
      <c r="N34" s="6"/>
      <c r="O34" s="6"/>
      <c r="P34" s="6"/>
      <c r="Q34" s="30">
        <f>E34*0.25</f>
        <v>0</v>
      </c>
      <c r="R34" s="30">
        <f>E34*0.25</f>
        <v>0</v>
      </c>
      <c r="S34" s="30">
        <f>E34*0.25</f>
        <v>0</v>
      </c>
      <c r="T34" s="30">
        <f>E34*0.25</f>
        <v>0</v>
      </c>
      <c r="U34" s="6">
        <f>Q34*D34</f>
        <v>0</v>
      </c>
      <c r="V34" s="6">
        <f>R34*D34</f>
        <v>0</v>
      </c>
      <c r="W34" s="6">
        <f>S34*D34</f>
        <v>0</v>
      </c>
      <c r="X34" s="6">
        <f>T34*D34</f>
        <v>0</v>
      </c>
      <c r="Y34" s="6">
        <v>0</v>
      </c>
      <c r="Z34" s="6">
        <f>Y34*D34</f>
        <v>0</v>
      </c>
      <c r="AA34" s="6">
        <v>0</v>
      </c>
      <c r="AB34" s="6">
        <f>AA34*D34</f>
        <v>0</v>
      </c>
      <c r="AC34" s="6">
        <v>0</v>
      </c>
      <c r="AD34" s="6">
        <f>AC34*D34</f>
        <v>0</v>
      </c>
      <c r="AE34" s="6">
        <v>0</v>
      </c>
      <c r="AF34" s="6">
        <f>AE34*D34</f>
        <v>0</v>
      </c>
      <c r="AG34" s="6">
        <v>0</v>
      </c>
      <c r="AH34" s="6">
        <f>AG34*D34</f>
        <v>0</v>
      </c>
      <c r="AI34" s="6">
        <v>0</v>
      </c>
      <c r="AJ34" s="6">
        <f>D34*AI34</f>
        <v>0</v>
      </c>
      <c r="AK34" s="6">
        <v>0</v>
      </c>
      <c r="AL34" s="6">
        <f>D34*AK34</f>
        <v>0</v>
      </c>
      <c r="AM34" s="6">
        <v>0</v>
      </c>
      <c r="AN34" s="6">
        <f>D34*AM34</f>
        <v>0</v>
      </c>
      <c r="AO34" s="6">
        <v>0</v>
      </c>
      <c r="AP34" s="6">
        <f>AO34*D34</f>
        <v>0</v>
      </c>
      <c r="AQ34" s="6">
        <v>0</v>
      </c>
      <c r="AR34" s="6">
        <f>AQ34*D34</f>
        <v>0</v>
      </c>
      <c r="AS34" s="6">
        <v>0</v>
      </c>
      <c r="AT34" s="6">
        <f>AS34*D34</f>
        <v>0</v>
      </c>
      <c r="AU34" s="6">
        <v>0</v>
      </c>
      <c r="AV34" s="6">
        <f>AU34*D34</f>
        <v>0</v>
      </c>
      <c r="AW34" s="6">
        <v>0</v>
      </c>
      <c r="AX34" s="6">
        <f>AW34*D34</f>
        <v>0</v>
      </c>
      <c r="AY34" s="6">
        <v>0</v>
      </c>
      <c r="AZ34" s="6">
        <f>AY34*D34</f>
        <v>0</v>
      </c>
      <c r="BA34" s="6">
        <v>0</v>
      </c>
      <c r="BB34" s="6">
        <f>D34*BA34</f>
        <v>0</v>
      </c>
      <c r="BC34" s="6">
        <v>0</v>
      </c>
      <c r="BD34" s="6">
        <f>BC34*D34</f>
        <v>0</v>
      </c>
      <c r="BE34" s="6">
        <v>0</v>
      </c>
      <c r="BF34" s="6">
        <f>BE34*D34</f>
        <v>0</v>
      </c>
      <c r="BG34" s="6">
        <v>0</v>
      </c>
      <c r="BH34" s="6">
        <f>BG34*D34</f>
        <v>0</v>
      </c>
      <c r="BI34" s="7">
        <f>BG34+BE34+BC34+BA34+AY34+AW34+AU34+AS34+AQ34+AO34+AM34+AK34+AI34+AG34+AE34+AC34+AA34+Y34</f>
        <v>0</v>
      </c>
      <c r="BJ34" s="7">
        <f>BH34+BF34+BD34+BB34+AZ34+AX34+AV34+AT34+AR34+AP34+AN34+AL34+AJ34+AH34+AF34+AD34+AB34+Z34</f>
        <v>0</v>
      </c>
      <c r="BK34" s="186" t="s">
        <v>210</v>
      </c>
      <c r="BM34" s="190"/>
      <c r="BN34" s="190">
        <f>BJ34</f>
        <v>0</v>
      </c>
      <c r="BO34" s="190"/>
      <c r="BP34" s="190"/>
      <c r="BQ34" s="190">
        <f>BM34+BN34+BO34+BP34</f>
        <v>0</v>
      </c>
      <c r="BR34" s="190"/>
      <c r="BS34" s="190"/>
      <c r="BT34" s="190"/>
      <c r="BU34" s="167">
        <f t="shared" si="2"/>
        <v>0</v>
      </c>
    </row>
    <row r="35" spans="1:73" x14ac:dyDescent="0.25">
      <c r="A35" s="595"/>
      <c r="B35" s="185" t="s">
        <v>449</v>
      </c>
      <c r="C35" s="186" t="s">
        <v>111</v>
      </c>
      <c r="D35" s="193" t="s">
        <v>111</v>
      </c>
      <c r="E35" s="8">
        <f>E34</f>
        <v>0</v>
      </c>
      <c r="F35" s="8">
        <f t="shared" ref="F35:X35" si="13">F34</f>
        <v>0</v>
      </c>
      <c r="G35" s="8">
        <f t="shared" si="13"/>
        <v>0</v>
      </c>
      <c r="H35" s="8">
        <f t="shared" si="13"/>
        <v>0</v>
      </c>
      <c r="I35" s="8">
        <f t="shared" si="13"/>
        <v>0</v>
      </c>
      <c r="J35" s="8">
        <f t="shared" si="13"/>
        <v>0</v>
      </c>
      <c r="K35" s="8">
        <f t="shared" si="13"/>
        <v>0</v>
      </c>
      <c r="L35" s="8">
        <f t="shared" si="13"/>
        <v>0</v>
      </c>
      <c r="M35" s="8">
        <f t="shared" si="13"/>
        <v>0</v>
      </c>
      <c r="N35" s="8">
        <f t="shared" si="13"/>
        <v>0</v>
      </c>
      <c r="O35" s="8">
        <f t="shared" si="13"/>
        <v>0</v>
      </c>
      <c r="P35" s="8">
        <f t="shared" si="13"/>
        <v>0</v>
      </c>
      <c r="Q35" s="8">
        <f t="shared" si="13"/>
        <v>0</v>
      </c>
      <c r="R35" s="8">
        <f t="shared" si="13"/>
        <v>0</v>
      </c>
      <c r="S35" s="8">
        <f t="shared" si="13"/>
        <v>0</v>
      </c>
      <c r="T35" s="8">
        <f t="shared" si="13"/>
        <v>0</v>
      </c>
      <c r="U35" s="8">
        <f t="shared" si="13"/>
        <v>0</v>
      </c>
      <c r="V35" s="8">
        <f t="shared" si="13"/>
        <v>0</v>
      </c>
      <c r="W35" s="8">
        <f t="shared" si="13"/>
        <v>0</v>
      </c>
      <c r="X35" s="8">
        <f t="shared" si="13"/>
        <v>0</v>
      </c>
      <c r="Y35" s="6">
        <f>SUM(Y34)</f>
        <v>0</v>
      </c>
      <c r="Z35" s="6">
        <f t="shared" ref="Z35:BU35" si="14">SUM(Z34)</f>
        <v>0</v>
      </c>
      <c r="AA35" s="6">
        <f t="shared" si="14"/>
        <v>0</v>
      </c>
      <c r="AB35" s="6">
        <f t="shared" si="14"/>
        <v>0</v>
      </c>
      <c r="AC35" s="6">
        <f t="shared" si="14"/>
        <v>0</v>
      </c>
      <c r="AD35" s="6">
        <f t="shared" si="14"/>
        <v>0</v>
      </c>
      <c r="AE35" s="6">
        <f t="shared" si="14"/>
        <v>0</v>
      </c>
      <c r="AF35" s="6">
        <f t="shared" si="14"/>
        <v>0</v>
      </c>
      <c r="AG35" s="6">
        <f t="shared" si="14"/>
        <v>0</v>
      </c>
      <c r="AH35" s="6">
        <f t="shared" si="14"/>
        <v>0</v>
      </c>
      <c r="AI35" s="6">
        <f t="shared" si="14"/>
        <v>0</v>
      </c>
      <c r="AJ35" s="6">
        <f t="shared" si="14"/>
        <v>0</v>
      </c>
      <c r="AK35" s="6">
        <f t="shared" si="14"/>
        <v>0</v>
      </c>
      <c r="AL35" s="6">
        <f t="shared" si="14"/>
        <v>0</v>
      </c>
      <c r="AM35" s="6">
        <f t="shared" si="14"/>
        <v>0</v>
      </c>
      <c r="AN35" s="6">
        <f t="shared" si="14"/>
        <v>0</v>
      </c>
      <c r="AO35" s="6">
        <f t="shared" si="14"/>
        <v>0</v>
      </c>
      <c r="AP35" s="6">
        <f t="shared" si="14"/>
        <v>0</v>
      </c>
      <c r="AQ35" s="6">
        <f t="shared" si="14"/>
        <v>0</v>
      </c>
      <c r="AR35" s="6">
        <f t="shared" si="14"/>
        <v>0</v>
      </c>
      <c r="AS35" s="6">
        <f t="shared" si="14"/>
        <v>0</v>
      </c>
      <c r="AT35" s="6">
        <f t="shared" si="14"/>
        <v>0</v>
      </c>
      <c r="AU35" s="6">
        <f t="shared" si="14"/>
        <v>0</v>
      </c>
      <c r="AV35" s="6">
        <f t="shared" si="14"/>
        <v>0</v>
      </c>
      <c r="AW35" s="6">
        <f t="shared" si="14"/>
        <v>0</v>
      </c>
      <c r="AX35" s="6">
        <f t="shared" si="14"/>
        <v>0</v>
      </c>
      <c r="AY35" s="6">
        <f t="shared" si="14"/>
        <v>0</v>
      </c>
      <c r="AZ35" s="6">
        <f t="shared" si="14"/>
        <v>0</v>
      </c>
      <c r="BA35" s="6">
        <f t="shared" si="14"/>
        <v>0</v>
      </c>
      <c r="BB35" s="6">
        <f t="shared" si="14"/>
        <v>0</v>
      </c>
      <c r="BC35" s="6">
        <f t="shared" si="14"/>
        <v>0</v>
      </c>
      <c r="BD35" s="6">
        <f t="shared" si="14"/>
        <v>0</v>
      </c>
      <c r="BE35" s="6">
        <f t="shared" si="14"/>
        <v>0</v>
      </c>
      <c r="BF35" s="6">
        <f t="shared" si="14"/>
        <v>0</v>
      </c>
      <c r="BG35" s="6">
        <f t="shared" si="14"/>
        <v>0</v>
      </c>
      <c r="BH35" s="6">
        <f t="shared" si="14"/>
        <v>0</v>
      </c>
      <c r="BI35" s="6">
        <f t="shared" si="14"/>
        <v>0</v>
      </c>
      <c r="BJ35" s="6">
        <f t="shared" si="14"/>
        <v>0</v>
      </c>
      <c r="BK35" s="6">
        <f t="shared" si="14"/>
        <v>0</v>
      </c>
      <c r="BL35" s="6">
        <f t="shared" si="14"/>
        <v>0</v>
      </c>
      <c r="BM35" s="6">
        <f t="shared" si="14"/>
        <v>0</v>
      </c>
      <c r="BN35" s="6">
        <f t="shared" si="14"/>
        <v>0</v>
      </c>
      <c r="BO35" s="6">
        <f t="shared" si="14"/>
        <v>0</v>
      </c>
      <c r="BP35" s="6">
        <f t="shared" si="14"/>
        <v>0</v>
      </c>
      <c r="BQ35" s="6">
        <f t="shared" si="14"/>
        <v>0</v>
      </c>
      <c r="BR35" s="6">
        <f t="shared" si="14"/>
        <v>0</v>
      </c>
      <c r="BS35" s="6">
        <f t="shared" si="14"/>
        <v>0</v>
      </c>
      <c r="BT35" s="6">
        <f t="shared" si="14"/>
        <v>0</v>
      </c>
      <c r="BU35" s="6">
        <f t="shared" si="14"/>
        <v>0</v>
      </c>
    </row>
    <row r="36" spans="1:73" x14ac:dyDescent="0.25">
      <c r="A36" s="595"/>
      <c r="B36" s="185" t="s">
        <v>656</v>
      </c>
      <c r="C36" s="186"/>
      <c r="D36" s="186"/>
      <c r="E36" s="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30"/>
      <c r="R36" s="30"/>
      <c r="S36" s="30"/>
      <c r="T36" s="30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7"/>
      <c r="BJ36" s="439"/>
      <c r="BK36" s="186"/>
      <c r="BM36" s="190"/>
      <c r="BN36" s="190"/>
      <c r="BO36" s="190"/>
      <c r="BP36" s="190"/>
      <c r="BQ36" s="190"/>
      <c r="BR36" s="190"/>
      <c r="BS36" s="190"/>
      <c r="BT36" s="190"/>
      <c r="BU36" s="167">
        <f t="shared" si="2"/>
        <v>0</v>
      </c>
    </row>
    <row r="37" spans="1:73" x14ac:dyDescent="0.25">
      <c r="A37" s="595"/>
      <c r="B37" s="185" t="s">
        <v>450</v>
      </c>
      <c r="C37" s="186"/>
      <c r="D37" s="186"/>
      <c r="E37" s="8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30"/>
      <c r="R37" s="30"/>
      <c r="S37" s="32"/>
      <c r="T37" s="32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7"/>
      <c r="BJ37" s="439"/>
      <c r="BK37" s="186"/>
      <c r="BM37" s="190"/>
      <c r="BN37" s="190">
        <f>F37</f>
        <v>0</v>
      </c>
      <c r="BO37" s="190"/>
      <c r="BP37" s="190"/>
      <c r="BQ37" s="190">
        <f t="shared" ref="BQ37:BQ43" si="15">BM37+BN37+BO37+BP37</f>
        <v>0</v>
      </c>
      <c r="BR37" s="190"/>
      <c r="BS37" s="190"/>
      <c r="BT37" s="190"/>
      <c r="BU37" s="167">
        <f t="shared" si="2"/>
        <v>0</v>
      </c>
    </row>
    <row r="38" spans="1:73" x14ac:dyDescent="0.25">
      <c r="A38" s="595" t="s">
        <v>738</v>
      </c>
      <c r="B38" s="192" t="s">
        <v>451</v>
      </c>
      <c r="C38" s="186" t="s">
        <v>70</v>
      </c>
      <c r="D38" s="193">
        <v>500</v>
      </c>
      <c r="E38" s="8">
        <f>BI38</f>
        <v>153</v>
      </c>
      <c r="F38" s="6">
        <f>E38*D38</f>
        <v>76500</v>
      </c>
      <c r="G38" s="6">
        <f>F38*0.2</f>
        <v>15300</v>
      </c>
      <c r="H38" s="6">
        <f>F38*0.8</f>
        <v>61200</v>
      </c>
      <c r="I38" s="6"/>
      <c r="J38" s="6"/>
      <c r="K38" s="6"/>
      <c r="L38" s="6"/>
      <c r="M38" s="6"/>
      <c r="N38" s="6"/>
      <c r="O38" s="6"/>
      <c r="P38" s="6"/>
      <c r="Q38" s="30">
        <f>E38*0.25</f>
        <v>38.25</v>
      </c>
      <c r="R38" s="30">
        <f>E38*0.25</f>
        <v>38.25</v>
      </c>
      <c r="S38" s="30">
        <f>E38*0.25</f>
        <v>38.25</v>
      </c>
      <c r="T38" s="30">
        <f>E38*0.25</f>
        <v>38.25</v>
      </c>
      <c r="U38" s="6">
        <f>Q38*D38</f>
        <v>19125</v>
      </c>
      <c r="V38" s="6">
        <f>R38*D38</f>
        <v>19125</v>
      </c>
      <c r="W38" s="6">
        <f>S38*D38</f>
        <v>19125</v>
      </c>
      <c r="X38" s="6">
        <f>T38*D38</f>
        <v>19125</v>
      </c>
      <c r="Y38" s="6">
        <v>0</v>
      </c>
      <c r="Z38" s="6">
        <f>Y38*D38</f>
        <v>0</v>
      </c>
      <c r="AA38" s="6">
        <v>0</v>
      </c>
      <c r="AB38" s="6">
        <f>AA38*D38</f>
        <v>0</v>
      </c>
      <c r="AC38" s="6">
        <v>0</v>
      </c>
      <c r="AD38" s="6">
        <f>AC38*D38</f>
        <v>0</v>
      </c>
      <c r="AE38" s="6">
        <v>0</v>
      </c>
      <c r="AF38" s="6">
        <f>AE38*D38</f>
        <v>0</v>
      </c>
      <c r="AG38" s="6">
        <v>0</v>
      </c>
      <c r="AH38" s="6">
        <f>AG38*D38</f>
        <v>0</v>
      </c>
      <c r="AI38" s="6">
        <v>0</v>
      </c>
      <c r="AJ38" s="6">
        <f>D38*AI38</f>
        <v>0</v>
      </c>
      <c r="AK38" s="6">
        <v>0</v>
      </c>
      <c r="AL38" s="6">
        <f>D38*AK38</f>
        <v>0</v>
      </c>
      <c r="AM38" s="6">
        <v>0</v>
      </c>
      <c r="AN38" s="6">
        <f>D38*AM38</f>
        <v>0</v>
      </c>
      <c r="AO38" s="6">
        <v>0</v>
      </c>
      <c r="AP38" s="6">
        <f>AO38*D38</f>
        <v>0</v>
      </c>
      <c r="AQ38" s="6">
        <v>0</v>
      </c>
      <c r="AR38" s="6">
        <f>AQ38*D38</f>
        <v>0</v>
      </c>
      <c r="AS38" s="6">
        <v>0</v>
      </c>
      <c r="AT38" s="6">
        <f>AS38*D38</f>
        <v>0</v>
      </c>
      <c r="AU38" s="6">
        <v>0</v>
      </c>
      <c r="AV38" s="6">
        <f>AU38*D38</f>
        <v>0</v>
      </c>
      <c r="AW38" s="6">
        <v>0</v>
      </c>
      <c r="AX38" s="6">
        <f>AW38*D38</f>
        <v>0</v>
      </c>
      <c r="AY38" s="6">
        <v>0</v>
      </c>
      <c r="AZ38" s="6">
        <f>AY38*D38</f>
        <v>0</v>
      </c>
      <c r="BA38" s="6">
        <v>0</v>
      </c>
      <c r="BB38" s="6">
        <f>D38*BA38</f>
        <v>0</v>
      </c>
      <c r="BC38" s="6">
        <v>0</v>
      </c>
      <c r="BD38" s="6">
        <f>BC38*D38</f>
        <v>0</v>
      </c>
      <c r="BE38" s="6">
        <v>0</v>
      </c>
      <c r="BF38" s="6">
        <f>BE38*D38</f>
        <v>0</v>
      </c>
      <c r="BG38" s="6">
        <f>17*3*3</f>
        <v>153</v>
      </c>
      <c r="BH38" s="6">
        <f>BG38*D38</f>
        <v>76500</v>
      </c>
      <c r="BI38" s="7">
        <f t="shared" ref="BI38:BJ41" si="16">BG38+BE38+BC38+BA38+AY38+AW38+AU38+AS38+AQ38+AO38+AM38+AK38+AI38+AG38+AE38+AC38+AA38+Y38</f>
        <v>153</v>
      </c>
      <c r="BJ38" s="7">
        <f t="shared" si="16"/>
        <v>76500</v>
      </c>
      <c r="BK38" s="186" t="s">
        <v>210</v>
      </c>
      <c r="BM38" s="190"/>
      <c r="BN38" s="190">
        <f>BJ38</f>
        <v>76500</v>
      </c>
      <c r="BO38" s="190"/>
      <c r="BP38" s="190"/>
      <c r="BQ38" s="190">
        <f t="shared" si="15"/>
        <v>76500</v>
      </c>
      <c r="BR38" s="190"/>
      <c r="BS38" s="190"/>
      <c r="BT38" s="190"/>
      <c r="BU38" s="167">
        <f t="shared" si="2"/>
        <v>76500</v>
      </c>
    </row>
    <row r="39" spans="1:73" x14ac:dyDescent="0.25">
      <c r="A39" s="595" t="s">
        <v>739</v>
      </c>
      <c r="B39" s="192" t="s">
        <v>608</v>
      </c>
      <c r="C39" s="186" t="s">
        <v>70</v>
      </c>
      <c r="D39" s="193">
        <v>150</v>
      </c>
      <c r="E39" s="8">
        <f>BI39</f>
        <v>1620</v>
      </c>
      <c r="F39" s="6">
        <f>E39*D39</f>
        <v>243000</v>
      </c>
      <c r="G39" s="6">
        <f>F39*0.2</f>
        <v>48600</v>
      </c>
      <c r="H39" s="6">
        <f>F39*0.8</f>
        <v>194400</v>
      </c>
      <c r="I39" s="6"/>
      <c r="J39" s="6"/>
      <c r="K39" s="6"/>
      <c r="L39" s="6"/>
      <c r="M39" s="6"/>
      <c r="N39" s="6"/>
      <c r="O39" s="6"/>
      <c r="P39" s="6"/>
      <c r="Q39" s="30">
        <f>E39*0.25</f>
        <v>405</v>
      </c>
      <c r="R39" s="30">
        <f>E39*0.25</f>
        <v>405</v>
      </c>
      <c r="S39" s="30">
        <f>E39*0.25</f>
        <v>405</v>
      </c>
      <c r="T39" s="30">
        <f>E39*0.25</f>
        <v>405</v>
      </c>
      <c r="U39" s="6">
        <f>Q39*D39</f>
        <v>60750</v>
      </c>
      <c r="V39" s="6">
        <f>R39*D39</f>
        <v>60750</v>
      </c>
      <c r="W39" s="6">
        <f>S39*D39</f>
        <v>60750</v>
      </c>
      <c r="X39" s="6">
        <f>T39*D39</f>
        <v>60750</v>
      </c>
      <c r="Y39" s="6">
        <v>80</v>
      </c>
      <c r="Z39" s="6">
        <f>Y39*D39</f>
        <v>12000</v>
      </c>
      <c r="AA39" s="6">
        <v>60</v>
      </c>
      <c r="AB39" s="6">
        <f>AA39*D39</f>
        <v>9000</v>
      </c>
      <c r="AC39" s="6">
        <v>80</v>
      </c>
      <c r="AD39" s="6">
        <f>AC39*D39</f>
        <v>12000</v>
      </c>
      <c r="AE39" s="6">
        <v>160</v>
      </c>
      <c r="AF39" s="6">
        <f>AE39*D39</f>
        <v>24000</v>
      </c>
      <c r="AG39" s="6">
        <v>70</v>
      </c>
      <c r="AH39" s="6">
        <f>AG39*D39</f>
        <v>10500</v>
      </c>
      <c r="AI39" s="6">
        <v>90</v>
      </c>
      <c r="AJ39" s="6">
        <f>D39*AI39</f>
        <v>13500</v>
      </c>
      <c r="AK39" s="6">
        <v>70</v>
      </c>
      <c r="AL39" s="6">
        <f>D39*AK39</f>
        <v>10500</v>
      </c>
      <c r="AM39" s="6">
        <v>140</v>
      </c>
      <c r="AN39" s="6">
        <f>D39*AM39</f>
        <v>21000</v>
      </c>
      <c r="AO39" s="6">
        <v>40</v>
      </c>
      <c r="AP39" s="6">
        <f>AO39*D39</f>
        <v>6000</v>
      </c>
      <c r="AQ39" s="6">
        <v>80</v>
      </c>
      <c r="AR39" s="6">
        <f>AQ39*D39</f>
        <v>12000</v>
      </c>
      <c r="AS39" s="6">
        <v>90</v>
      </c>
      <c r="AT39" s="6">
        <f>AS39*D39</f>
        <v>13500</v>
      </c>
      <c r="AU39" s="6">
        <v>90</v>
      </c>
      <c r="AV39" s="6">
        <f>AU39*D39</f>
        <v>13500</v>
      </c>
      <c r="AW39" s="6">
        <v>100</v>
      </c>
      <c r="AX39" s="6">
        <f>AW39*D39</f>
        <v>15000</v>
      </c>
      <c r="AY39" s="6">
        <v>100</v>
      </c>
      <c r="AZ39" s="6">
        <f>AY39*D39</f>
        <v>15000</v>
      </c>
      <c r="BA39" s="6">
        <v>110</v>
      </c>
      <c r="BB39" s="6">
        <f>D39*BA39</f>
        <v>16500</v>
      </c>
      <c r="BC39" s="6">
        <v>170</v>
      </c>
      <c r="BD39" s="6">
        <f>BC39*D39</f>
        <v>25500</v>
      </c>
      <c r="BE39" s="6">
        <v>90</v>
      </c>
      <c r="BF39" s="6">
        <f>BE39*D39</f>
        <v>13500</v>
      </c>
      <c r="BG39" s="6">
        <v>0</v>
      </c>
      <c r="BH39" s="6">
        <f>BG39*D39</f>
        <v>0</v>
      </c>
      <c r="BI39" s="7">
        <f t="shared" si="16"/>
        <v>1620</v>
      </c>
      <c r="BJ39" s="7">
        <f t="shared" si="16"/>
        <v>243000</v>
      </c>
      <c r="BK39" s="186" t="s">
        <v>210</v>
      </c>
      <c r="BM39" s="190"/>
      <c r="BN39" s="190">
        <f>BJ39</f>
        <v>243000</v>
      </c>
      <c r="BO39" s="190"/>
      <c r="BP39" s="190"/>
      <c r="BQ39" s="190">
        <f t="shared" si="15"/>
        <v>243000</v>
      </c>
      <c r="BR39" s="190"/>
      <c r="BS39" s="190"/>
      <c r="BT39" s="190"/>
      <c r="BU39" s="167">
        <f t="shared" si="2"/>
        <v>243000</v>
      </c>
    </row>
    <row r="40" spans="1:73" s="180" customFormat="1" ht="31.5" x14ac:dyDescent="0.25">
      <c r="A40" s="595" t="s">
        <v>740</v>
      </c>
      <c r="B40" s="199" t="s">
        <v>452</v>
      </c>
      <c r="C40" s="186" t="s">
        <v>70</v>
      </c>
      <c r="D40" s="193">
        <v>150</v>
      </c>
      <c r="E40" s="16">
        <f>BI40</f>
        <v>551</v>
      </c>
      <c r="F40" s="6">
        <f>E40*D40</f>
        <v>82650</v>
      </c>
      <c r="G40" s="6">
        <f>F40*0.2</f>
        <v>16530</v>
      </c>
      <c r="H40" s="6">
        <f>F40*0.8</f>
        <v>66120</v>
      </c>
      <c r="I40" s="6"/>
      <c r="J40" s="6"/>
      <c r="K40" s="6"/>
      <c r="L40" s="6"/>
      <c r="M40" s="6"/>
      <c r="N40" s="6"/>
      <c r="O40" s="6"/>
      <c r="P40" s="6"/>
      <c r="Q40" s="601">
        <f>E40*0.25</f>
        <v>137.75</v>
      </c>
      <c r="R40" s="601">
        <f>E40*0.25</f>
        <v>137.75</v>
      </c>
      <c r="S40" s="601">
        <f>E40*0.25</f>
        <v>137.75</v>
      </c>
      <c r="T40" s="601">
        <f>E40*0.25</f>
        <v>137.75</v>
      </c>
      <c r="U40" s="6">
        <f>Q40*D40</f>
        <v>20662.5</v>
      </c>
      <c r="V40" s="6">
        <f>R40*D40</f>
        <v>20662.5</v>
      </c>
      <c r="W40" s="6">
        <f>S40*D40</f>
        <v>20662.5</v>
      </c>
      <c r="X40" s="6">
        <f>T40*D40</f>
        <v>20662.5</v>
      </c>
      <c r="Y40" s="6">
        <v>30</v>
      </c>
      <c r="Z40" s="6">
        <f>Y40*D40</f>
        <v>4500</v>
      </c>
      <c r="AA40" s="6">
        <v>25</v>
      </c>
      <c r="AB40" s="6">
        <f>AA40*D40</f>
        <v>3750</v>
      </c>
      <c r="AC40" s="6">
        <v>30</v>
      </c>
      <c r="AD40" s="6">
        <f>AC40*D40</f>
        <v>4500</v>
      </c>
      <c r="AE40" s="6">
        <v>30</v>
      </c>
      <c r="AF40" s="6">
        <f>AE40*D40</f>
        <v>4500</v>
      </c>
      <c r="AG40" s="6">
        <v>20</v>
      </c>
      <c r="AH40" s="6">
        <f>AG40*D40</f>
        <v>3000</v>
      </c>
      <c r="AI40" s="6">
        <v>26</v>
      </c>
      <c r="AJ40" s="6">
        <f>D40*AI40</f>
        <v>3900</v>
      </c>
      <c r="AK40" s="6">
        <v>30</v>
      </c>
      <c r="AL40" s="6">
        <f>D40*AK40</f>
        <v>4500</v>
      </c>
      <c r="AM40" s="6">
        <v>40</v>
      </c>
      <c r="AN40" s="6">
        <f>D40*AM40</f>
        <v>6000</v>
      </c>
      <c r="AO40" s="6">
        <v>15</v>
      </c>
      <c r="AP40" s="6">
        <f>AO40*D40</f>
        <v>2250</v>
      </c>
      <c r="AQ40" s="6">
        <v>20</v>
      </c>
      <c r="AR40" s="6">
        <f>AQ40*D40</f>
        <v>3000</v>
      </c>
      <c r="AS40" s="6">
        <v>35</v>
      </c>
      <c r="AT40" s="6">
        <f>AS40*D40</f>
        <v>5250</v>
      </c>
      <c r="AU40" s="6">
        <v>30</v>
      </c>
      <c r="AV40" s="6">
        <f>AU40*D40</f>
        <v>4500</v>
      </c>
      <c r="AW40" s="6">
        <v>50</v>
      </c>
      <c r="AX40" s="6">
        <f>AW40*D40</f>
        <v>7500</v>
      </c>
      <c r="AY40" s="6">
        <v>50</v>
      </c>
      <c r="AZ40" s="6">
        <f>AY40*D40</f>
        <v>7500</v>
      </c>
      <c r="BA40" s="6">
        <v>25</v>
      </c>
      <c r="BB40" s="6">
        <f>D40*BA40</f>
        <v>3750</v>
      </c>
      <c r="BC40" s="6">
        <v>60</v>
      </c>
      <c r="BD40" s="6">
        <f>BC40*D40</f>
        <v>9000</v>
      </c>
      <c r="BE40" s="6">
        <v>35</v>
      </c>
      <c r="BF40" s="6">
        <f>BE40*D40</f>
        <v>5250</v>
      </c>
      <c r="BG40" s="6">
        <v>0</v>
      </c>
      <c r="BH40" s="6">
        <f>BG40*D40</f>
        <v>0</v>
      </c>
      <c r="BI40" s="7">
        <f t="shared" si="16"/>
        <v>551</v>
      </c>
      <c r="BJ40" s="7">
        <f t="shared" si="16"/>
        <v>82650</v>
      </c>
      <c r="BK40" s="186" t="s">
        <v>210</v>
      </c>
      <c r="BM40" s="206"/>
      <c r="BN40" s="190">
        <f>BJ40</f>
        <v>82650</v>
      </c>
      <c r="BO40" s="206"/>
      <c r="BP40" s="206"/>
      <c r="BQ40" s="190">
        <f t="shared" si="15"/>
        <v>82650</v>
      </c>
      <c r="BR40" s="206"/>
      <c r="BS40" s="206"/>
      <c r="BT40" s="206"/>
      <c r="BU40" s="167">
        <f t="shared" si="2"/>
        <v>82650</v>
      </c>
    </row>
    <row r="41" spans="1:73" x14ac:dyDescent="0.25">
      <c r="A41" s="595" t="s">
        <v>741</v>
      </c>
      <c r="B41" s="192" t="s">
        <v>453</v>
      </c>
      <c r="C41" s="186" t="s">
        <v>469</v>
      </c>
      <c r="D41" s="193" t="s">
        <v>346</v>
      </c>
      <c r="E41" s="8">
        <f>BI41</f>
        <v>0</v>
      </c>
      <c r="F41" s="6">
        <f>E41*D41</f>
        <v>0</v>
      </c>
      <c r="G41" s="6">
        <f>F41*0.2</f>
        <v>0</v>
      </c>
      <c r="H41" s="6">
        <f>F41*0.8</f>
        <v>0</v>
      </c>
      <c r="I41" s="6"/>
      <c r="J41" s="6"/>
      <c r="K41" s="6"/>
      <c r="L41" s="6"/>
      <c r="M41" s="6"/>
      <c r="N41" s="6"/>
      <c r="O41" s="6"/>
      <c r="P41" s="6"/>
      <c r="Q41" s="601">
        <f>E41*0.25</f>
        <v>0</v>
      </c>
      <c r="R41" s="601">
        <f>E41*0.25</f>
        <v>0</v>
      </c>
      <c r="S41" s="601">
        <f>E41*0.25</f>
        <v>0</v>
      </c>
      <c r="T41" s="601">
        <f>E41*0.25</f>
        <v>0</v>
      </c>
      <c r="U41" s="6">
        <f>Q41*D41</f>
        <v>0</v>
      </c>
      <c r="V41" s="6">
        <f>R41*D41</f>
        <v>0</v>
      </c>
      <c r="W41" s="6">
        <f>S41*D41</f>
        <v>0</v>
      </c>
      <c r="X41" s="6">
        <f>T41*D41</f>
        <v>0</v>
      </c>
      <c r="Y41" s="6">
        <v>0</v>
      </c>
      <c r="Z41" s="6">
        <f>Y41*D41</f>
        <v>0</v>
      </c>
      <c r="AA41" s="6">
        <v>0</v>
      </c>
      <c r="AB41" s="6">
        <f>AA41*D41</f>
        <v>0</v>
      </c>
      <c r="AC41" s="6">
        <v>0</v>
      </c>
      <c r="AD41" s="6">
        <f>AC41*D41</f>
        <v>0</v>
      </c>
      <c r="AE41" s="6">
        <v>0</v>
      </c>
      <c r="AF41" s="6">
        <f>AE41*D41</f>
        <v>0</v>
      </c>
      <c r="AG41" s="6">
        <v>0</v>
      </c>
      <c r="AH41" s="6">
        <f>AG41*D41</f>
        <v>0</v>
      </c>
      <c r="AI41" s="6">
        <v>0</v>
      </c>
      <c r="AJ41" s="6">
        <f>D41*AI41</f>
        <v>0</v>
      </c>
      <c r="AK41" s="6">
        <v>0</v>
      </c>
      <c r="AL41" s="6">
        <f>D41*AK41</f>
        <v>0</v>
      </c>
      <c r="AM41" s="6">
        <v>0</v>
      </c>
      <c r="AN41" s="6">
        <f>D41*AM41</f>
        <v>0</v>
      </c>
      <c r="AO41" s="6">
        <v>0</v>
      </c>
      <c r="AP41" s="6">
        <f>AO41*D41</f>
        <v>0</v>
      </c>
      <c r="AQ41" s="6">
        <v>0</v>
      </c>
      <c r="AR41" s="6">
        <f>AQ41*D41</f>
        <v>0</v>
      </c>
      <c r="AS41" s="6">
        <v>0</v>
      </c>
      <c r="AT41" s="6">
        <f>AS41*D41</f>
        <v>0</v>
      </c>
      <c r="AU41" s="6">
        <v>0</v>
      </c>
      <c r="AV41" s="6">
        <f>AU41*D41</f>
        <v>0</v>
      </c>
      <c r="AW41" s="6">
        <v>0</v>
      </c>
      <c r="AX41" s="6">
        <f>AW41*D41</f>
        <v>0</v>
      </c>
      <c r="AY41" s="6">
        <v>0</v>
      </c>
      <c r="AZ41" s="6">
        <f>AY41*D41</f>
        <v>0</v>
      </c>
      <c r="BA41" s="6">
        <v>0</v>
      </c>
      <c r="BB41" s="6">
        <f>D41*BA41</f>
        <v>0</v>
      </c>
      <c r="BC41" s="6">
        <v>0</v>
      </c>
      <c r="BD41" s="6">
        <f>BC41*D41</f>
        <v>0</v>
      </c>
      <c r="BE41" s="6">
        <v>0</v>
      </c>
      <c r="BF41" s="6">
        <f>BE41*D41</f>
        <v>0</v>
      </c>
      <c r="BG41" s="6">
        <v>0</v>
      </c>
      <c r="BH41" s="6">
        <f>BG41*D41</f>
        <v>0</v>
      </c>
      <c r="BI41" s="7">
        <f t="shared" si="16"/>
        <v>0</v>
      </c>
      <c r="BJ41" s="7">
        <f t="shared" si="16"/>
        <v>0</v>
      </c>
      <c r="BK41" s="186" t="s">
        <v>210</v>
      </c>
      <c r="BM41" s="190"/>
      <c r="BN41" s="190">
        <f>BJ41</f>
        <v>0</v>
      </c>
      <c r="BO41" s="190"/>
      <c r="BP41" s="190"/>
      <c r="BQ41" s="190">
        <f t="shared" si="15"/>
        <v>0</v>
      </c>
      <c r="BR41" s="190"/>
      <c r="BS41" s="190"/>
      <c r="BT41" s="190"/>
      <c r="BU41" s="167">
        <f t="shared" si="2"/>
        <v>0</v>
      </c>
    </row>
    <row r="42" spans="1:73" s="180" customFormat="1" x14ac:dyDescent="0.25">
      <c r="A42" s="498"/>
      <c r="B42" s="185" t="s">
        <v>454</v>
      </c>
      <c r="C42" s="204" t="s">
        <v>111</v>
      </c>
      <c r="D42" s="205" t="s">
        <v>111</v>
      </c>
      <c r="E42" s="16">
        <f>SUM(E38:E41)</f>
        <v>2324</v>
      </c>
      <c r="F42" s="16">
        <f t="shared" ref="F42:X42" si="17">SUM(F38:F41)</f>
        <v>402150</v>
      </c>
      <c r="G42" s="16">
        <f t="shared" si="17"/>
        <v>80430</v>
      </c>
      <c r="H42" s="16">
        <f t="shared" si="17"/>
        <v>321720</v>
      </c>
      <c r="I42" s="16">
        <f t="shared" si="17"/>
        <v>0</v>
      </c>
      <c r="J42" s="16">
        <f t="shared" si="17"/>
        <v>0</v>
      </c>
      <c r="K42" s="16">
        <f t="shared" si="17"/>
        <v>0</v>
      </c>
      <c r="L42" s="16">
        <f t="shared" si="17"/>
        <v>0</v>
      </c>
      <c r="M42" s="16">
        <f t="shared" si="17"/>
        <v>0</v>
      </c>
      <c r="N42" s="16">
        <f t="shared" si="17"/>
        <v>0</v>
      </c>
      <c r="O42" s="16">
        <f t="shared" si="17"/>
        <v>0</v>
      </c>
      <c r="P42" s="16">
        <f t="shared" si="17"/>
        <v>0</v>
      </c>
      <c r="Q42" s="16">
        <f t="shared" si="17"/>
        <v>581</v>
      </c>
      <c r="R42" s="16">
        <f t="shared" si="17"/>
        <v>581</v>
      </c>
      <c r="S42" s="16">
        <f t="shared" si="17"/>
        <v>581</v>
      </c>
      <c r="T42" s="16">
        <f t="shared" si="17"/>
        <v>581</v>
      </c>
      <c r="U42" s="16">
        <f t="shared" si="17"/>
        <v>100537.5</v>
      </c>
      <c r="V42" s="16">
        <f t="shared" si="17"/>
        <v>100537.5</v>
      </c>
      <c r="W42" s="16">
        <f t="shared" si="17"/>
        <v>100537.5</v>
      </c>
      <c r="X42" s="16">
        <f t="shared" si="17"/>
        <v>100537.5</v>
      </c>
      <c r="Y42" s="549">
        <f>SUM(Y37:Y41)</f>
        <v>110</v>
      </c>
      <c r="Z42" s="549">
        <f t="shared" ref="Z42:BU42" si="18">SUM(Z37:Z41)</f>
        <v>16500</v>
      </c>
      <c r="AA42" s="549">
        <f t="shared" si="18"/>
        <v>85</v>
      </c>
      <c r="AB42" s="549">
        <f t="shared" si="18"/>
        <v>12750</v>
      </c>
      <c r="AC42" s="549">
        <f t="shared" si="18"/>
        <v>110</v>
      </c>
      <c r="AD42" s="549">
        <f t="shared" si="18"/>
        <v>16500</v>
      </c>
      <c r="AE42" s="549">
        <f t="shared" si="18"/>
        <v>190</v>
      </c>
      <c r="AF42" s="549">
        <f t="shared" si="18"/>
        <v>28500</v>
      </c>
      <c r="AG42" s="549">
        <f t="shared" si="18"/>
        <v>90</v>
      </c>
      <c r="AH42" s="549">
        <f t="shared" si="18"/>
        <v>13500</v>
      </c>
      <c r="AI42" s="549">
        <f t="shared" si="18"/>
        <v>116</v>
      </c>
      <c r="AJ42" s="549">
        <f t="shared" si="18"/>
        <v>17400</v>
      </c>
      <c r="AK42" s="549">
        <f t="shared" si="18"/>
        <v>100</v>
      </c>
      <c r="AL42" s="549">
        <f t="shared" si="18"/>
        <v>15000</v>
      </c>
      <c r="AM42" s="549">
        <f t="shared" si="18"/>
        <v>180</v>
      </c>
      <c r="AN42" s="549">
        <f t="shared" si="18"/>
        <v>27000</v>
      </c>
      <c r="AO42" s="549">
        <f t="shared" si="18"/>
        <v>55</v>
      </c>
      <c r="AP42" s="549">
        <f t="shared" si="18"/>
        <v>8250</v>
      </c>
      <c r="AQ42" s="549">
        <f t="shared" si="18"/>
        <v>100</v>
      </c>
      <c r="AR42" s="549">
        <f t="shared" si="18"/>
        <v>15000</v>
      </c>
      <c r="AS42" s="549">
        <f t="shared" si="18"/>
        <v>125</v>
      </c>
      <c r="AT42" s="549">
        <f t="shared" si="18"/>
        <v>18750</v>
      </c>
      <c r="AU42" s="549">
        <f t="shared" si="18"/>
        <v>120</v>
      </c>
      <c r="AV42" s="549">
        <f t="shared" si="18"/>
        <v>18000</v>
      </c>
      <c r="AW42" s="549">
        <f t="shared" si="18"/>
        <v>150</v>
      </c>
      <c r="AX42" s="549">
        <f t="shared" si="18"/>
        <v>22500</v>
      </c>
      <c r="AY42" s="549">
        <f t="shared" si="18"/>
        <v>150</v>
      </c>
      <c r="AZ42" s="549">
        <f t="shared" si="18"/>
        <v>22500</v>
      </c>
      <c r="BA42" s="549">
        <v>1</v>
      </c>
      <c r="BB42" s="549">
        <f t="shared" si="18"/>
        <v>20250</v>
      </c>
      <c r="BC42" s="549">
        <f t="shared" si="18"/>
        <v>230</v>
      </c>
      <c r="BD42" s="549">
        <f t="shared" si="18"/>
        <v>34500</v>
      </c>
      <c r="BE42" s="549">
        <f t="shared" si="18"/>
        <v>125</v>
      </c>
      <c r="BF42" s="549">
        <f t="shared" si="18"/>
        <v>18750</v>
      </c>
      <c r="BG42" s="549">
        <f t="shared" si="18"/>
        <v>153</v>
      </c>
      <c r="BH42" s="549">
        <f t="shared" si="18"/>
        <v>76500</v>
      </c>
      <c r="BI42" s="549">
        <f t="shared" si="18"/>
        <v>2324</v>
      </c>
      <c r="BJ42" s="549">
        <f t="shared" si="18"/>
        <v>402150</v>
      </c>
      <c r="BK42" s="549">
        <f t="shared" si="18"/>
        <v>0</v>
      </c>
      <c r="BL42" s="549">
        <f t="shared" si="18"/>
        <v>0</v>
      </c>
      <c r="BM42" s="549">
        <f t="shared" si="18"/>
        <v>0</v>
      </c>
      <c r="BN42" s="549">
        <f t="shared" si="18"/>
        <v>402150</v>
      </c>
      <c r="BO42" s="549">
        <f t="shared" si="18"/>
        <v>0</v>
      </c>
      <c r="BP42" s="549">
        <f t="shared" si="18"/>
        <v>0</v>
      </c>
      <c r="BQ42" s="549">
        <f t="shared" si="18"/>
        <v>402150</v>
      </c>
      <c r="BR42" s="549">
        <f t="shared" si="18"/>
        <v>0</v>
      </c>
      <c r="BS42" s="549">
        <f t="shared" si="18"/>
        <v>0</v>
      </c>
      <c r="BT42" s="549">
        <f t="shared" si="18"/>
        <v>0</v>
      </c>
      <c r="BU42" s="549">
        <f t="shared" si="18"/>
        <v>402150</v>
      </c>
    </row>
    <row r="43" spans="1:73" x14ac:dyDescent="0.25">
      <c r="A43" s="595"/>
      <c r="B43" s="185" t="s">
        <v>455</v>
      </c>
      <c r="C43" s="186"/>
      <c r="D43" s="186"/>
      <c r="E43" s="8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01"/>
      <c r="R43" s="601"/>
      <c r="S43" s="601"/>
      <c r="T43" s="601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7"/>
      <c r="BJ43" s="439"/>
      <c r="BK43" s="186"/>
      <c r="BM43" s="190"/>
      <c r="BN43" s="190">
        <f>F43</f>
        <v>0</v>
      </c>
      <c r="BO43" s="190"/>
      <c r="BP43" s="190"/>
      <c r="BQ43" s="190">
        <f t="shared" si="15"/>
        <v>0</v>
      </c>
      <c r="BR43" s="190"/>
      <c r="BS43" s="190"/>
      <c r="BT43" s="190"/>
      <c r="BU43" s="167">
        <f t="shared" si="2"/>
        <v>0</v>
      </c>
    </row>
    <row r="44" spans="1:73" s="180" customFormat="1" x14ac:dyDescent="0.25">
      <c r="A44" s="595" t="s">
        <v>742</v>
      </c>
      <c r="B44" s="192" t="s">
        <v>453</v>
      </c>
      <c r="C44" s="186" t="s">
        <v>16</v>
      </c>
      <c r="D44" s="193" t="s">
        <v>346</v>
      </c>
      <c r="E44" s="16">
        <f t="shared" ref="E44:F52" si="19">BI44</f>
        <v>0</v>
      </c>
      <c r="F44" s="11">
        <f t="shared" ref="F44:F51" si="20">E44*D44</f>
        <v>0</v>
      </c>
      <c r="G44" s="6">
        <f t="shared" ref="G44:G52" si="21">F44*0.2</f>
        <v>0</v>
      </c>
      <c r="H44" s="6">
        <f t="shared" ref="H44:H52" si="22">F44*0.8</f>
        <v>0</v>
      </c>
      <c r="I44" s="11"/>
      <c r="J44" s="11"/>
      <c r="K44" s="11"/>
      <c r="L44" s="11"/>
      <c r="M44" s="11"/>
      <c r="N44" s="11"/>
      <c r="O44" s="11"/>
      <c r="P44" s="11"/>
      <c r="Q44" s="600">
        <f t="shared" ref="Q44:Q52" si="23">E44*0.25</f>
        <v>0</v>
      </c>
      <c r="R44" s="600">
        <f t="shared" ref="R44:R52" si="24">E44*0.25</f>
        <v>0</v>
      </c>
      <c r="S44" s="600">
        <f t="shared" ref="S44:S52" si="25">E44*0.25</f>
        <v>0</v>
      </c>
      <c r="T44" s="600">
        <f t="shared" ref="T44:T52" si="26">E44*0.25</f>
        <v>0</v>
      </c>
      <c r="U44" s="11">
        <f t="shared" ref="U44:U52" si="27">Q44*D44</f>
        <v>0</v>
      </c>
      <c r="V44" s="11">
        <f t="shared" ref="V44:V52" si="28">R44*D44</f>
        <v>0</v>
      </c>
      <c r="W44" s="11">
        <f t="shared" ref="W44:W52" si="29">S44*D44</f>
        <v>0</v>
      </c>
      <c r="X44" s="11">
        <f t="shared" ref="X44:X52" si="30">T44*D44</f>
        <v>0</v>
      </c>
      <c r="Y44" s="6">
        <v>0</v>
      </c>
      <c r="Z44" s="6">
        <f t="shared" ref="Z44:Z52" si="31">Y44*D44</f>
        <v>0</v>
      </c>
      <c r="AA44" s="6">
        <v>0</v>
      </c>
      <c r="AB44" s="6">
        <f t="shared" ref="AB44:AB52" si="32">AA44*D44</f>
        <v>0</v>
      </c>
      <c r="AC44" s="6">
        <v>0</v>
      </c>
      <c r="AD44" s="6">
        <f t="shared" ref="AD44:AD52" si="33">AC44*D44</f>
        <v>0</v>
      </c>
      <c r="AE44" s="6">
        <v>0</v>
      </c>
      <c r="AF44" s="6">
        <f t="shared" ref="AF44:AF52" si="34">AE44*D44</f>
        <v>0</v>
      </c>
      <c r="AG44" s="6">
        <v>0</v>
      </c>
      <c r="AH44" s="6">
        <f t="shared" ref="AH44:AH52" si="35">AG44*D44</f>
        <v>0</v>
      </c>
      <c r="AI44" s="6">
        <v>0</v>
      </c>
      <c r="AJ44" s="6">
        <f t="shared" ref="AJ44:AJ52" si="36">D44*AI44</f>
        <v>0</v>
      </c>
      <c r="AK44" s="6">
        <v>0</v>
      </c>
      <c r="AL44" s="6">
        <f t="shared" ref="AL44:AL51" si="37">D44*AK44</f>
        <v>0</v>
      </c>
      <c r="AM44" s="6">
        <v>0</v>
      </c>
      <c r="AN44" s="6">
        <f t="shared" ref="AN44:AN52" si="38">D44*AM44</f>
        <v>0</v>
      </c>
      <c r="AO44" s="6">
        <v>0</v>
      </c>
      <c r="AP44" s="6">
        <f t="shared" ref="AP44:AP52" si="39">AO44*D44</f>
        <v>0</v>
      </c>
      <c r="AQ44" s="6">
        <v>0</v>
      </c>
      <c r="AR44" s="6">
        <f t="shared" ref="AR44:AR52" si="40">AQ44*D44</f>
        <v>0</v>
      </c>
      <c r="AS44" s="6">
        <v>0</v>
      </c>
      <c r="AT44" s="6">
        <f t="shared" ref="AT44:AT52" si="41">AS44*D44</f>
        <v>0</v>
      </c>
      <c r="AU44" s="6">
        <v>0</v>
      </c>
      <c r="AV44" s="6">
        <f>AU44*D44</f>
        <v>0</v>
      </c>
      <c r="AW44" s="6">
        <v>0</v>
      </c>
      <c r="AX44" s="6">
        <f>AW44*D44</f>
        <v>0</v>
      </c>
      <c r="AY44" s="6">
        <v>0</v>
      </c>
      <c r="AZ44" s="6">
        <f t="shared" ref="AZ44:AZ52" si="42">AY44*D44</f>
        <v>0</v>
      </c>
      <c r="BA44" s="6">
        <v>0</v>
      </c>
      <c r="BB44" s="6">
        <f t="shared" ref="BB44:BB52" si="43">D44*BA44</f>
        <v>0</v>
      </c>
      <c r="BC44" s="6">
        <v>0</v>
      </c>
      <c r="BD44" s="6">
        <f t="shared" ref="BD44:BD52" si="44">BC44*D44</f>
        <v>0</v>
      </c>
      <c r="BE44" s="6">
        <v>0</v>
      </c>
      <c r="BF44" s="6">
        <f t="shared" ref="BF44:BF52" si="45">BE44*D44</f>
        <v>0</v>
      </c>
      <c r="BG44" s="6">
        <v>0</v>
      </c>
      <c r="BH44" s="6">
        <f t="shared" ref="BH44:BH52" si="46">BG44*D44</f>
        <v>0</v>
      </c>
      <c r="BI44" s="7">
        <f t="shared" ref="BI44:BI46" si="47">BG44+BE44+BC44+BA44+AY44+AW44+AU44+AS44+AQ44+AO44+AM44+AK44+AI44+AG44+AE44+AC44+AA44+Y44</f>
        <v>0</v>
      </c>
      <c r="BJ44" s="7">
        <f t="shared" ref="BJ44:BJ46" si="48">BH44+BF44+BD44+BB44+AZ44+AX44+AV44+AT44+AR44+AP44+AN44+AL44+AJ44+AH44+AF44+AD44+AB44+Z44</f>
        <v>0</v>
      </c>
      <c r="BK44" s="186" t="s">
        <v>210</v>
      </c>
      <c r="BM44" s="11"/>
      <c r="BN44" s="190">
        <f t="shared" ref="BN44:BN52" si="49">BJ44</f>
        <v>0</v>
      </c>
      <c r="BO44" s="190"/>
      <c r="BP44" s="190"/>
      <c r="BQ44" s="190">
        <f t="shared" ref="BQ44:BQ52" si="50">BM44+BN44+BO44+BP44</f>
        <v>0</v>
      </c>
      <c r="BR44" s="190"/>
      <c r="BS44" s="190"/>
      <c r="BT44" s="190"/>
      <c r="BU44" s="167">
        <f t="shared" ref="BU44:BU52" si="51">BQ44+BT44</f>
        <v>0</v>
      </c>
    </row>
    <row r="45" spans="1:73" x14ac:dyDescent="0.25">
      <c r="A45" s="595" t="s">
        <v>743</v>
      </c>
      <c r="B45" s="192" t="s">
        <v>510</v>
      </c>
      <c r="C45" s="186" t="s">
        <v>511</v>
      </c>
      <c r="D45" s="193">
        <v>150</v>
      </c>
      <c r="E45" s="8">
        <f t="shared" si="19"/>
        <v>1820</v>
      </c>
      <c r="F45" s="6">
        <f t="shared" si="20"/>
        <v>273000</v>
      </c>
      <c r="G45" s="6">
        <f t="shared" si="21"/>
        <v>54600</v>
      </c>
      <c r="H45" s="6">
        <f t="shared" si="22"/>
        <v>218400</v>
      </c>
      <c r="I45" s="6"/>
      <c r="J45" s="6"/>
      <c r="K45" s="6"/>
      <c r="L45" s="6"/>
      <c r="M45" s="6"/>
      <c r="N45" s="6"/>
      <c r="O45" s="6"/>
      <c r="P45" s="6"/>
      <c r="Q45" s="601">
        <f t="shared" si="23"/>
        <v>455</v>
      </c>
      <c r="R45" s="601">
        <f t="shared" si="24"/>
        <v>455</v>
      </c>
      <c r="S45" s="601">
        <f t="shared" si="25"/>
        <v>455</v>
      </c>
      <c r="T45" s="601">
        <f t="shared" si="26"/>
        <v>455</v>
      </c>
      <c r="U45" s="7">
        <f t="shared" si="27"/>
        <v>68250</v>
      </c>
      <c r="V45" s="7">
        <f t="shared" si="28"/>
        <v>68250</v>
      </c>
      <c r="W45" s="7">
        <f t="shared" si="29"/>
        <v>68250</v>
      </c>
      <c r="X45" s="7">
        <f t="shared" si="30"/>
        <v>68250</v>
      </c>
      <c r="Y45" s="6">
        <v>80</v>
      </c>
      <c r="Z45" s="6">
        <f t="shared" si="31"/>
        <v>12000</v>
      </c>
      <c r="AA45" s="6">
        <v>60</v>
      </c>
      <c r="AB45" s="6">
        <f t="shared" si="32"/>
        <v>9000</v>
      </c>
      <c r="AC45" s="6">
        <v>100</v>
      </c>
      <c r="AD45" s="6">
        <f t="shared" si="33"/>
        <v>15000</v>
      </c>
      <c r="AE45" s="6">
        <v>100</v>
      </c>
      <c r="AF45" s="6">
        <f t="shared" si="34"/>
        <v>15000</v>
      </c>
      <c r="AG45" s="6">
        <v>40</v>
      </c>
      <c r="AH45" s="6">
        <f t="shared" si="35"/>
        <v>6000</v>
      </c>
      <c r="AI45" s="6">
        <v>80</v>
      </c>
      <c r="AJ45" s="6">
        <f t="shared" si="36"/>
        <v>12000</v>
      </c>
      <c r="AK45" s="6">
        <v>100</v>
      </c>
      <c r="AL45" s="6">
        <f t="shared" si="37"/>
        <v>15000</v>
      </c>
      <c r="AM45" s="6">
        <v>160</v>
      </c>
      <c r="AN45" s="6">
        <f t="shared" si="38"/>
        <v>24000</v>
      </c>
      <c r="AO45" s="6">
        <v>40</v>
      </c>
      <c r="AP45" s="6">
        <f t="shared" si="39"/>
        <v>6000</v>
      </c>
      <c r="AQ45" s="6">
        <v>60</v>
      </c>
      <c r="AR45" s="6">
        <f t="shared" si="40"/>
        <v>9000</v>
      </c>
      <c r="AS45" s="6">
        <v>120</v>
      </c>
      <c r="AT45" s="6">
        <f t="shared" si="41"/>
        <v>18000</v>
      </c>
      <c r="AU45" s="6">
        <v>100</v>
      </c>
      <c r="AV45" s="6">
        <f t="shared" ref="AV45:AV52" si="52">AU45*D45</f>
        <v>15000</v>
      </c>
      <c r="AW45" s="6">
        <v>180</v>
      </c>
      <c r="AX45" s="6">
        <f t="shared" ref="AX45:AX52" si="53">AW45*D45</f>
        <v>27000</v>
      </c>
      <c r="AY45" s="6">
        <v>180</v>
      </c>
      <c r="AZ45" s="6">
        <f t="shared" si="42"/>
        <v>27000</v>
      </c>
      <c r="BA45" s="6">
        <v>60</v>
      </c>
      <c r="BB45" s="6">
        <f t="shared" si="43"/>
        <v>9000</v>
      </c>
      <c r="BC45" s="6">
        <v>240</v>
      </c>
      <c r="BD45" s="6">
        <f t="shared" si="44"/>
        <v>36000</v>
      </c>
      <c r="BE45" s="6">
        <v>120</v>
      </c>
      <c r="BF45" s="6">
        <f t="shared" si="45"/>
        <v>18000</v>
      </c>
      <c r="BG45" s="6">
        <v>0</v>
      </c>
      <c r="BH45" s="6">
        <f t="shared" si="46"/>
        <v>0</v>
      </c>
      <c r="BI45" s="7">
        <f t="shared" si="47"/>
        <v>1820</v>
      </c>
      <c r="BJ45" s="7">
        <f t="shared" si="48"/>
        <v>273000</v>
      </c>
      <c r="BK45" s="186" t="s">
        <v>210</v>
      </c>
      <c r="BM45" s="190"/>
      <c r="BN45" s="190">
        <f t="shared" si="49"/>
        <v>273000</v>
      </c>
      <c r="BO45" s="190"/>
      <c r="BP45" s="190"/>
      <c r="BQ45" s="190">
        <f t="shared" si="50"/>
        <v>273000</v>
      </c>
      <c r="BR45" s="190"/>
      <c r="BS45" s="190"/>
      <c r="BT45" s="190"/>
      <c r="BU45" s="167">
        <f t="shared" si="51"/>
        <v>273000</v>
      </c>
    </row>
    <row r="46" spans="1:73" ht="31.5" x14ac:dyDescent="0.25">
      <c r="A46" s="595" t="s">
        <v>744</v>
      </c>
      <c r="B46" s="199" t="s">
        <v>657</v>
      </c>
      <c r="C46" s="186"/>
      <c r="D46" s="193">
        <v>150</v>
      </c>
      <c r="E46" s="8">
        <f t="shared" si="19"/>
        <v>1816</v>
      </c>
      <c r="F46" s="6">
        <f t="shared" si="20"/>
        <v>272400</v>
      </c>
      <c r="G46" s="6">
        <f>F46*0.2</f>
        <v>54480</v>
      </c>
      <c r="H46" s="6">
        <f>F46*0.8</f>
        <v>217920</v>
      </c>
      <c r="I46" s="6"/>
      <c r="J46" s="6"/>
      <c r="K46" s="6"/>
      <c r="L46" s="6"/>
      <c r="M46" s="6"/>
      <c r="N46" s="6"/>
      <c r="O46" s="6"/>
      <c r="P46" s="6"/>
      <c r="Q46" s="601">
        <f t="shared" si="23"/>
        <v>454</v>
      </c>
      <c r="R46" s="601">
        <f t="shared" si="24"/>
        <v>454</v>
      </c>
      <c r="S46" s="601">
        <f t="shared" si="25"/>
        <v>454</v>
      </c>
      <c r="T46" s="601">
        <f t="shared" si="26"/>
        <v>454</v>
      </c>
      <c r="U46" s="6">
        <f t="shared" si="27"/>
        <v>68100</v>
      </c>
      <c r="V46" s="6">
        <f t="shared" si="28"/>
        <v>68100</v>
      </c>
      <c r="W46" s="6">
        <f t="shared" si="29"/>
        <v>68100</v>
      </c>
      <c r="X46" s="6">
        <f t="shared" si="30"/>
        <v>68100</v>
      </c>
      <c r="Y46" s="6">
        <v>100</v>
      </c>
      <c r="Z46" s="6">
        <f t="shared" si="31"/>
        <v>15000</v>
      </c>
      <c r="AA46" s="6">
        <v>60</v>
      </c>
      <c r="AB46" s="6">
        <f t="shared" si="32"/>
        <v>9000</v>
      </c>
      <c r="AC46" s="6">
        <v>100</v>
      </c>
      <c r="AD46" s="6">
        <f t="shared" si="33"/>
        <v>15000</v>
      </c>
      <c r="AE46" s="6">
        <v>120</v>
      </c>
      <c r="AF46" s="6">
        <f t="shared" si="34"/>
        <v>18000</v>
      </c>
      <c r="AG46" s="6">
        <v>60</v>
      </c>
      <c r="AH46" s="6">
        <f t="shared" si="35"/>
        <v>9000</v>
      </c>
      <c r="AI46" s="6">
        <v>100</v>
      </c>
      <c r="AJ46" s="6">
        <f t="shared" si="36"/>
        <v>15000</v>
      </c>
      <c r="AK46" s="6">
        <v>80</v>
      </c>
      <c r="AL46" s="6">
        <f t="shared" si="37"/>
        <v>12000</v>
      </c>
      <c r="AM46" s="6">
        <v>200</v>
      </c>
      <c r="AN46" s="6">
        <f t="shared" si="38"/>
        <v>30000</v>
      </c>
      <c r="AO46" s="6">
        <v>60</v>
      </c>
      <c r="AP46" s="6">
        <f t="shared" si="39"/>
        <v>9000</v>
      </c>
      <c r="AQ46" s="6">
        <v>136</v>
      </c>
      <c r="AR46" s="6">
        <f t="shared" si="40"/>
        <v>20400</v>
      </c>
      <c r="AS46" s="6">
        <v>100</v>
      </c>
      <c r="AT46" s="6">
        <f t="shared" si="41"/>
        <v>15000</v>
      </c>
      <c r="AU46" s="6">
        <v>100</v>
      </c>
      <c r="AV46" s="6">
        <f t="shared" si="52"/>
        <v>15000</v>
      </c>
      <c r="AW46" s="6">
        <v>150</v>
      </c>
      <c r="AX46" s="6">
        <f t="shared" si="53"/>
        <v>22500</v>
      </c>
      <c r="AY46" s="6">
        <v>150</v>
      </c>
      <c r="AZ46" s="6">
        <f t="shared" si="42"/>
        <v>22500</v>
      </c>
      <c r="BA46" s="6">
        <v>100</v>
      </c>
      <c r="BB46" s="6">
        <f t="shared" si="43"/>
        <v>15000</v>
      </c>
      <c r="BC46" s="6">
        <v>100</v>
      </c>
      <c r="BD46" s="6">
        <f t="shared" si="44"/>
        <v>15000</v>
      </c>
      <c r="BE46" s="6">
        <v>100</v>
      </c>
      <c r="BF46" s="6">
        <f t="shared" si="45"/>
        <v>15000</v>
      </c>
      <c r="BG46" s="6">
        <v>0</v>
      </c>
      <c r="BH46" s="6">
        <f t="shared" si="46"/>
        <v>0</v>
      </c>
      <c r="BI46" s="7">
        <f t="shared" si="47"/>
        <v>1816</v>
      </c>
      <c r="BJ46" s="7">
        <f t="shared" si="48"/>
        <v>272400</v>
      </c>
      <c r="BK46" s="186"/>
      <c r="BM46" s="190">
        <v>0</v>
      </c>
      <c r="BN46" s="190">
        <f t="shared" si="49"/>
        <v>272400</v>
      </c>
      <c r="BO46" s="190"/>
      <c r="BP46" s="190"/>
      <c r="BQ46" s="190">
        <f t="shared" si="50"/>
        <v>272400</v>
      </c>
      <c r="BR46" s="190"/>
      <c r="BS46" s="190"/>
      <c r="BT46" s="190"/>
      <c r="BU46" s="167">
        <f t="shared" si="51"/>
        <v>272400</v>
      </c>
    </row>
    <row r="47" spans="1:73" ht="31.5" x14ac:dyDescent="0.25">
      <c r="A47" s="595" t="s">
        <v>745</v>
      </c>
      <c r="B47" s="199" t="s">
        <v>976</v>
      </c>
      <c r="C47" s="186" t="s">
        <v>16</v>
      </c>
      <c r="D47" s="193">
        <v>15000</v>
      </c>
      <c r="E47" s="8">
        <f t="shared" si="19"/>
        <v>51</v>
      </c>
      <c r="F47" s="6">
        <f t="shared" si="20"/>
        <v>765000</v>
      </c>
      <c r="G47" s="6">
        <f>F47*0.2</f>
        <v>153000</v>
      </c>
      <c r="H47" s="6">
        <f>F47*0.8</f>
        <v>612000</v>
      </c>
      <c r="I47" s="6"/>
      <c r="J47" s="6"/>
      <c r="K47" s="6"/>
      <c r="L47" s="6"/>
      <c r="M47" s="6"/>
      <c r="N47" s="6"/>
      <c r="O47" s="6"/>
      <c r="P47" s="6"/>
      <c r="Q47" s="601"/>
      <c r="R47" s="601"/>
      <c r="S47" s="601"/>
      <c r="T47" s="601"/>
      <c r="U47" s="6"/>
      <c r="V47" s="6"/>
      <c r="W47" s="6"/>
      <c r="X47" s="6"/>
      <c r="Y47" s="6">
        <v>3</v>
      </c>
      <c r="Z47" s="6">
        <f t="shared" si="31"/>
        <v>45000</v>
      </c>
      <c r="AA47" s="6">
        <v>3</v>
      </c>
      <c r="AB47" s="6">
        <f t="shared" si="32"/>
        <v>45000</v>
      </c>
      <c r="AC47" s="6">
        <v>3</v>
      </c>
      <c r="AD47" s="6">
        <f t="shared" si="33"/>
        <v>45000</v>
      </c>
      <c r="AE47" s="6">
        <v>3</v>
      </c>
      <c r="AF47" s="6">
        <f t="shared" si="34"/>
        <v>45000</v>
      </c>
      <c r="AG47" s="6">
        <v>3</v>
      </c>
      <c r="AH47" s="6">
        <f t="shared" si="35"/>
        <v>45000</v>
      </c>
      <c r="AI47" s="6">
        <v>3</v>
      </c>
      <c r="AJ47" s="6">
        <f t="shared" si="36"/>
        <v>45000</v>
      </c>
      <c r="AK47" s="6">
        <v>3</v>
      </c>
      <c r="AL47" s="6">
        <f t="shared" si="37"/>
        <v>45000</v>
      </c>
      <c r="AM47" s="6">
        <v>3</v>
      </c>
      <c r="AN47" s="6">
        <f t="shared" si="38"/>
        <v>45000</v>
      </c>
      <c r="AO47" s="6">
        <v>3</v>
      </c>
      <c r="AP47" s="6">
        <f t="shared" si="39"/>
        <v>45000</v>
      </c>
      <c r="AQ47" s="6">
        <v>3</v>
      </c>
      <c r="AR47" s="6">
        <f t="shared" si="40"/>
        <v>45000</v>
      </c>
      <c r="AS47" s="6">
        <v>3</v>
      </c>
      <c r="AT47" s="6">
        <f t="shared" si="41"/>
        <v>45000</v>
      </c>
      <c r="AU47" s="6">
        <v>3</v>
      </c>
      <c r="AV47" s="6">
        <f t="shared" si="52"/>
        <v>45000</v>
      </c>
      <c r="AW47" s="6">
        <v>3</v>
      </c>
      <c r="AX47" s="6">
        <f t="shared" si="53"/>
        <v>45000</v>
      </c>
      <c r="AY47" s="6">
        <v>3</v>
      </c>
      <c r="AZ47" s="6">
        <f t="shared" si="42"/>
        <v>45000</v>
      </c>
      <c r="BA47" s="6">
        <v>3</v>
      </c>
      <c r="BB47" s="6">
        <f t="shared" si="43"/>
        <v>45000</v>
      </c>
      <c r="BC47" s="6">
        <v>3</v>
      </c>
      <c r="BD47" s="6">
        <f t="shared" si="44"/>
        <v>45000</v>
      </c>
      <c r="BE47" s="6">
        <v>3</v>
      </c>
      <c r="BF47" s="6">
        <f t="shared" si="45"/>
        <v>45000</v>
      </c>
      <c r="BG47" s="6"/>
      <c r="BH47" s="6"/>
      <c r="BI47" s="7">
        <f t="shared" ref="BI47:BI53" si="54">BG47+BE47+BC47+BA47+AY47+AW47+AU47+AS47+AQ47+AO47+AM47+AK47+AI47+AG47+AE47+AC47+AA47+Y47</f>
        <v>51</v>
      </c>
      <c r="BJ47" s="7">
        <f t="shared" ref="BJ47:BJ55" si="55">BH47+BF47+BD47+BB47+AZ47+AX47+AV47+AT47+AR47+AP47+AN47+AL47+AJ47+AH47+AF47+AD47+AB47+Z47</f>
        <v>765000</v>
      </c>
      <c r="BK47" s="186"/>
      <c r="BM47" s="190"/>
      <c r="BN47" s="190">
        <f t="shared" si="49"/>
        <v>765000</v>
      </c>
      <c r="BO47" s="190"/>
      <c r="BP47" s="190"/>
      <c r="BQ47" s="190">
        <f t="shared" si="50"/>
        <v>765000</v>
      </c>
      <c r="BR47" s="190"/>
      <c r="BS47" s="190"/>
      <c r="BT47" s="190"/>
      <c r="BU47" s="167">
        <f t="shared" si="51"/>
        <v>765000</v>
      </c>
    </row>
    <row r="48" spans="1:73" x14ac:dyDescent="0.25">
      <c r="A48" s="595" t="s">
        <v>746</v>
      </c>
      <c r="B48" s="192" t="s">
        <v>456</v>
      </c>
      <c r="C48" s="186" t="s">
        <v>511</v>
      </c>
      <c r="D48" s="193">
        <v>150</v>
      </c>
      <c r="E48" s="8">
        <f t="shared" si="19"/>
        <v>0</v>
      </c>
      <c r="F48" s="6">
        <f t="shared" si="20"/>
        <v>0</v>
      </c>
      <c r="G48" s="6">
        <f t="shared" si="21"/>
        <v>0</v>
      </c>
      <c r="H48" s="6">
        <f t="shared" si="22"/>
        <v>0</v>
      </c>
      <c r="I48" s="6"/>
      <c r="J48" s="6"/>
      <c r="K48" s="6"/>
      <c r="L48" s="6"/>
      <c r="M48" s="6"/>
      <c r="N48" s="6"/>
      <c r="O48" s="6"/>
      <c r="P48" s="6"/>
      <c r="Q48" s="601">
        <f t="shared" si="23"/>
        <v>0</v>
      </c>
      <c r="R48" s="601">
        <f t="shared" si="24"/>
        <v>0</v>
      </c>
      <c r="S48" s="602">
        <f t="shared" si="25"/>
        <v>0</v>
      </c>
      <c r="T48" s="602">
        <f t="shared" si="26"/>
        <v>0</v>
      </c>
      <c r="U48" s="6">
        <f t="shared" si="27"/>
        <v>0</v>
      </c>
      <c r="V48" s="6">
        <f t="shared" si="28"/>
        <v>0</v>
      </c>
      <c r="W48" s="6">
        <f t="shared" si="29"/>
        <v>0</v>
      </c>
      <c r="X48" s="6">
        <f t="shared" si="30"/>
        <v>0</v>
      </c>
      <c r="Y48" s="6">
        <v>0</v>
      </c>
      <c r="Z48" s="6">
        <f t="shared" si="31"/>
        <v>0</v>
      </c>
      <c r="AA48" s="6">
        <v>0</v>
      </c>
      <c r="AB48" s="6">
        <f t="shared" si="32"/>
        <v>0</v>
      </c>
      <c r="AC48" s="6">
        <v>0</v>
      </c>
      <c r="AD48" s="6">
        <f t="shared" si="33"/>
        <v>0</v>
      </c>
      <c r="AE48" s="6">
        <v>0</v>
      </c>
      <c r="AF48" s="6">
        <f t="shared" si="34"/>
        <v>0</v>
      </c>
      <c r="AG48" s="6">
        <v>0</v>
      </c>
      <c r="AH48" s="6">
        <f t="shared" si="35"/>
        <v>0</v>
      </c>
      <c r="AI48" s="6">
        <v>0</v>
      </c>
      <c r="AJ48" s="6">
        <f t="shared" si="36"/>
        <v>0</v>
      </c>
      <c r="AK48" s="6">
        <v>0</v>
      </c>
      <c r="AL48" s="6">
        <f t="shared" si="37"/>
        <v>0</v>
      </c>
      <c r="AM48" s="6">
        <v>0</v>
      </c>
      <c r="AN48" s="6">
        <f t="shared" si="38"/>
        <v>0</v>
      </c>
      <c r="AO48" s="6">
        <v>0</v>
      </c>
      <c r="AP48" s="6">
        <f t="shared" si="39"/>
        <v>0</v>
      </c>
      <c r="AQ48" s="6">
        <v>0</v>
      </c>
      <c r="AR48" s="6">
        <f t="shared" si="40"/>
        <v>0</v>
      </c>
      <c r="AS48" s="6">
        <v>0</v>
      </c>
      <c r="AT48" s="6">
        <f t="shared" si="41"/>
        <v>0</v>
      </c>
      <c r="AU48" s="6">
        <v>0</v>
      </c>
      <c r="AV48" s="6">
        <f t="shared" si="52"/>
        <v>0</v>
      </c>
      <c r="AW48" s="6">
        <v>0</v>
      </c>
      <c r="AX48" s="6">
        <f t="shared" si="53"/>
        <v>0</v>
      </c>
      <c r="AY48" s="6">
        <v>0</v>
      </c>
      <c r="AZ48" s="6">
        <f t="shared" si="42"/>
        <v>0</v>
      </c>
      <c r="BA48" s="6">
        <v>0</v>
      </c>
      <c r="BB48" s="6">
        <f t="shared" si="43"/>
        <v>0</v>
      </c>
      <c r="BC48" s="6">
        <v>0</v>
      </c>
      <c r="BD48" s="6">
        <f t="shared" si="44"/>
        <v>0</v>
      </c>
      <c r="BE48" s="6">
        <v>0</v>
      </c>
      <c r="BF48" s="6">
        <f t="shared" si="45"/>
        <v>0</v>
      </c>
      <c r="BG48" s="6">
        <v>0</v>
      </c>
      <c r="BH48" s="6">
        <f t="shared" si="46"/>
        <v>0</v>
      </c>
      <c r="BI48" s="7">
        <f t="shared" si="54"/>
        <v>0</v>
      </c>
      <c r="BJ48" s="7">
        <f t="shared" si="55"/>
        <v>0</v>
      </c>
      <c r="BK48" s="186" t="s">
        <v>210</v>
      </c>
      <c r="BM48" s="190">
        <v>0</v>
      </c>
      <c r="BN48" s="190">
        <f t="shared" si="49"/>
        <v>0</v>
      </c>
      <c r="BO48" s="190"/>
      <c r="BP48" s="190"/>
      <c r="BQ48" s="190">
        <f t="shared" si="50"/>
        <v>0</v>
      </c>
      <c r="BR48" s="190"/>
      <c r="BS48" s="190"/>
      <c r="BT48" s="190"/>
      <c r="BU48" s="167">
        <f t="shared" si="51"/>
        <v>0</v>
      </c>
    </row>
    <row r="49" spans="1:73" x14ac:dyDescent="0.25">
      <c r="A49" s="595" t="s">
        <v>747</v>
      </c>
      <c r="B49" s="192" t="s">
        <v>457</v>
      </c>
      <c r="C49" s="186" t="s">
        <v>16</v>
      </c>
      <c r="D49" s="193">
        <v>10000</v>
      </c>
      <c r="E49" s="8">
        <f t="shared" si="19"/>
        <v>91</v>
      </c>
      <c r="F49" s="6">
        <f t="shared" si="20"/>
        <v>910000</v>
      </c>
      <c r="G49" s="6">
        <f t="shared" si="21"/>
        <v>182000</v>
      </c>
      <c r="H49" s="6">
        <f t="shared" si="22"/>
        <v>728000</v>
      </c>
      <c r="I49" s="6"/>
      <c r="J49" s="6"/>
      <c r="K49" s="6"/>
      <c r="L49" s="6"/>
      <c r="M49" s="6"/>
      <c r="N49" s="6"/>
      <c r="O49" s="6"/>
      <c r="P49" s="6"/>
      <c r="Q49" s="601">
        <f t="shared" si="23"/>
        <v>22.75</v>
      </c>
      <c r="R49" s="601">
        <f t="shared" si="24"/>
        <v>22.75</v>
      </c>
      <c r="S49" s="602">
        <f t="shared" si="25"/>
        <v>22.75</v>
      </c>
      <c r="T49" s="602">
        <f t="shared" si="26"/>
        <v>22.75</v>
      </c>
      <c r="U49" s="6">
        <f t="shared" si="27"/>
        <v>227500</v>
      </c>
      <c r="V49" s="6">
        <f t="shared" si="28"/>
        <v>227500</v>
      </c>
      <c r="W49" s="6">
        <f t="shared" si="29"/>
        <v>227500</v>
      </c>
      <c r="X49" s="6">
        <f t="shared" si="30"/>
        <v>227500</v>
      </c>
      <c r="Y49" s="6">
        <v>4</v>
      </c>
      <c r="Z49" s="6">
        <f t="shared" si="31"/>
        <v>40000</v>
      </c>
      <c r="AA49" s="6">
        <v>3</v>
      </c>
      <c r="AB49" s="6">
        <f t="shared" si="32"/>
        <v>30000</v>
      </c>
      <c r="AC49" s="6">
        <v>5</v>
      </c>
      <c r="AD49" s="6">
        <f t="shared" si="33"/>
        <v>50000</v>
      </c>
      <c r="AE49" s="6">
        <v>5</v>
      </c>
      <c r="AF49" s="6">
        <f t="shared" si="34"/>
        <v>50000</v>
      </c>
      <c r="AG49" s="6">
        <v>2</v>
      </c>
      <c r="AH49" s="6">
        <f t="shared" si="35"/>
        <v>20000</v>
      </c>
      <c r="AI49" s="6">
        <v>4</v>
      </c>
      <c r="AJ49" s="6">
        <f t="shared" si="36"/>
        <v>40000</v>
      </c>
      <c r="AK49" s="6">
        <v>5</v>
      </c>
      <c r="AL49" s="6">
        <f t="shared" si="37"/>
        <v>50000</v>
      </c>
      <c r="AM49" s="6">
        <v>8</v>
      </c>
      <c r="AN49" s="6">
        <f t="shared" si="38"/>
        <v>80000</v>
      </c>
      <c r="AO49" s="6">
        <v>2</v>
      </c>
      <c r="AP49" s="6">
        <f t="shared" si="39"/>
        <v>20000</v>
      </c>
      <c r="AQ49" s="6">
        <v>3</v>
      </c>
      <c r="AR49" s="6">
        <f t="shared" si="40"/>
        <v>30000</v>
      </c>
      <c r="AS49" s="6">
        <v>6</v>
      </c>
      <c r="AT49" s="6">
        <f t="shared" si="41"/>
        <v>60000</v>
      </c>
      <c r="AU49" s="6">
        <v>5</v>
      </c>
      <c r="AV49" s="6">
        <f t="shared" si="52"/>
        <v>50000</v>
      </c>
      <c r="AW49" s="6">
        <v>9</v>
      </c>
      <c r="AX49" s="6">
        <f t="shared" si="53"/>
        <v>90000</v>
      </c>
      <c r="AY49" s="6">
        <v>9</v>
      </c>
      <c r="AZ49" s="6">
        <f t="shared" si="42"/>
        <v>90000</v>
      </c>
      <c r="BA49" s="6">
        <v>3</v>
      </c>
      <c r="BB49" s="6">
        <f t="shared" si="43"/>
        <v>30000</v>
      </c>
      <c r="BC49" s="6">
        <v>12</v>
      </c>
      <c r="BD49" s="6">
        <f t="shared" si="44"/>
        <v>120000</v>
      </c>
      <c r="BE49" s="6">
        <v>6</v>
      </c>
      <c r="BF49" s="6">
        <f t="shared" si="45"/>
        <v>60000</v>
      </c>
      <c r="BG49" s="6">
        <v>0</v>
      </c>
      <c r="BH49" s="6">
        <f t="shared" si="46"/>
        <v>0</v>
      </c>
      <c r="BI49" s="7">
        <f t="shared" si="54"/>
        <v>91</v>
      </c>
      <c r="BJ49" s="7">
        <f t="shared" si="55"/>
        <v>910000</v>
      </c>
      <c r="BK49" s="186" t="s">
        <v>210</v>
      </c>
      <c r="BM49" s="190">
        <v>0</v>
      </c>
      <c r="BN49" s="190">
        <f t="shared" si="49"/>
        <v>910000</v>
      </c>
      <c r="BO49" s="190"/>
      <c r="BP49" s="190"/>
      <c r="BQ49" s="190">
        <f t="shared" si="50"/>
        <v>910000</v>
      </c>
      <c r="BR49" s="190"/>
      <c r="BS49" s="190"/>
      <c r="BT49" s="190"/>
      <c r="BU49" s="167">
        <f t="shared" si="51"/>
        <v>910000</v>
      </c>
    </row>
    <row r="50" spans="1:73" x14ac:dyDescent="0.25">
      <c r="A50" s="595" t="s">
        <v>748</v>
      </c>
      <c r="B50" s="199" t="s">
        <v>627</v>
      </c>
      <c r="C50" s="186" t="s">
        <v>511</v>
      </c>
      <c r="D50" s="193">
        <v>1000</v>
      </c>
      <c r="E50" s="8">
        <f t="shared" si="19"/>
        <v>1840</v>
      </c>
      <c r="F50" s="6">
        <f t="shared" si="20"/>
        <v>1840000</v>
      </c>
      <c r="G50" s="6">
        <f t="shared" si="21"/>
        <v>368000</v>
      </c>
      <c r="H50" s="6">
        <f t="shared" si="22"/>
        <v>1472000</v>
      </c>
      <c r="I50" s="6"/>
      <c r="J50" s="6"/>
      <c r="K50" s="6"/>
      <c r="L50" s="6"/>
      <c r="M50" s="6"/>
      <c r="N50" s="6"/>
      <c r="O50" s="6"/>
      <c r="P50" s="6"/>
      <c r="Q50" s="602">
        <f t="shared" si="23"/>
        <v>460</v>
      </c>
      <c r="R50" s="602">
        <f t="shared" si="24"/>
        <v>460</v>
      </c>
      <c r="S50" s="602">
        <f t="shared" si="25"/>
        <v>460</v>
      </c>
      <c r="T50" s="602">
        <f t="shared" si="26"/>
        <v>460</v>
      </c>
      <c r="U50" s="6">
        <f t="shared" si="27"/>
        <v>460000</v>
      </c>
      <c r="V50" s="6">
        <f t="shared" si="28"/>
        <v>460000</v>
      </c>
      <c r="W50" s="6">
        <f t="shared" si="29"/>
        <v>460000</v>
      </c>
      <c r="X50" s="6">
        <f t="shared" si="30"/>
        <v>460000</v>
      </c>
      <c r="Y50" s="6">
        <f>10*4*2</f>
        <v>80</v>
      </c>
      <c r="Z50" s="6">
        <f t="shared" si="31"/>
        <v>80000</v>
      </c>
      <c r="AA50" s="6">
        <f>10*3*2</f>
        <v>60</v>
      </c>
      <c r="AB50" s="6">
        <f>AA50*D50</f>
        <v>60000</v>
      </c>
      <c r="AC50" s="6">
        <f>10*5*2</f>
        <v>100</v>
      </c>
      <c r="AD50" s="6">
        <f t="shared" si="33"/>
        <v>100000</v>
      </c>
      <c r="AE50" s="6">
        <f>10*5*2</f>
        <v>100</v>
      </c>
      <c r="AF50" s="6">
        <f t="shared" si="34"/>
        <v>100000</v>
      </c>
      <c r="AG50" s="6">
        <f>10*2*2</f>
        <v>40</v>
      </c>
      <c r="AH50" s="6">
        <f t="shared" si="35"/>
        <v>40000</v>
      </c>
      <c r="AI50" s="6">
        <f>10*5*2</f>
        <v>100</v>
      </c>
      <c r="AJ50" s="6">
        <f>D50*AI50</f>
        <v>100000</v>
      </c>
      <c r="AK50" s="6">
        <f>10*5*2</f>
        <v>100</v>
      </c>
      <c r="AL50" s="6">
        <f>D50*AK50</f>
        <v>100000</v>
      </c>
      <c r="AM50" s="6">
        <f>10*8*2</f>
        <v>160</v>
      </c>
      <c r="AN50" s="6">
        <f>D50*AM50</f>
        <v>160000</v>
      </c>
      <c r="AO50" s="6">
        <f>10*2*2</f>
        <v>40</v>
      </c>
      <c r="AP50" s="6">
        <f t="shared" si="39"/>
        <v>40000</v>
      </c>
      <c r="AQ50" s="6">
        <f>10*3*2</f>
        <v>60</v>
      </c>
      <c r="AR50" s="6">
        <f t="shared" si="40"/>
        <v>60000</v>
      </c>
      <c r="AS50" s="6">
        <f>10*6*2</f>
        <v>120</v>
      </c>
      <c r="AT50" s="6">
        <f t="shared" si="41"/>
        <v>120000</v>
      </c>
      <c r="AU50" s="6">
        <f>10*5*2</f>
        <v>100</v>
      </c>
      <c r="AV50" s="6">
        <f>AU50*D50</f>
        <v>100000</v>
      </c>
      <c r="AW50" s="6">
        <f>10*9*2</f>
        <v>180</v>
      </c>
      <c r="AX50" s="6">
        <f>AW50*D50</f>
        <v>180000</v>
      </c>
      <c r="AY50" s="6">
        <f>10*9*2</f>
        <v>180</v>
      </c>
      <c r="AZ50" s="6">
        <f t="shared" si="42"/>
        <v>180000</v>
      </c>
      <c r="BA50" s="6">
        <f>10*3*2</f>
        <v>60</v>
      </c>
      <c r="BB50" s="6">
        <f>D50*BA50</f>
        <v>60000</v>
      </c>
      <c r="BC50" s="6">
        <f>10*12*2</f>
        <v>240</v>
      </c>
      <c r="BD50" s="6">
        <f t="shared" si="44"/>
        <v>240000</v>
      </c>
      <c r="BE50" s="6">
        <f>10*6*2</f>
        <v>120</v>
      </c>
      <c r="BF50" s="6">
        <f t="shared" si="45"/>
        <v>120000</v>
      </c>
      <c r="BG50" s="6">
        <v>0</v>
      </c>
      <c r="BH50" s="6">
        <f t="shared" si="46"/>
        <v>0</v>
      </c>
      <c r="BI50" s="7">
        <f t="shared" si="54"/>
        <v>1840</v>
      </c>
      <c r="BJ50" s="7">
        <f t="shared" si="55"/>
        <v>1840000</v>
      </c>
      <c r="BK50" s="186" t="s">
        <v>210</v>
      </c>
      <c r="BM50" s="190">
        <v>0</v>
      </c>
      <c r="BN50" s="190">
        <f t="shared" si="49"/>
        <v>1840000</v>
      </c>
      <c r="BO50" s="190"/>
      <c r="BP50" s="190"/>
      <c r="BQ50" s="190">
        <f t="shared" si="50"/>
        <v>1840000</v>
      </c>
      <c r="BR50" s="190"/>
      <c r="BS50" s="190"/>
      <c r="BT50" s="190"/>
      <c r="BU50" s="167">
        <f t="shared" si="51"/>
        <v>1840000</v>
      </c>
    </row>
    <row r="51" spans="1:73" x14ac:dyDescent="0.25">
      <c r="A51" s="595" t="s">
        <v>749</v>
      </c>
      <c r="B51" s="192" t="s">
        <v>512</v>
      </c>
      <c r="C51" s="186" t="s">
        <v>511</v>
      </c>
      <c r="D51" s="193">
        <v>150</v>
      </c>
      <c r="E51" s="8">
        <f t="shared" si="19"/>
        <v>0</v>
      </c>
      <c r="F51" s="6">
        <f t="shared" si="20"/>
        <v>0</v>
      </c>
      <c r="G51" s="6">
        <f t="shared" si="21"/>
        <v>0</v>
      </c>
      <c r="H51" s="6">
        <f t="shared" si="22"/>
        <v>0</v>
      </c>
      <c r="I51" s="6"/>
      <c r="J51" s="6"/>
      <c r="K51" s="6"/>
      <c r="L51" s="6"/>
      <c r="M51" s="6"/>
      <c r="N51" s="6"/>
      <c r="O51" s="6"/>
      <c r="P51" s="6"/>
      <c r="Q51" s="601">
        <f t="shared" si="23"/>
        <v>0</v>
      </c>
      <c r="R51" s="601">
        <f t="shared" si="24"/>
        <v>0</v>
      </c>
      <c r="S51" s="601">
        <f t="shared" si="25"/>
        <v>0</v>
      </c>
      <c r="T51" s="601">
        <f t="shared" si="26"/>
        <v>0</v>
      </c>
      <c r="U51" s="6">
        <f t="shared" si="27"/>
        <v>0</v>
      </c>
      <c r="V51" s="6">
        <f t="shared" si="28"/>
        <v>0</v>
      </c>
      <c r="W51" s="6">
        <f t="shared" si="29"/>
        <v>0</v>
      </c>
      <c r="X51" s="6">
        <f t="shared" si="30"/>
        <v>0</v>
      </c>
      <c r="Y51" s="6">
        <v>0</v>
      </c>
      <c r="Z51" s="6">
        <f t="shared" si="31"/>
        <v>0</v>
      </c>
      <c r="AA51" s="6">
        <v>0</v>
      </c>
      <c r="AB51" s="6">
        <f t="shared" si="32"/>
        <v>0</v>
      </c>
      <c r="AC51" s="6">
        <v>0</v>
      </c>
      <c r="AD51" s="6">
        <f t="shared" si="33"/>
        <v>0</v>
      </c>
      <c r="AE51" s="6">
        <v>0</v>
      </c>
      <c r="AF51" s="6">
        <f t="shared" si="34"/>
        <v>0</v>
      </c>
      <c r="AG51" s="6">
        <v>0</v>
      </c>
      <c r="AH51" s="6">
        <f t="shared" si="35"/>
        <v>0</v>
      </c>
      <c r="AI51" s="6">
        <v>0</v>
      </c>
      <c r="AJ51" s="6">
        <f t="shared" si="36"/>
        <v>0</v>
      </c>
      <c r="AK51" s="6">
        <v>0</v>
      </c>
      <c r="AL51" s="6">
        <f t="shared" si="37"/>
        <v>0</v>
      </c>
      <c r="AM51" s="6">
        <v>0</v>
      </c>
      <c r="AN51" s="6">
        <f t="shared" si="38"/>
        <v>0</v>
      </c>
      <c r="AO51" s="6">
        <v>0</v>
      </c>
      <c r="AP51" s="6">
        <f t="shared" si="39"/>
        <v>0</v>
      </c>
      <c r="AQ51" s="6">
        <v>0</v>
      </c>
      <c r="AR51" s="6">
        <f t="shared" si="40"/>
        <v>0</v>
      </c>
      <c r="AS51" s="6">
        <v>0</v>
      </c>
      <c r="AT51" s="6">
        <f t="shared" si="41"/>
        <v>0</v>
      </c>
      <c r="AU51" s="6">
        <v>0</v>
      </c>
      <c r="AV51" s="6">
        <f t="shared" si="52"/>
        <v>0</v>
      </c>
      <c r="AW51" s="6">
        <v>0</v>
      </c>
      <c r="AX51" s="6">
        <f t="shared" si="53"/>
        <v>0</v>
      </c>
      <c r="AY51" s="6">
        <v>0</v>
      </c>
      <c r="AZ51" s="6">
        <f t="shared" si="42"/>
        <v>0</v>
      </c>
      <c r="BA51" s="6">
        <v>0</v>
      </c>
      <c r="BB51" s="6">
        <f t="shared" si="43"/>
        <v>0</v>
      </c>
      <c r="BC51" s="6">
        <v>0</v>
      </c>
      <c r="BD51" s="6">
        <f t="shared" si="44"/>
        <v>0</v>
      </c>
      <c r="BE51" s="6">
        <v>0</v>
      </c>
      <c r="BF51" s="6">
        <f t="shared" si="45"/>
        <v>0</v>
      </c>
      <c r="BG51" s="6">
        <v>0</v>
      </c>
      <c r="BH51" s="6">
        <f t="shared" si="46"/>
        <v>0</v>
      </c>
      <c r="BI51" s="7">
        <f t="shared" si="54"/>
        <v>0</v>
      </c>
      <c r="BJ51" s="7">
        <f t="shared" si="55"/>
        <v>0</v>
      </c>
      <c r="BK51" s="186" t="s">
        <v>210</v>
      </c>
      <c r="BM51" s="190"/>
      <c r="BN51" s="190">
        <f t="shared" si="49"/>
        <v>0</v>
      </c>
      <c r="BO51" s="190"/>
      <c r="BP51" s="190"/>
      <c r="BQ51" s="190">
        <f t="shared" si="50"/>
        <v>0</v>
      </c>
      <c r="BR51" s="190"/>
      <c r="BS51" s="190"/>
      <c r="BT51" s="190"/>
      <c r="BU51" s="167">
        <f t="shared" si="51"/>
        <v>0</v>
      </c>
    </row>
    <row r="52" spans="1:73" s="180" customFormat="1" ht="31.5" x14ac:dyDescent="0.25">
      <c r="A52" s="595" t="s">
        <v>750</v>
      </c>
      <c r="B52" s="199" t="s">
        <v>628</v>
      </c>
      <c r="C52" s="186" t="s">
        <v>511</v>
      </c>
      <c r="D52" s="193">
        <v>800</v>
      </c>
      <c r="E52" s="16">
        <f t="shared" si="19"/>
        <v>1840</v>
      </c>
      <c r="F52" s="16">
        <f t="shared" si="19"/>
        <v>1402000</v>
      </c>
      <c r="G52" s="6">
        <f t="shared" si="21"/>
        <v>280400</v>
      </c>
      <c r="H52" s="6">
        <f t="shared" si="22"/>
        <v>1121600</v>
      </c>
      <c r="I52" s="11"/>
      <c r="J52" s="11"/>
      <c r="K52" s="11"/>
      <c r="L52" s="11"/>
      <c r="M52" s="11"/>
      <c r="N52" s="11"/>
      <c r="O52" s="11"/>
      <c r="P52" s="11"/>
      <c r="Q52" s="7">
        <f t="shared" si="23"/>
        <v>460</v>
      </c>
      <c r="R52" s="7">
        <f t="shared" si="24"/>
        <v>460</v>
      </c>
      <c r="S52" s="7">
        <f t="shared" si="25"/>
        <v>460</v>
      </c>
      <c r="T52" s="7">
        <f t="shared" si="26"/>
        <v>460</v>
      </c>
      <c r="U52" s="11">
        <f t="shared" si="27"/>
        <v>368000</v>
      </c>
      <c r="V52" s="11">
        <f t="shared" si="28"/>
        <v>368000</v>
      </c>
      <c r="W52" s="11">
        <f t="shared" si="29"/>
        <v>368000</v>
      </c>
      <c r="X52" s="11">
        <f t="shared" si="30"/>
        <v>368000</v>
      </c>
      <c r="Y52" s="6">
        <v>80</v>
      </c>
      <c r="Z52" s="6">
        <f t="shared" si="31"/>
        <v>64000</v>
      </c>
      <c r="AA52" s="6">
        <v>60</v>
      </c>
      <c r="AB52" s="6">
        <f t="shared" si="32"/>
        <v>48000</v>
      </c>
      <c r="AC52" s="6">
        <v>100</v>
      </c>
      <c r="AD52" s="6">
        <f t="shared" si="33"/>
        <v>80000</v>
      </c>
      <c r="AE52" s="6">
        <v>100</v>
      </c>
      <c r="AF52" s="6">
        <f t="shared" si="34"/>
        <v>80000</v>
      </c>
      <c r="AG52" s="6">
        <v>40</v>
      </c>
      <c r="AH52" s="6">
        <f t="shared" si="35"/>
        <v>32000</v>
      </c>
      <c r="AI52" s="6">
        <v>100</v>
      </c>
      <c r="AJ52" s="6">
        <f t="shared" si="36"/>
        <v>80000</v>
      </c>
      <c r="AK52" s="6">
        <v>100</v>
      </c>
      <c r="AL52" s="6">
        <v>10000</v>
      </c>
      <c r="AM52" s="6">
        <v>160</v>
      </c>
      <c r="AN52" s="6">
        <f t="shared" si="38"/>
        <v>128000</v>
      </c>
      <c r="AO52" s="6">
        <v>40</v>
      </c>
      <c r="AP52" s="6">
        <f t="shared" si="39"/>
        <v>32000</v>
      </c>
      <c r="AQ52" s="6">
        <v>60</v>
      </c>
      <c r="AR52" s="6">
        <f t="shared" si="40"/>
        <v>48000</v>
      </c>
      <c r="AS52" s="6">
        <v>120</v>
      </c>
      <c r="AT52" s="6">
        <f t="shared" si="41"/>
        <v>96000</v>
      </c>
      <c r="AU52" s="6">
        <v>100</v>
      </c>
      <c r="AV52" s="6">
        <f t="shared" si="52"/>
        <v>80000</v>
      </c>
      <c r="AW52" s="6">
        <v>180</v>
      </c>
      <c r="AX52" s="6">
        <f t="shared" si="53"/>
        <v>144000</v>
      </c>
      <c r="AY52" s="6">
        <v>180</v>
      </c>
      <c r="AZ52" s="6">
        <f t="shared" si="42"/>
        <v>144000</v>
      </c>
      <c r="BA52" s="6">
        <v>60</v>
      </c>
      <c r="BB52" s="6">
        <f t="shared" si="43"/>
        <v>48000</v>
      </c>
      <c r="BC52" s="6">
        <v>240</v>
      </c>
      <c r="BD52" s="6">
        <f t="shared" si="44"/>
        <v>192000</v>
      </c>
      <c r="BE52" s="6">
        <v>120</v>
      </c>
      <c r="BF52" s="6">
        <f t="shared" si="45"/>
        <v>96000</v>
      </c>
      <c r="BG52" s="6">
        <v>0</v>
      </c>
      <c r="BH52" s="6">
        <f t="shared" si="46"/>
        <v>0</v>
      </c>
      <c r="BI52" s="7">
        <f t="shared" si="54"/>
        <v>1840</v>
      </c>
      <c r="BJ52" s="7">
        <f t="shared" si="55"/>
        <v>1402000</v>
      </c>
      <c r="BK52" s="186" t="s">
        <v>210</v>
      </c>
      <c r="BM52" s="11">
        <f>SUM(BM46:BM51)</f>
        <v>0</v>
      </c>
      <c r="BN52" s="190">
        <f t="shared" si="49"/>
        <v>1402000</v>
      </c>
      <c r="BO52" s="190"/>
      <c r="BP52" s="190"/>
      <c r="BQ52" s="190">
        <f t="shared" si="50"/>
        <v>1402000</v>
      </c>
      <c r="BR52" s="190"/>
      <c r="BS52" s="190"/>
      <c r="BT52" s="190"/>
      <c r="BU52" s="167">
        <f t="shared" si="51"/>
        <v>1402000</v>
      </c>
    </row>
    <row r="53" spans="1:73" x14ac:dyDescent="0.25">
      <c r="A53" s="595"/>
      <c r="B53" s="185" t="s">
        <v>458</v>
      </c>
      <c r="C53" s="186" t="s">
        <v>111</v>
      </c>
      <c r="D53" s="193" t="s">
        <v>111</v>
      </c>
      <c r="E53" s="8">
        <f>SUM(E44:E52)</f>
        <v>7458</v>
      </c>
      <c r="F53" s="8">
        <f t="shared" ref="F53:X53" si="56">SUM(F44:F52)</f>
        <v>5462400</v>
      </c>
      <c r="G53" s="8">
        <f t="shared" si="56"/>
        <v>1092480</v>
      </c>
      <c r="H53" s="8">
        <f t="shared" si="56"/>
        <v>4369920</v>
      </c>
      <c r="I53" s="8">
        <f t="shared" si="56"/>
        <v>0</v>
      </c>
      <c r="J53" s="8">
        <f t="shared" si="56"/>
        <v>0</v>
      </c>
      <c r="K53" s="8">
        <f t="shared" si="56"/>
        <v>0</v>
      </c>
      <c r="L53" s="8">
        <f t="shared" si="56"/>
        <v>0</v>
      </c>
      <c r="M53" s="8">
        <f t="shared" si="56"/>
        <v>0</v>
      </c>
      <c r="N53" s="8">
        <f t="shared" si="56"/>
        <v>0</v>
      </c>
      <c r="O53" s="8">
        <f t="shared" si="56"/>
        <v>0</v>
      </c>
      <c r="P53" s="8">
        <f t="shared" si="56"/>
        <v>0</v>
      </c>
      <c r="Q53" s="8">
        <f t="shared" si="56"/>
        <v>1851.75</v>
      </c>
      <c r="R53" s="8">
        <f t="shared" si="56"/>
        <v>1851.75</v>
      </c>
      <c r="S53" s="8">
        <f t="shared" si="56"/>
        <v>1851.75</v>
      </c>
      <c r="T53" s="8">
        <f t="shared" si="56"/>
        <v>1851.75</v>
      </c>
      <c r="U53" s="8">
        <f t="shared" si="56"/>
        <v>1191850</v>
      </c>
      <c r="V53" s="8">
        <f t="shared" si="56"/>
        <v>1191850</v>
      </c>
      <c r="W53" s="8">
        <f t="shared" si="56"/>
        <v>1191850</v>
      </c>
      <c r="X53" s="8">
        <f t="shared" si="56"/>
        <v>1191850</v>
      </c>
      <c r="Y53" s="6">
        <f>SUM(Y44:Y52)</f>
        <v>347</v>
      </c>
      <c r="Z53" s="6">
        <f t="shared" ref="Z53:BU53" si="57">SUM(Z44:Z52)</f>
        <v>256000</v>
      </c>
      <c r="AA53" s="6">
        <f t="shared" si="57"/>
        <v>246</v>
      </c>
      <c r="AB53" s="6">
        <f t="shared" si="57"/>
        <v>201000</v>
      </c>
      <c r="AC53" s="6">
        <f t="shared" si="57"/>
        <v>408</v>
      </c>
      <c r="AD53" s="6">
        <f t="shared" si="57"/>
        <v>305000</v>
      </c>
      <c r="AE53" s="6">
        <f t="shared" si="57"/>
        <v>428</v>
      </c>
      <c r="AF53" s="6">
        <f t="shared" si="57"/>
        <v>308000</v>
      </c>
      <c r="AG53" s="6">
        <f t="shared" si="57"/>
        <v>185</v>
      </c>
      <c r="AH53" s="6">
        <f t="shared" si="57"/>
        <v>152000</v>
      </c>
      <c r="AI53" s="6">
        <f t="shared" si="57"/>
        <v>387</v>
      </c>
      <c r="AJ53" s="6">
        <f t="shared" si="57"/>
        <v>292000</v>
      </c>
      <c r="AK53" s="6">
        <f t="shared" si="57"/>
        <v>388</v>
      </c>
      <c r="AL53" s="6">
        <f t="shared" si="57"/>
        <v>232000</v>
      </c>
      <c r="AM53" s="6">
        <f t="shared" si="57"/>
        <v>691</v>
      </c>
      <c r="AN53" s="6">
        <f t="shared" si="57"/>
        <v>467000</v>
      </c>
      <c r="AO53" s="6">
        <f t="shared" si="57"/>
        <v>185</v>
      </c>
      <c r="AP53" s="6">
        <f t="shared" si="57"/>
        <v>152000</v>
      </c>
      <c r="AQ53" s="6">
        <f t="shared" si="57"/>
        <v>322</v>
      </c>
      <c r="AR53" s="6">
        <f t="shared" si="57"/>
        <v>212400</v>
      </c>
      <c r="AS53" s="6">
        <f t="shared" si="57"/>
        <v>469</v>
      </c>
      <c r="AT53" s="6">
        <f t="shared" si="57"/>
        <v>354000</v>
      </c>
      <c r="AU53" s="6">
        <f t="shared" si="57"/>
        <v>408</v>
      </c>
      <c r="AV53" s="6">
        <f t="shared" si="57"/>
        <v>305000</v>
      </c>
      <c r="AW53" s="6">
        <f t="shared" si="57"/>
        <v>702</v>
      </c>
      <c r="AX53" s="6">
        <f t="shared" si="57"/>
        <v>508500</v>
      </c>
      <c r="AY53" s="6">
        <f t="shared" si="57"/>
        <v>702</v>
      </c>
      <c r="AZ53" s="6">
        <f t="shared" si="57"/>
        <v>508500</v>
      </c>
      <c r="BA53" s="6">
        <f t="shared" si="57"/>
        <v>286</v>
      </c>
      <c r="BB53" s="6">
        <f t="shared" si="57"/>
        <v>207000</v>
      </c>
      <c r="BC53" s="6">
        <f t="shared" si="57"/>
        <v>835</v>
      </c>
      <c r="BD53" s="6">
        <f t="shared" si="57"/>
        <v>648000</v>
      </c>
      <c r="BE53" s="6">
        <f t="shared" si="57"/>
        <v>469</v>
      </c>
      <c r="BF53" s="6">
        <f t="shared" si="57"/>
        <v>354000</v>
      </c>
      <c r="BG53" s="6">
        <f t="shared" si="57"/>
        <v>0</v>
      </c>
      <c r="BH53" s="6">
        <f t="shared" si="57"/>
        <v>0</v>
      </c>
      <c r="BI53" s="7">
        <f t="shared" si="54"/>
        <v>7458</v>
      </c>
      <c r="BJ53" s="7">
        <f t="shared" si="55"/>
        <v>5462400</v>
      </c>
      <c r="BK53" s="6">
        <f t="shared" si="57"/>
        <v>0</v>
      </c>
      <c r="BL53" s="6">
        <f t="shared" si="57"/>
        <v>0</v>
      </c>
      <c r="BM53" s="6">
        <f t="shared" si="57"/>
        <v>0</v>
      </c>
      <c r="BN53" s="6">
        <f t="shared" si="57"/>
        <v>5462400</v>
      </c>
      <c r="BO53" s="6">
        <f t="shared" si="57"/>
        <v>0</v>
      </c>
      <c r="BP53" s="6">
        <f t="shared" si="57"/>
        <v>0</v>
      </c>
      <c r="BQ53" s="6">
        <f t="shared" si="57"/>
        <v>5462400</v>
      </c>
      <c r="BR53" s="6">
        <f t="shared" si="57"/>
        <v>0</v>
      </c>
      <c r="BS53" s="6">
        <f t="shared" si="57"/>
        <v>0</v>
      </c>
      <c r="BT53" s="6">
        <f t="shared" si="57"/>
        <v>0</v>
      </c>
      <c r="BU53" s="6">
        <f t="shared" si="57"/>
        <v>5462400</v>
      </c>
    </row>
    <row r="54" spans="1:73" x14ac:dyDescent="0.25">
      <c r="A54" s="595"/>
      <c r="B54" s="185" t="s">
        <v>658</v>
      </c>
      <c r="C54" s="186"/>
      <c r="D54" s="186"/>
      <c r="E54" s="8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01"/>
      <c r="R54" s="601"/>
      <c r="S54" s="601"/>
      <c r="T54" s="601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7"/>
      <c r="BJ54" s="439"/>
      <c r="BK54" s="186"/>
      <c r="BM54" s="190">
        <v>0</v>
      </c>
      <c r="BN54" s="190">
        <f>F54</f>
        <v>0</v>
      </c>
      <c r="BO54" s="190">
        <v>0</v>
      </c>
      <c r="BP54" s="190">
        <v>0</v>
      </c>
      <c r="BQ54" s="190">
        <f>BM54+BN54+BO54+BP54</f>
        <v>0</v>
      </c>
      <c r="BR54" s="190">
        <v>0</v>
      </c>
      <c r="BS54" s="190">
        <v>0</v>
      </c>
      <c r="BT54" s="190">
        <f>BR54+BS54</f>
        <v>0</v>
      </c>
      <c r="BU54" s="167">
        <f t="shared" si="2"/>
        <v>0</v>
      </c>
    </row>
    <row r="55" spans="1:73" x14ac:dyDescent="0.25">
      <c r="A55" s="595" t="s">
        <v>751</v>
      </c>
      <c r="B55" s="192" t="s">
        <v>459</v>
      </c>
      <c r="C55" s="186" t="s">
        <v>16</v>
      </c>
      <c r="D55" s="193">
        <v>80000</v>
      </c>
      <c r="E55" s="16">
        <f>BI55</f>
        <v>646</v>
      </c>
      <c r="F55" s="16">
        <f>BJ55</f>
        <v>51680000</v>
      </c>
      <c r="G55" s="6">
        <f>F55*0</f>
        <v>0</v>
      </c>
      <c r="H55" s="6">
        <f>F55*1</f>
        <v>51680000</v>
      </c>
      <c r="I55" s="6"/>
      <c r="J55" s="6"/>
      <c r="K55" s="6"/>
      <c r="L55" s="6"/>
      <c r="M55" s="6"/>
      <c r="N55" s="6"/>
      <c r="O55" s="6"/>
      <c r="P55" s="6"/>
      <c r="Q55" s="601">
        <v>0</v>
      </c>
      <c r="R55" s="601"/>
      <c r="S55" s="601">
        <v>0.75</v>
      </c>
      <c r="T55" s="601">
        <v>0.25</v>
      </c>
      <c r="U55" s="6">
        <f>Q55*F55</f>
        <v>0</v>
      </c>
      <c r="V55" s="6">
        <f>R55*D55</f>
        <v>0</v>
      </c>
      <c r="W55" s="6">
        <f>S55*F55</f>
        <v>38760000</v>
      </c>
      <c r="X55" s="6">
        <f>T55*F55</f>
        <v>12920000</v>
      </c>
      <c r="Y55" s="6">
        <v>50</v>
      </c>
      <c r="Z55" s="6">
        <f t="shared" ref="Z55" si="58">Y55*D55</f>
        <v>4000000</v>
      </c>
      <c r="AA55" s="6">
        <v>20</v>
      </c>
      <c r="AB55" s="6">
        <f t="shared" ref="AB55" si="59">AA55*D55</f>
        <v>1600000</v>
      </c>
      <c r="AC55" s="6">
        <v>50</v>
      </c>
      <c r="AD55" s="6">
        <f t="shared" ref="AD55" si="60">AC55*D55</f>
        <v>4000000</v>
      </c>
      <c r="AE55" s="6">
        <v>70</v>
      </c>
      <c r="AF55" s="6">
        <f t="shared" ref="AF55" si="61">AE55*D55</f>
        <v>5600000</v>
      </c>
      <c r="AG55" s="6">
        <v>10</v>
      </c>
      <c r="AH55" s="6">
        <f t="shared" ref="AH55" si="62">AG55*D55</f>
        <v>800000</v>
      </c>
      <c r="AI55" s="6">
        <v>65</v>
      </c>
      <c r="AJ55" s="6">
        <f t="shared" ref="AJ55" si="63">D55*AI55</f>
        <v>5200000</v>
      </c>
      <c r="AK55" s="6">
        <v>32</v>
      </c>
      <c r="AL55" s="6">
        <f t="shared" ref="AL55" si="64">D55*AK55</f>
        <v>2560000</v>
      </c>
      <c r="AM55" s="6">
        <v>15</v>
      </c>
      <c r="AN55" s="6">
        <f t="shared" ref="AN55" si="65">D55*AM55</f>
        <v>1200000</v>
      </c>
      <c r="AO55" s="6">
        <v>25</v>
      </c>
      <c r="AP55" s="6">
        <f t="shared" ref="AP55" si="66">AO55*D55</f>
        <v>2000000</v>
      </c>
      <c r="AQ55" s="6">
        <v>55</v>
      </c>
      <c r="AR55" s="6">
        <f t="shared" ref="AR55" si="67">AQ55*D55</f>
        <v>4400000</v>
      </c>
      <c r="AS55" s="6">
        <v>35</v>
      </c>
      <c r="AT55" s="6">
        <f t="shared" ref="AT55" si="68">AS55*D55</f>
        <v>2800000</v>
      </c>
      <c r="AU55" s="6">
        <v>50</v>
      </c>
      <c r="AV55" s="6">
        <f t="shared" ref="AV55" si="69">AU55*D55</f>
        <v>4000000</v>
      </c>
      <c r="AW55" s="6">
        <v>25</v>
      </c>
      <c r="AX55" s="6">
        <f t="shared" ref="AX55" si="70">AW55*D55</f>
        <v>2000000</v>
      </c>
      <c r="AY55" s="6">
        <v>35</v>
      </c>
      <c r="AZ55" s="6">
        <f t="shared" ref="AZ55" si="71">AY55*D55</f>
        <v>2800000</v>
      </c>
      <c r="BA55" s="6">
        <v>30</v>
      </c>
      <c r="BB55" s="6">
        <f t="shared" ref="BB55" si="72">D55*BA55</f>
        <v>2400000</v>
      </c>
      <c r="BC55" s="6">
        <v>9</v>
      </c>
      <c r="BD55" s="6">
        <f>BC55*D55</f>
        <v>720000</v>
      </c>
      <c r="BE55" s="6">
        <v>70</v>
      </c>
      <c r="BF55" s="6">
        <f t="shared" ref="BF55" si="73">BE55*D55</f>
        <v>5600000</v>
      </c>
      <c r="BG55" s="6">
        <v>0</v>
      </c>
      <c r="BH55" s="6">
        <f>BG55*D55</f>
        <v>0</v>
      </c>
      <c r="BI55" s="7">
        <f>BG55+BE55+BC55+BA55+AY55+AW55+AU55+AS55+AQ55+AO55+AM55+AK55+AI55+AG55+AE55+AC55+AA55+Y55</f>
        <v>646</v>
      </c>
      <c r="BJ55" s="7">
        <f t="shared" si="55"/>
        <v>51680000</v>
      </c>
      <c r="BK55" s="186" t="s">
        <v>211</v>
      </c>
      <c r="BM55" s="190">
        <v>0</v>
      </c>
      <c r="BN55" s="190"/>
      <c r="BO55" s="190"/>
      <c r="BP55" s="190">
        <f>F55</f>
        <v>51680000</v>
      </c>
      <c r="BQ55" s="190">
        <f>BM55+BN55+BO55+BP55</f>
        <v>51680000</v>
      </c>
      <c r="BR55" s="190"/>
      <c r="BS55" s="190"/>
      <c r="BT55" s="190"/>
      <c r="BU55" s="167">
        <f t="shared" si="2"/>
        <v>51680000</v>
      </c>
    </row>
    <row r="56" spans="1:73" x14ac:dyDescent="0.25">
      <c r="A56" s="595"/>
      <c r="B56" s="185" t="s">
        <v>1005</v>
      </c>
      <c r="C56" s="186" t="s">
        <v>111</v>
      </c>
      <c r="D56" s="193" t="s">
        <v>111</v>
      </c>
      <c r="E56" s="8">
        <f>E55</f>
        <v>646</v>
      </c>
      <c r="F56" s="8">
        <f t="shared" ref="F56:X56" si="74">F55</f>
        <v>51680000</v>
      </c>
      <c r="G56" s="8">
        <f t="shared" si="74"/>
        <v>0</v>
      </c>
      <c r="H56" s="8">
        <f t="shared" si="74"/>
        <v>51680000</v>
      </c>
      <c r="I56" s="8">
        <f t="shared" si="74"/>
        <v>0</v>
      </c>
      <c r="J56" s="8">
        <f t="shared" si="74"/>
        <v>0</v>
      </c>
      <c r="K56" s="8">
        <f t="shared" si="74"/>
        <v>0</v>
      </c>
      <c r="L56" s="8">
        <f t="shared" si="74"/>
        <v>0</v>
      </c>
      <c r="M56" s="8">
        <f t="shared" si="74"/>
        <v>0</v>
      </c>
      <c r="N56" s="8">
        <f t="shared" si="74"/>
        <v>0</v>
      </c>
      <c r="O56" s="8">
        <f t="shared" si="74"/>
        <v>0</v>
      </c>
      <c r="P56" s="8">
        <f t="shared" si="74"/>
        <v>0</v>
      </c>
      <c r="Q56" s="8">
        <f t="shared" si="74"/>
        <v>0</v>
      </c>
      <c r="R56" s="8">
        <f t="shared" si="74"/>
        <v>0</v>
      </c>
      <c r="S56" s="8">
        <f t="shared" si="74"/>
        <v>0.75</v>
      </c>
      <c r="T56" s="8">
        <f t="shared" si="74"/>
        <v>0.25</v>
      </c>
      <c r="U56" s="8">
        <f t="shared" si="74"/>
        <v>0</v>
      </c>
      <c r="V56" s="8">
        <f t="shared" si="74"/>
        <v>0</v>
      </c>
      <c r="W56" s="8">
        <f t="shared" si="74"/>
        <v>38760000</v>
      </c>
      <c r="X56" s="8">
        <f t="shared" si="74"/>
        <v>12920000</v>
      </c>
      <c r="Y56" s="6">
        <v>50</v>
      </c>
      <c r="Z56" s="6">
        <f t="shared" ref="Z56:BU56" si="75">SUM(Z55)</f>
        <v>4000000</v>
      </c>
      <c r="AA56" s="6">
        <v>20</v>
      </c>
      <c r="AB56" s="6">
        <f t="shared" si="75"/>
        <v>1600000</v>
      </c>
      <c r="AC56" s="6">
        <v>50</v>
      </c>
      <c r="AD56" s="6">
        <f t="shared" si="75"/>
        <v>4000000</v>
      </c>
      <c r="AE56" s="6">
        <v>70</v>
      </c>
      <c r="AF56" s="6">
        <f t="shared" si="75"/>
        <v>5600000</v>
      </c>
      <c r="AG56" s="6">
        <f t="shared" si="75"/>
        <v>10</v>
      </c>
      <c r="AH56" s="6">
        <f t="shared" si="75"/>
        <v>800000</v>
      </c>
      <c r="AI56" s="6">
        <v>65</v>
      </c>
      <c r="AJ56" s="6">
        <f t="shared" si="75"/>
        <v>5200000</v>
      </c>
      <c r="AK56" s="6">
        <v>32</v>
      </c>
      <c r="AL56" s="6">
        <f t="shared" si="75"/>
        <v>2560000</v>
      </c>
      <c r="AM56" s="6">
        <f t="shared" si="75"/>
        <v>15</v>
      </c>
      <c r="AN56" s="6">
        <f t="shared" si="75"/>
        <v>1200000</v>
      </c>
      <c r="AO56" s="6">
        <v>25</v>
      </c>
      <c r="AP56" s="6">
        <f t="shared" si="75"/>
        <v>2000000</v>
      </c>
      <c r="AQ56" s="6">
        <v>55</v>
      </c>
      <c r="AR56" s="6">
        <f t="shared" si="75"/>
        <v>4400000</v>
      </c>
      <c r="AS56" s="6">
        <f t="shared" si="75"/>
        <v>35</v>
      </c>
      <c r="AT56" s="6">
        <f t="shared" si="75"/>
        <v>2800000</v>
      </c>
      <c r="AU56" s="6">
        <v>50</v>
      </c>
      <c r="AV56" s="6">
        <f t="shared" si="75"/>
        <v>4000000</v>
      </c>
      <c r="AW56" s="6">
        <v>25</v>
      </c>
      <c r="AX56" s="6">
        <f t="shared" si="75"/>
        <v>2000000</v>
      </c>
      <c r="AY56" s="6">
        <v>35</v>
      </c>
      <c r="AZ56" s="6">
        <f t="shared" si="75"/>
        <v>2800000</v>
      </c>
      <c r="BA56" s="6">
        <v>30</v>
      </c>
      <c r="BB56" s="6">
        <f t="shared" si="75"/>
        <v>2400000</v>
      </c>
      <c r="BC56" s="6">
        <f t="shared" si="75"/>
        <v>9</v>
      </c>
      <c r="BD56" s="6">
        <f t="shared" si="75"/>
        <v>720000</v>
      </c>
      <c r="BE56" s="6">
        <v>70</v>
      </c>
      <c r="BF56" s="6">
        <f t="shared" si="75"/>
        <v>5600000</v>
      </c>
      <c r="BG56" s="6">
        <f t="shared" si="75"/>
        <v>0</v>
      </c>
      <c r="BH56" s="6">
        <f t="shared" si="75"/>
        <v>0</v>
      </c>
      <c r="BI56" s="6">
        <f t="shared" si="75"/>
        <v>646</v>
      </c>
      <c r="BJ56" s="6">
        <f t="shared" si="75"/>
        <v>51680000</v>
      </c>
      <c r="BK56" s="6">
        <f t="shared" si="75"/>
        <v>0</v>
      </c>
      <c r="BL56" s="6">
        <f t="shared" si="75"/>
        <v>0</v>
      </c>
      <c r="BM56" s="6">
        <f t="shared" si="75"/>
        <v>0</v>
      </c>
      <c r="BN56" s="6">
        <f t="shared" si="75"/>
        <v>0</v>
      </c>
      <c r="BO56" s="6">
        <f t="shared" si="75"/>
        <v>0</v>
      </c>
      <c r="BP56" s="6">
        <f t="shared" si="75"/>
        <v>51680000</v>
      </c>
      <c r="BQ56" s="6">
        <f t="shared" si="75"/>
        <v>51680000</v>
      </c>
      <c r="BR56" s="6">
        <f t="shared" si="75"/>
        <v>0</v>
      </c>
      <c r="BS56" s="6">
        <f t="shared" si="75"/>
        <v>0</v>
      </c>
      <c r="BT56" s="6">
        <f t="shared" si="75"/>
        <v>0</v>
      </c>
      <c r="BU56" s="6">
        <f t="shared" si="75"/>
        <v>51680000</v>
      </c>
    </row>
    <row r="57" spans="1:73" x14ac:dyDescent="0.25">
      <c r="A57" s="595"/>
      <c r="B57" s="185" t="s">
        <v>460</v>
      </c>
      <c r="C57" s="186"/>
      <c r="D57" s="186"/>
      <c r="E57" s="8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01"/>
      <c r="R57" s="601"/>
      <c r="S57" s="601"/>
      <c r="T57" s="601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7"/>
      <c r="BJ57" s="439"/>
      <c r="BK57" s="186"/>
      <c r="BM57" s="190">
        <v>0</v>
      </c>
      <c r="BN57" s="190">
        <v>0</v>
      </c>
      <c r="BO57" s="190">
        <v>0</v>
      </c>
      <c r="BP57" s="190">
        <v>0</v>
      </c>
      <c r="BQ57" s="190">
        <f>BM57+BN57+BO57+BP57</f>
        <v>0</v>
      </c>
      <c r="BR57" s="190">
        <v>0</v>
      </c>
      <c r="BS57" s="190">
        <v>0</v>
      </c>
      <c r="BT57" s="190">
        <f>BR57+BS57</f>
        <v>0</v>
      </c>
      <c r="BU57" s="167">
        <f t="shared" si="2"/>
        <v>0</v>
      </c>
    </row>
    <row r="58" spans="1:73" x14ac:dyDescent="0.25">
      <c r="A58" s="595"/>
      <c r="B58" s="185" t="s">
        <v>461</v>
      </c>
      <c r="C58" s="186"/>
      <c r="D58" s="186"/>
      <c r="E58" s="8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01"/>
      <c r="R58" s="601"/>
      <c r="S58" s="601"/>
      <c r="T58" s="601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7"/>
      <c r="BJ58" s="439"/>
      <c r="BK58" s="186"/>
      <c r="BM58" s="190">
        <v>0</v>
      </c>
      <c r="BN58" s="190">
        <v>0</v>
      </c>
      <c r="BO58" s="190">
        <v>0</v>
      </c>
      <c r="BP58" s="190">
        <v>0</v>
      </c>
      <c r="BQ58" s="190">
        <f>BM58+BN58+BO58+BP58</f>
        <v>0</v>
      </c>
      <c r="BR58" s="190">
        <v>0</v>
      </c>
      <c r="BS58" s="190">
        <v>0</v>
      </c>
      <c r="BT58" s="190">
        <f>BR58+BS58</f>
        <v>0</v>
      </c>
      <c r="BU58" s="167">
        <f t="shared" si="2"/>
        <v>0</v>
      </c>
    </row>
    <row r="59" spans="1:73" x14ac:dyDescent="0.25">
      <c r="A59" s="595" t="s">
        <v>752</v>
      </c>
      <c r="B59" s="192" t="s">
        <v>462</v>
      </c>
      <c r="C59" s="186" t="s">
        <v>16</v>
      </c>
      <c r="D59" s="193" t="s">
        <v>472</v>
      </c>
      <c r="E59" s="8">
        <f>BI59</f>
        <v>0</v>
      </c>
      <c r="F59" s="8">
        <f>BJ59</f>
        <v>0</v>
      </c>
      <c r="G59" s="6">
        <f>F59*0.2</f>
        <v>0</v>
      </c>
      <c r="H59" s="6">
        <f>F59*0.8</f>
        <v>0</v>
      </c>
      <c r="I59" s="6"/>
      <c r="J59" s="6"/>
      <c r="K59" s="6"/>
      <c r="L59" s="6"/>
      <c r="M59" s="6"/>
      <c r="N59" s="6"/>
      <c r="O59" s="6"/>
      <c r="P59" s="6"/>
      <c r="Q59" s="601">
        <f>E59*0.25</f>
        <v>0</v>
      </c>
      <c r="R59" s="601">
        <f>E59*0.25</f>
        <v>0</v>
      </c>
      <c r="S59" s="601">
        <f>E59*0.25</f>
        <v>0</v>
      </c>
      <c r="T59" s="601">
        <f>E59*0.25</f>
        <v>0</v>
      </c>
      <c r="U59" s="6">
        <f>Q59*D59</f>
        <v>0</v>
      </c>
      <c r="V59" s="6">
        <f>R59*D59</f>
        <v>0</v>
      </c>
      <c r="W59" s="6">
        <f>S59*D59</f>
        <v>0</v>
      </c>
      <c r="X59" s="6">
        <f>T59*D59</f>
        <v>0</v>
      </c>
      <c r="Y59" s="6">
        <v>0</v>
      </c>
      <c r="Z59" s="6">
        <f>Y59*D59</f>
        <v>0</v>
      </c>
      <c r="AA59" s="6">
        <v>0</v>
      </c>
      <c r="AB59" s="6">
        <f>AA59*D59</f>
        <v>0</v>
      </c>
      <c r="AC59" s="6">
        <v>0</v>
      </c>
      <c r="AD59" s="6">
        <f>AC59*D59</f>
        <v>0</v>
      </c>
      <c r="AE59" s="6">
        <v>0</v>
      </c>
      <c r="AF59" s="6">
        <f>AE59*D59</f>
        <v>0</v>
      </c>
      <c r="AG59" s="6">
        <v>0</v>
      </c>
      <c r="AH59" s="6">
        <f>AG59*D59</f>
        <v>0</v>
      </c>
      <c r="AI59" s="6">
        <v>0</v>
      </c>
      <c r="AJ59" s="6">
        <f>D59*AI59</f>
        <v>0</v>
      </c>
      <c r="AK59" s="6">
        <v>0</v>
      </c>
      <c r="AL59" s="6">
        <f>D59*AK59</f>
        <v>0</v>
      </c>
      <c r="AM59" s="6">
        <v>0</v>
      </c>
      <c r="AN59" s="6">
        <f>D59*AM59</f>
        <v>0</v>
      </c>
      <c r="AO59" s="6">
        <v>0</v>
      </c>
      <c r="AP59" s="6">
        <f>AO59*D59</f>
        <v>0</v>
      </c>
      <c r="AQ59" s="6">
        <v>0</v>
      </c>
      <c r="AR59" s="6">
        <f t="shared" ref="AR59:AR61" si="76">AQ59*D59</f>
        <v>0</v>
      </c>
      <c r="AS59" s="6">
        <v>0</v>
      </c>
      <c r="AT59" s="6">
        <f>AS59*D59</f>
        <v>0</v>
      </c>
      <c r="AU59" s="6">
        <v>0</v>
      </c>
      <c r="AV59" s="6">
        <f>AU59*D59</f>
        <v>0</v>
      </c>
      <c r="AW59" s="6">
        <v>0</v>
      </c>
      <c r="AX59" s="6">
        <f>AW59*D59</f>
        <v>0</v>
      </c>
      <c r="AY59" s="6">
        <v>0</v>
      </c>
      <c r="AZ59" s="6">
        <f>AY59*D59</f>
        <v>0</v>
      </c>
      <c r="BA59" s="6">
        <v>0</v>
      </c>
      <c r="BB59" s="6">
        <f>D59*BA59</f>
        <v>0</v>
      </c>
      <c r="BC59" s="6">
        <v>0</v>
      </c>
      <c r="BD59" s="6">
        <f>BC59*D59</f>
        <v>0</v>
      </c>
      <c r="BE59" s="6">
        <v>0</v>
      </c>
      <c r="BF59" s="6">
        <f>BE59*D59</f>
        <v>0</v>
      </c>
      <c r="BG59" s="6"/>
      <c r="BH59" s="6">
        <f>BG59*D59</f>
        <v>0</v>
      </c>
      <c r="BI59" s="7">
        <f t="shared" ref="BI59:BJ61" si="77">BG59+BE59+BC59+BA59+AY59+AW59+AU59+AS59+AQ59+AO59+AM59+AK59+AI59+AG59+AE59+AC59+AA59+Y59</f>
        <v>0</v>
      </c>
      <c r="BJ59" s="7">
        <f t="shared" si="77"/>
        <v>0</v>
      </c>
      <c r="BK59" s="186" t="s">
        <v>210</v>
      </c>
      <c r="BM59" s="190">
        <v>0</v>
      </c>
      <c r="BN59" s="190">
        <v>0</v>
      </c>
      <c r="BO59" s="190">
        <f>F59</f>
        <v>0</v>
      </c>
      <c r="BP59" s="190">
        <v>0</v>
      </c>
      <c r="BQ59" s="190">
        <f>BM59+BN59+BO59+BP59</f>
        <v>0</v>
      </c>
      <c r="BR59" s="190">
        <v>0</v>
      </c>
      <c r="BS59" s="190">
        <v>0</v>
      </c>
      <c r="BT59" s="190">
        <f>BR59+BS59</f>
        <v>0</v>
      </c>
      <c r="BU59" s="167">
        <f t="shared" si="2"/>
        <v>0</v>
      </c>
    </row>
    <row r="60" spans="1:73" x14ac:dyDescent="0.25">
      <c r="A60" s="595" t="s">
        <v>753</v>
      </c>
      <c r="B60" s="192" t="s">
        <v>463</v>
      </c>
      <c r="C60" s="186" t="s">
        <v>69</v>
      </c>
      <c r="D60" s="193" t="s">
        <v>473</v>
      </c>
      <c r="E60" s="8">
        <f>BI60</f>
        <v>0</v>
      </c>
      <c r="F60" s="8">
        <f t="shared" ref="F60:F61" si="78">BJ60</f>
        <v>0</v>
      </c>
      <c r="G60" s="6">
        <f>F60*0.2</f>
        <v>0</v>
      </c>
      <c r="H60" s="6">
        <f>F60*0.8</f>
        <v>0</v>
      </c>
      <c r="I60" s="6"/>
      <c r="J60" s="6"/>
      <c r="K60" s="6"/>
      <c r="L60" s="6"/>
      <c r="M60" s="6"/>
      <c r="N60" s="6"/>
      <c r="O60" s="6"/>
      <c r="P60" s="6"/>
      <c r="Q60" s="601">
        <f>E60*0.25</f>
        <v>0</v>
      </c>
      <c r="R60" s="601">
        <f>E60*0.25</f>
        <v>0</v>
      </c>
      <c r="S60" s="601">
        <f>E60*0.25</f>
        <v>0</v>
      </c>
      <c r="T60" s="601">
        <f>E60*0.25</f>
        <v>0</v>
      </c>
      <c r="U60" s="6">
        <f>Q60*D60</f>
        <v>0</v>
      </c>
      <c r="V60" s="6">
        <f>R60*D60</f>
        <v>0</v>
      </c>
      <c r="W60" s="6">
        <f>S60*D60</f>
        <v>0</v>
      </c>
      <c r="X60" s="6">
        <f>T60*D60</f>
        <v>0</v>
      </c>
      <c r="Y60" s="6">
        <v>0</v>
      </c>
      <c r="Z60" s="6">
        <f>Y60*D60</f>
        <v>0</v>
      </c>
      <c r="AA60" s="6">
        <v>0</v>
      </c>
      <c r="AB60" s="6">
        <f>AA60*D60</f>
        <v>0</v>
      </c>
      <c r="AC60" s="6">
        <v>0</v>
      </c>
      <c r="AD60" s="6">
        <f>AC60*D60</f>
        <v>0</v>
      </c>
      <c r="AE60" s="6">
        <v>0</v>
      </c>
      <c r="AF60" s="6">
        <f>AE60*D60</f>
        <v>0</v>
      </c>
      <c r="AG60" s="6">
        <v>0</v>
      </c>
      <c r="AH60" s="6">
        <f>AG60*D60</f>
        <v>0</v>
      </c>
      <c r="AI60" s="6">
        <v>0</v>
      </c>
      <c r="AJ60" s="6">
        <f>D60*AI60</f>
        <v>0</v>
      </c>
      <c r="AK60" s="6">
        <v>0</v>
      </c>
      <c r="AL60" s="6">
        <f>D60*AK60</f>
        <v>0</v>
      </c>
      <c r="AM60" s="6">
        <v>0</v>
      </c>
      <c r="AN60" s="6">
        <f>D60*AM60</f>
        <v>0</v>
      </c>
      <c r="AO60" s="6">
        <v>0</v>
      </c>
      <c r="AP60" s="6">
        <f>AO60*D60</f>
        <v>0</v>
      </c>
      <c r="AQ60" s="6">
        <v>0</v>
      </c>
      <c r="AR60" s="6">
        <f t="shared" si="76"/>
        <v>0</v>
      </c>
      <c r="AS60" s="6">
        <v>0</v>
      </c>
      <c r="AT60" s="6">
        <f>AS60*D60</f>
        <v>0</v>
      </c>
      <c r="AU60" s="6">
        <v>0</v>
      </c>
      <c r="AV60" s="6">
        <f>AU60*D60</f>
        <v>0</v>
      </c>
      <c r="AW60" s="6">
        <v>0</v>
      </c>
      <c r="AX60" s="6">
        <f>AW60*D60</f>
        <v>0</v>
      </c>
      <c r="AY60" s="6">
        <v>0</v>
      </c>
      <c r="AZ60" s="6">
        <f>AY60*D60</f>
        <v>0</v>
      </c>
      <c r="BA60" s="6">
        <v>0</v>
      </c>
      <c r="BB60" s="6">
        <f>D60*BA60</f>
        <v>0</v>
      </c>
      <c r="BC60" s="6">
        <v>0</v>
      </c>
      <c r="BD60" s="6">
        <f>BC60*D60</f>
        <v>0</v>
      </c>
      <c r="BE60" s="6">
        <v>0</v>
      </c>
      <c r="BF60" s="6">
        <f>BE60*D60</f>
        <v>0</v>
      </c>
      <c r="BG60" s="6"/>
      <c r="BH60" s="6">
        <f>BG60*D60</f>
        <v>0</v>
      </c>
      <c r="BI60" s="7">
        <f t="shared" si="77"/>
        <v>0</v>
      </c>
      <c r="BJ60" s="7">
        <f t="shared" si="77"/>
        <v>0</v>
      </c>
      <c r="BK60" s="186" t="s">
        <v>210</v>
      </c>
      <c r="BM60" s="190">
        <v>0</v>
      </c>
      <c r="BN60" s="190">
        <v>0</v>
      </c>
      <c r="BO60" s="190">
        <f>F60</f>
        <v>0</v>
      </c>
      <c r="BP60" s="190">
        <v>0</v>
      </c>
      <c r="BQ60" s="190">
        <f>BM60+BN60+BO60+BP60</f>
        <v>0</v>
      </c>
      <c r="BR60" s="190">
        <v>0</v>
      </c>
      <c r="BS60" s="190">
        <v>0</v>
      </c>
      <c r="BT60" s="190">
        <f>BR60+BS60</f>
        <v>0</v>
      </c>
      <c r="BU60" s="167">
        <f t="shared" si="2"/>
        <v>0</v>
      </c>
    </row>
    <row r="61" spans="1:73" x14ac:dyDescent="0.25">
      <c r="A61" s="595" t="s">
        <v>754</v>
      </c>
      <c r="B61" s="192" t="s">
        <v>464</v>
      </c>
      <c r="C61" s="186" t="s">
        <v>69</v>
      </c>
      <c r="D61" s="193" t="s">
        <v>470</v>
      </c>
      <c r="E61" s="8">
        <f>BI61</f>
        <v>0</v>
      </c>
      <c r="F61" s="8">
        <f t="shared" si="78"/>
        <v>0</v>
      </c>
      <c r="G61" s="6">
        <f>F61*0.2</f>
        <v>0</v>
      </c>
      <c r="H61" s="6">
        <f>F61*0.8</f>
        <v>0</v>
      </c>
      <c r="I61" s="6"/>
      <c r="J61" s="6"/>
      <c r="K61" s="6"/>
      <c r="L61" s="6"/>
      <c r="M61" s="6"/>
      <c r="N61" s="6"/>
      <c r="O61" s="6"/>
      <c r="P61" s="6"/>
      <c r="Q61" s="601">
        <f>E61*0.25</f>
        <v>0</v>
      </c>
      <c r="R61" s="601">
        <f>E61*0.25</f>
        <v>0</v>
      </c>
      <c r="S61" s="601">
        <f>E61*0.25</f>
        <v>0</v>
      </c>
      <c r="T61" s="601">
        <f>E61*0.25</f>
        <v>0</v>
      </c>
      <c r="U61" s="6">
        <f>Q61*D61</f>
        <v>0</v>
      </c>
      <c r="V61" s="6">
        <f>R61*D61</f>
        <v>0</v>
      </c>
      <c r="W61" s="6">
        <f>S61*D61</f>
        <v>0</v>
      </c>
      <c r="X61" s="6">
        <f>T61*D61</f>
        <v>0</v>
      </c>
      <c r="Y61" s="6">
        <v>0</v>
      </c>
      <c r="Z61" s="6">
        <f>Y61*D61</f>
        <v>0</v>
      </c>
      <c r="AA61" s="6">
        <v>0</v>
      </c>
      <c r="AB61" s="6">
        <f>AA61*D61</f>
        <v>0</v>
      </c>
      <c r="AC61" s="6">
        <v>0</v>
      </c>
      <c r="AD61" s="6">
        <f>AC61*D61</f>
        <v>0</v>
      </c>
      <c r="AE61" s="6">
        <v>0</v>
      </c>
      <c r="AF61" s="6">
        <f>AE61*D61</f>
        <v>0</v>
      </c>
      <c r="AG61" s="6">
        <v>0</v>
      </c>
      <c r="AH61" s="6">
        <f>AG61*D61</f>
        <v>0</v>
      </c>
      <c r="AI61" s="6">
        <v>0</v>
      </c>
      <c r="AJ61" s="6">
        <f>D61*AI61</f>
        <v>0</v>
      </c>
      <c r="AK61" s="6">
        <v>0</v>
      </c>
      <c r="AL61" s="6">
        <f>D61*AK61</f>
        <v>0</v>
      </c>
      <c r="AM61" s="6">
        <v>0</v>
      </c>
      <c r="AN61" s="6">
        <f>D61*AM61</f>
        <v>0</v>
      </c>
      <c r="AO61" s="6">
        <v>0</v>
      </c>
      <c r="AP61" s="6">
        <f>AO61*D61</f>
        <v>0</v>
      </c>
      <c r="AQ61" s="6">
        <v>0</v>
      </c>
      <c r="AR61" s="6">
        <f t="shared" si="76"/>
        <v>0</v>
      </c>
      <c r="AS61" s="6">
        <v>0</v>
      </c>
      <c r="AT61" s="6">
        <f>AS61*D61</f>
        <v>0</v>
      </c>
      <c r="AU61" s="6">
        <v>0</v>
      </c>
      <c r="AV61" s="6">
        <f>AU61*D61</f>
        <v>0</v>
      </c>
      <c r="AW61" s="6">
        <v>0</v>
      </c>
      <c r="AX61" s="6">
        <f>AW61*D61</f>
        <v>0</v>
      </c>
      <c r="AY61" s="6">
        <v>0</v>
      </c>
      <c r="AZ61" s="6">
        <f>AY61*D61</f>
        <v>0</v>
      </c>
      <c r="BA61" s="6">
        <v>0</v>
      </c>
      <c r="BB61" s="6">
        <f>D61*BA61</f>
        <v>0</v>
      </c>
      <c r="BC61" s="6">
        <v>0</v>
      </c>
      <c r="BD61" s="6">
        <f>BC61*D61</f>
        <v>0</v>
      </c>
      <c r="BE61" s="6">
        <v>0</v>
      </c>
      <c r="BF61" s="6">
        <f>BE61*D61</f>
        <v>0</v>
      </c>
      <c r="BG61" s="6"/>
      <c r="BH61" s="6">
        <f>BG61*D61</f>
        <v>0</v>
      </c>
      <c r="BI61" s="7">
        <f t="shared" si="77"/>
        <v>0</v>
      </c>
      <c r="BJ61" s="7">
        <f t="shared" si="77"/>
        <v>0</v>
      </c>
      <c r="BK61" s="186" t="s">
        <v>210</v>
      </c>
      <c r="BM61" s="190">
        <v>0</v>
      </c>
      <c r="BN61" s="190">
        <v>0</v>
      </c>
      <c r="BO61" s="190">
        <f>F61</f>
        <v>0</v>
      </c>
      <c r="BP61" s="190">
        <v>0</v>
      </c>
      <c r="BQ61" s="190">
        <f>BM61+BN61+BO61+BP61</f>
        <v>0</v>
      </c>
      <c r="BR61" s="190">
        <v>0</v>
      </c>
      <c r="BS61" s="190">
        <v>0</v>
      </c>
      <c r="BT61" s="190">
        <f>BR61+BS61</f>
        <v>0</v>
      </c>
      <c r="BU61" s="167">
        <f t="shared" si="2"/>
        <v>0</v>
      </c>
    </row>
    <row r="62" spans="1:73" x14ac:dyDescent="0.25">
      <c r="A62" s="595"/>
      <c r="B62" s="185" t="s">
        <v>465</v>
      </c>
      <c r="C62" s="186" t="s">
        <v>111</v>
      </c>
      <c r="D62" s="193" t="s">
        <v>111</v>
      </c>
      <c r="E62" s="8">
        <f>SUM(E59:E61)</f>
        <v>0</v>
      </c>
      <c r="F62" s="8">
        <f t="shared" ref="F62:X62" si="79">SUM(F59:F61)</f>
        <v>0</v>
      </c>
      <c r="G62" s="8">
        <f t="shared" si="79"/>
        <v>0</v>
      </c>
      <c r="H62" s="8">
        <f t="shared" si="79"/>
        <v>0</v>
      </c>
      <c r="I62" s="8">
        <f t="shared" si="79"/>
        <v>0</v>
      </c>
      <c r="J62" s="8">
        <f t="shared" si="79"/>
        <v>0</v>
      </c>
      <c r="K62" s="8">
        <f t="shared" si="79"/>
        <v>0</v>
      </c>
      <c r="L62" s="8">
        <f t="shared" si="79"/>
        <v>0</v>
      </c>
      <c r="M62" s="8">
        <f t="shared" si="79"/>
        <v>0</v>
      </c>
      <c r="N62" s="8">
        <f t="shared" si="79"/>
        <v>0</v>
      </c>
      <c r="O62" s="8">
        <f t="shared" si="79"/>
        <v>0</v>
      </c>
      <c r="P62" s="8">
        <f t="shared" si="79"/>
        <v>0</v>
      </c>
      <c r="Q62" s="8">
        <f t="shared" si="79"/>
        <v>0</v>
      </c>
      <c r="R62" s="8">
        <f t="shared" si="79"/>
        <v>0</v>
      </c>
      <c r="S62" s="8">
        <f t="shared" si="79"/>
        <v>0</v>
      </c>
      <c r="T62" s="8">
        <f t="shared" si="79"/>
        <v>0</v>
      </c>
      <c r="U62" s="8">
        <f t="shared" si="79"/>
        <v>0</v>
      </c>
      <c r="V62" s="8">
        <f t="shared" si="79"/>
        <v>0</v>
      </c>
      <c r="W62" s="8">
        <f t="shared" si="79"/>
        <v>0</v>
      </c>
      <c r="X62" s="8">
        <f t="shared" si="79"/>
        <v>0</v>
      </c>
      <c r="Y62" s="6">
        <f>SUM(Y59:Y61)</f>
        <v>0</v>
      </c>
      <c r="Z62" s="6">
        <f t="shared" ref="Z62:BU62" si="80">SUM(Z59:Z61)</f>
        <v>0</v>
      </c>
      <c r="AA62" s="6">
        <f t="shared" si="80"/>
        <v>0</v>
      </c>
      <c r="AB62" s="6">
        <f t="shared" si="80"/>
        <v>0</v>
      </c>
      <c r="AC62" s="6">
        <f t="shared" si="80"/>
        <v>0</v>
      </c>
      <c r="AD62" s="6">
        <f t="shared" si="80"/>
        <v>0</v>
      </c>
      <c r="AE62" s="6">
        <f t="shared" si="80"/>
        <v>0</v>
      </c>
      <c r="AF62" s="6">
        <f t="shared" si="80"/>
        <v>0</v>
      </c>
      <c r="AG62" s="6">
        <f t="shared" si="80"/>
        <v>0</v>
      </c>
      <c r="AH62" s="6">
        <f t="shared" si="80"/>
        <v>0</v>
      </c>
      <c r="AI62" s="6">
        <f t="shared" si="80"/>
        <v>0</v>
      </c>
      <c r="AJ62" s="6">
        <f t="shared" si="80"/>
        <v>0</v>
      </c>
      <c r="AK62" s="6">
        <f t="shared" si="80"/>
        <v>0</v>
      </c>
      <c r="AL62" s="6">
        <f t="shared" si="80"/>
        <v>0</v>
      </c>
      <c r="AM62" s="6">
        <f t="shared" si="80"/>
        <v>0</v>
      </c>
      <c r="AN62" s="6">
        <f t="shared" si="80"/>
        <v>0</v>
      </c>
      <c r="AO62" s="6">
        <f t="shared" si="80"/>
        <v>0</v>
      </c>
      <c r="AP62" s="6">
        <f t="shared" si="80"/>
        <v>0</v>
      </c>
      <c r="AQ62" s="6">
        <f t="shared" si="80"/>
        <v>0</v>
      </c>
      <c r="AR62" s="6">
        <f t="shared" si="80"/>
        <v>0</v>
      </c>
      <c r="AS62" s="6">
        <f t="shared" si="80"/>
        <v>0</v>
      </c>
      <c r="AT62" s="6">
        <f t="shared" si="80"/>
        <v>0</v>
      </c>
      <c r="AU62" s="6">
        <f t="shared" si="80"/>
        <v>0</v>
      </c>
      <c r="AV62" s="6">
        <f t="shared" si="80"/>
        <v>0</v>
      </c>
      <c r="AW62" s="6">
        <f t="shared" si="80"/>
        <v>0</v>
      </c>
      <c r="AX62" s="6">
        <f t="shared" si="80"/>
        <v>0</v>
      </c>
      <c r="AY62" s="6">
        <f t="shared" si="80"/>
        <v>0</v>
      </c>
      <c r="AZ62" s="6">
        <f t="shared" si="80"/>
        <v>0</v>
      </c>
      <c r="BA62" s="6">
        <f t="shared" si="80"/>
        <v>0</v>
      </c>
      <c r="BB62" s="6">
        <f t="shared" si="80"/>
        <v>0</v>
      </c>
      <c r="BC62" s="6">
        <f t="shared" si="80"/>
        <v>0</v>
      </c>
      <c r="BD62" s="6">
        <f t="shared" si="80"/>
        <v>0</v>
      </c>
      <c r="BE62" s="6">
        <f t="shared" si="80"/>
        <v>0</v>
      </c>
      <c r="BF62" s="6">
        <f t="shared" si="80"/>
        <v>0</v>
      </c>
      <c r="BG62" s="6">
        <f t="shared" si="80"/>
        <v>0</v>
      </c>
      <c r="BH62" s="6">
        <f t="shared" si="80"/>
        <v>0</v>
      </c>
      <c r="BI62" s="6">
        <f t="shared" si="80"/>
        <v>0</v>
      </c>
      <c r="BJ62" s="6">
        <f t="shared" si="80"/>
        <v>0</v>
      </c>
      <c r="BK62" s="6">
        <f t="shared" si="80"/>
        <v>0</v>
      </c>
      <c r="BL62" s="6">
        <f t="shared" si="80"/>
        <v>0</v>
      </c>
      <c r="BM62" s="6">
        <f t="shared" si="80"/>
        <v>0</v>
      </c>
      <c r="BN62" s="6">
        <f t="shared" si="80"/>
        <v>0</v>
      </c>
      <c r="BO62" s="6">
        <f t="shared" si="80"/>
        <v>0</v>
      </c>
      <c r="BP62" s="6">
        <f t="shared" si="80"/>
        <v>0</v>
      </c>
      <c r="BQ62" s="6">
        <f t="shared" si="80"/>
        <v>0</v>
      </c>
      <c r="BR62" s="6">
        <f t="shared" si="80"/>
        <v>0</v>
      </c>
      <c r="BS62" s="6">
        <f t="shared" si="80"/>
        <v>0</v>
      </c>
      <c r="BT62" s="6">
        <f t="shared" si="80"/>
        <v>0</v>
      </c>
      <c r="BU62" s="6">
        <f t="shared" si="80"/>
        <v>0</v>
      </c>
    </row>
    <row r="63" spans="1:73" x14ac:dyDescent="0.25">
      <c r="A63" s="595"/>
      <c r="B63" s="185" t="s">
        <v>466</v>
      </c>
      <c r="C63" s="186"/>
      <c r="D63" s="186"/>
      <c r="E63" s="8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600"/>
      <c r="R63" s="600"/>
      <c r="S63" s="600"/>
      <c r="T63" s="600"/>
      <c r="U63" s="11"/>
      <c r="V63" s="11"/>
      <c r="W63" s="11"/>
      <c r="X63" s="11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7"/>
      <c r="BJ63" s="439"/>
      <c r="BK63" s="186"/>
      <c r="BM63" s="11"/>
      <c r="BN63" s="11"/>
      <c r="BO63" s="11"/>
      <c r="BP63" s="11"/>
      <c r="BQ63" s="11"/>
      <c r="BR63" s="11"/>
      <c r="BS63" s="11"/>
      <c r="BT63" s="11"/>
      <c r="BU63" s="468"/>
    </row>
    <row r="64" spans="1:73" s="180" customFormat="1" x14ac:dyDescent="0.25">
      <c r="A64" s="595" t="s">
        <v>755</v>
      </c>
      <c r="B64" s="192" t="s">
        <v>72</v>
      </c>
      <c r="C64" s="186" t="s">
        <v>70</v>
      </c>
      <c r="D64" s="193">
        <v>20000</v>
      </c>
      <c r="E64" s="16">
        <f>BI64</f>
        <v>295</v>
      </c>
      <c r="F64" s="603">
        <f>BJ64</f>
        <v>5800000</v>
      </c>
      <c r="G64" s="6">
        <f>F64*0.2</f>
        <v>1160000</v>
      </c>
      <c r="H64" s="6">
        <f>F64*0.8</f>
        <v>4640000</v>
      </c>
      <c r="I64" s="11"/>
      <c r="J64" s="11"/>
      <c r="K64" s="11"/>
      <c r="L64" s="11"/>
      <c r="M64" s="11"/>
      <c r="N64" s="11"/>
      <c r="O64" s="11"/>
      <c r="P64" s="11"/>
      <c r="Q64" s="601">
        <f>E64*0.25</f>
        <v>73.75</v>
      </c>
      <c r="R64" s="601">
        <f>E64*0.25</f>
        <v>73.75</v>
      </c>
      <c r="S64" s="601">
        <f>E64*0.25</f>
        <v>73.75</v>
      </c>
      <c r="T64" s="601">
        <f>E64*0.25</f>
        <v>73.75</v>
      </c>
      <c r="U64" s="11">
        <f>Q64*D64</f>
        <v>1475000</v>
      </c>
      <c r="V64" s="11">
        <f>R64*D64</f>
        <v>1475000</v>
      </c>
      <c r="W64" s="11">
        <f>S64*D64</f>
        <v>1475000</v>
      </c>
      <c r="X64" s="11">
        <f>T64*D64</f>
        <v>1475000</v>
      </c>
      <c r="Y64" s="6">
        <v>30</v>
      </c>
      <c r="Z64" s="6">
        <f>Y64*D64</f>
        <v>600000</v>
      </c>
      <c r="AA64" s="6">
        <v>10</v>
      </c>
      <c r="AB64" s="6">
        <f>AA64*D64</f>
        <v>200000</v>
      </c>
      <c r="AC64" s="6">
        <v>20</v>
      </c>
      <c r="AD64" s="6">
        <f>AC64*D64</f>
        <v>400000</v>
      </c>
      <c r="AE64" s="6">
        <v>20</v>
      </c>
      <c r="AF64" s="6">
        <f>AE64*D64</f>
        <v>400000</v>
      </c>
      <c r="AG64" s="6">
        <v>10</v>
      </c>
      <c r="AH64" s="6">
        <f>AG64*D64</f>
        <v>200000</v>
      </c>
      <c r="AI64" s="6">
        <v>15</v>
      </c>
      <c r="AJ64" s="6">
        <f>D64*AI64</f>
        <v>300000</v>
      </c>
      <c r="AK64" s="6">
        <v>12</v>
      </c>
      <c r="AL64" s="6">
        <f>D64*AK64</f>
        <v>240000</v>
      </c>
      <c r="AM64" s="6">
        <v>12</v>
      </c>
      <c r="AN64" s="6">
        <f>D64*AM64</f>
        <v>240000</v>
      </c>
      <c r="AO64" s="6">
        <v>20</v>
      </c>
      <c r="AP64" s="6">
        <f>AO64*D64</f>
        <v>400000</v>
      </c>
      <c r="AQ64" s="6">
        <v>25</v>
      </c>
      <c r="AR64" s="6">
        <v>400000</v>
      </c>
      <c r="AS64" s="6">
        <v>31</v>
      </c>
      <c r="AT64" s="6">
        <f>AS64*D64</f>
        <v>620000</v>
      </c>
      <c r="AU64" s="6">
        <v>20</v>
      </c>
      <c r="AV64" s="6">
        <f>AU64*D64</f>
        <v>400000</v>
      </c>
      <c r="AW64" s="6">
        <v>15</v>
      </c>
      <c r="AX64" s="6">
        <f>AW64*D64</f>
        <v>300000</v>
      </c>
      <c r="AY64" s="6">
        <v>15</v>
      </c>
      <c r="AZ64" s="6">
        <f>AY64*D64</f>
        <v>300000</v>
      </c>
      <c r="BA64" s="6">
        <v>5</v>
      </c>
      <c r="BB64" s="6">
        <f>D64*BA64</f>
        <v>100000</v>
      </c>
      <c r="BC64" s="6">
        <v>20</v>
      </c>
      <c r="BD64" s="6">
        <f>BC64*D64</f>
        <v>400000</v>
      </c>
      <c r="BE64" s="6">
        <v>15</v>
      </c>
      <c r="BF64" s="6">
        <f>BE64*D64</f>
        <v>300000</v>
      </c>
      <c r="BG64" s="6">
        <v>0</v>
      </c>
      <c r="BH64" s="6">
        <f>BG64*D64</f>
        <v>0</v>
      </c>
      <c r="BI64" s="7">
        <f>BG64+BE64+BC64+BA64+AY64+AW64+AU64+AS64+AQ64+AO64+AM64+AK64+AI64+AG64+AE64+AC64+AA64+Y64</f>
        <v>295</v>
      </c>
      <c r="BJ64" s="7">
        <f>BH64+BF64+BD64+BB64+AZ64+AX64+AV64+AT64+AR64+AP64+AN64+AL64+AJ64+AH64+AF64+AD64+AB64+Z64</f>
        <v>5800000</v>
      </c>
      <c r="BK64" s="186" t="s">
        <v>210</v>
      </c>
      <c r="BL64" s="604"/>
      <c r="BM64" s="11">
        <f>BM63+BM52+BM44</f>
        <v>0</v>
      </c>
      <c r="BN64" s="190">
        <f>BJ64</f>
        <v>5800000</v>
      </c>
      <c r="BO64" s="190"/>
      <c r="BP64" s="190"/>
      <c r="BQ64" s="190">
        <f>BM64+BN64+BO64+BP64</f>
        <v>5800000</v>
      </c>
      <c r="BR64" s="190"/>
      <c r="BS64" s="190"/>
      <c r="BT64" s="190"/>
      <c r="BU64" s="167">
        <f>BQ64+BT64</f>
        <v>5800000</v>
      </c>
    </row>
    <row r="65" spans="1:73" s="180" customFormat="1" x14ac:dyDescent="0.25">
      <c r="A65" s="498"/>
      <c r="B65" s="185" t="s">
        <v>504</v>
      </c>
      <c r="C65" s="186"/>
      <c r="D65" s="193"/>
      <c r="E65" s="16"/>
      <c r="F65" s="11">
        <f>F64</f>
        <v>5800000</v>
      </c>
      <c r="G65" s="11">
        <f t="shared" ref="G65:BI65" si="81">G64</f>
        <v>1160000</v>
      </c>
      <c r="H65" s="11">
        <f t="shared" si="81"/>
        <v>4640000</v>
      </c>
      <c r="I65" s="11">
        <f t="shared" si="81"/>
        <v>0</v>
      </c>
      <c r="J65" s="11">
        <f t="shared" si="81"/>
        <v>0</v>
      </c>
      <c r="K65" s="11">
        <f t="shared" si="81"/>
        <v>0</v>
      </c>
      <c r="L65" s="11">
        <f t="shared" si="81"/>
        <v>0</v>
      </c>
      <c r="M65" s="11">
        <f t="shared" si="81"/>
        <v>0</v>
      </c>
      <c r="N65" s="11">
        <f t="shared" si="81"/>
        <v>0</v>
      </c>
      <c r="O65" s="11">
        <f t="shared" si="81"/>
        <v>0</v>
      </c>
      <c r="P65" s="11">
        <f t="shared" si="81"/>
        <v>0</v>
      </c>
      <c r="Q65" s="11">
        <f t="shared" si="81"/>
        <v>73.75</v>
      </c>
      <c r="R65" s="11">
        <f t="shared" si="81"/>
        <v>73.75</v>
      </c>
      <c r="S65" s="11">
        <f t="shared" si="81"/>
        <v>73.75</v>
      </c>
      <c r="T65" s="11">
        <f t="shared" si="81"/>
        <v>73.75</v>
      </c>
      <c r="U65" s="11">
        <f t="shared" si="81"/>
        <v>1475000</v>
      </c>
      <c r="V65" s="11">
        <f t="shared" si="81"/>
        <v>1475000</v>
      </c>
      <c r="W65" s="11">
        <f t="shared" si="81"/>
        <v>1475000</v>
      </c>
      <c r="X65" s="11">
        <f t="shared" si="81"/>
        <v>1475000</v>
      </c>
      <c r="Y65" s="11">
        <f t="shared" si="81"/>
        <v>30</v>
      </c>
      <c r="Z65" s="11">
        <f t="shared" si="81"/>
        <v>600000</v>
      </c>
      <c r="AA65" s="11">
        <f t="shared" si="81"/>
        <v>10</v>
      </c>
      <c r="AB65" s="11">
        <f t="shared" si="81"/>
        <v>200000</v>
      </c>
      <c r="AC65" s="11">
        <f t="shared" si="81"/>
        <v>20</v>
      </c>
      <c r="AD65" s="11">
        <f t="shared" si="81"/>
        <v>400000</v>
      </c>
      <c r="AE65" s="11">
        <f t="shared" si="81"/>
        <v>20</v>
      </c>
      <c r="AF65" s="11">
        <f t="shared" si="81"/>
        <v>400000</v>
      </c>
      <c r="AG65" s="11">
        <f t="shared" si="81"/>
        <v>10</v>
      </c>
      <c r="AH65" s="11">
        <f t="shared" si="81"/>
        <v>200000</v>
      </c>
      <c r="AI65" s="11">
        <f t="shared" si="81"/>
        <v>15</v>
      </c>
      <c r="AJ65" s="11">
        <f t="shared" si="81"/>
        <v>300000</v>
      </c>
      <c r="AK65" s="11">
        <f t="shared" si="81"/>
        <v>12</v>
      </c>
      <c r="AL65" s="11">
        <f t="shared" si="81"/>
        <v>240000</v>
      </c>
      <c r="AM65" s="11">
        <f t="shared" si="81"/>
        <v>12</v>
      </c>
      <c r="AN65" s="11">
        <f t="shared" si="81"/>
        <v>240000</v>
      </c>
      <c r="AO65" s="11">
        <f t="shared" si="81"/>
        <v>20</v>
      </c>
      <c r="AP65" s="11">
        <f t="shared" si="81"/>
        <v>400000</v>
      </c>
      <c r="AQ65" s="11">
        <f t="shared" si="81"/>
        <v>25</v>
      </c>
      <c r="AR65" s="11">
        <f t="shared" si="81"/>
        <v>400000</v>
      </c>
      <c r="AS65" s="11">
        <f t="shared" si="81"/>
        <v>31</v>
      </c>
      <c r="AT65" s="11">
        <f t="shared" si="81"/>
        <v>620000</v>
      </c>
      <c r="AU65" s="11">
        <f t="shared" si="81"/>
        <v>20</v>
      </c>
      <c r="AV65" s="11">
        <f t="shared" si="81"/>
        <v>400000</v>
      </c>
      <c r="AW65" s="11">
        <f t="shared" si="81"/>
        <v>15</v>
      </c>
      <c r="AX65" s="11">
        <f t="shared" si="81"/>
        <v>300000</v>
      </c>
      <c r="AY65" s="11">
        <f t="shared" si="81"/>
        <v>15</v>
      </c>
      <c r="AZ65" s="11">
        <f t="shared" si="81"/>
        <v>300000</v>
      </c>
      <c r="BA65" s="11">
        <f t="shared" si="81"/>
        <v>5</v>
      </c>
      <c r="BB65" s="11">
        <f t="shared" si="81"/>
        <v>100000</v>
      </c>
      <c r="BC65" s="11">
        <f t="shared" si="81"/>
        <v>20</v>
      </c>
      <c r="BD65" s="11">
        <f t="shared" si="81"/>
        <v>400000</v>
      </c>
      <c r="BE65" s="11">
        <f t="shared" si="81"/>
        <v>15</v>
      </c>
      <c r="BF65" s="11">
        <f t="shared" si="81"/>
        <v>300000</v>
      </c>
      <c r="BG65" s="11">
        <f t="shared" si="81"/>
        <v>0</v>
      </c>
      <c r="BH65" s="11">
        <f t="shared" si="81"/>
        <v>0</v>
      </c>
      <c r="BI65" s="11">
        <f t="shared" si="81"/>
        <v>295</v>
      </c>
      <c r="BJ65" s="6">
        <f t="shared" ref="BJ65:BU65" si="82">SUM(BJ64)</f>
        <v>5800000</v>
      </c>
      <c r="BK65" s="6">
        <f t="shared" si="82"/>
        <v>0</v>
      </c>
      <c r="BL65" s="6">
        <f t="shared" si="82"/>
        <v>0</v>
      </c>
      <c r="BM65" s="6">
        <f t="shared" si="82"/>
        <v>0</v>
      </c>
      <c r="BN65" s="6">
        <f t="shared" si="82"/>
        <v>5800000</v>
      </c>
      <c r="BO65" s="6">
        <f t="shared" si="82"/>
        <v>0</v>
      </c>
      <c r="BP65" s="6">
        <f t="shared" si="82"/>
        <v>0</v>
      </c>
      <c r="BQ65" s="6">
        <f t="shared" si="82"/>
        <v>5800000</v>
      </c>
      <c r="BR65" s="6">
        <f t="shared" si="82"/>
        <v>0</v>
      </c>
      <c r="BS65" s="6">
        <f t="shared" si="82"/>
        <v>0</v>
      </c>
      <c r="BT65" s="6">
        <f t="shared" si="82"/>
        <v>0</v>
      </c>
      <c r="BU65" s="6">
        <f t="shared" si="82"/>
        <v>5800000</v>
      </c>
    </row>
    <row r="66" spans="1:73" s="180" customFormat="1" x14ac:dyDescent="0.25">
      <c r="A66" s="498"/>
      <c r="B66" s="223" t="s">
        <v>17</v>
      </c>
      <c r="C66" s="204" t="s">
        <v>111</v>
      </c>
      <c r="D66" s="205" t="s">
        <v>111</v>
      </c>
      <c r="E66" s="11">
        <f t="shared" ref="E66:AV66" si="83">E15+E17+E25+E32+E35+E42+E53+E56+E62+E65</f>
        <v>24723.5</v>
      </c>
      <c r="F66" s="11">
        <f t="shared" si="83"/>
        <v>66984625</v>
      </c>
      <c r="G66" s="11">
        <f t="shared" si="83"/>
        <v>3060925</v>
      </c>
      <c r="H66" s="11">
        <f t="shared" si="83"/>
        <v>63923700</v>
      </c>
      <c r="I66" s="11">
        <f t="shared" si="83"/>
        <v>0</v>
      </c>
      <c r="J66" s="11">
        <f t="shared" si="83"/>
        <v>0</v>
      </c>
      <c r="K66" s="11">
        <f t="shared" si="83"/>
        <v>0</v>
      </c>
      <c r="L66" s="11">
        <f t="shared" si="83"/>
        <v>0</v>
      </c>
      <c r="M66" s="11">
        <f t="shared" si="83"/>
        <v>0</v>
      </c>
      <c r="N66" s="11">
        <f t="shared" si="83"/>
        <v>0</v>
      </c>
      <c r="O66" s="11">
        <f t="shared" si="83"/>
        <v>0</v>
      </c>
      <c r="P66" s="11">
        <f t="shared" si="83"/>
        <v>0</v>
      </c>
      <c r="Q66" s="11">
        <f t="shared" si="83"/>
        <v>5653.625</v>
      </c>
      <c r="R66" s="11">
        <f t="shared" si="83"/>
        <v>5653.625</v>
      </c>
      <c r="S66" s="11">
        <f t="shared" si="83"/>
        <v>5654.375</v>
      </c>
      <c r="T66" s="11">
        <f t="shared" si="83"/>
        <v>5653.875</v>
      </c>
      <c r="U66" s="11">
        <f t="shared" si="83"/>
        <v>3583156.25</v>
      </c>
      <c r="V66" s="11">
        <f t="shared" si="83"/>
        <v>3583156.25</v>
      </c>
      <c r="W66" s="11">
        <f t="shared" si="83"/>
        <v>42343156.25</v>
      </c>
      <c r="X66" s="11">
        <f t="shared" si="83"/>
        <v>17122656.25</v>
      </c>
      <c r="Y66" s="11">
        <f t="shared" si="83"/>
        <v>1420</v>
      </c>
      <c r="Z66" s="11">
        <f t="shared" si="83"/>
        <v>5054700</v>
      </c>
      <c r="AA66" s="11">
        <f t="shared" si="83"/>
        <v>865</v>
      </c>
      <c r="AB66" s="11">
        <f t="shared" si="83"/>
        <v>2140900</v>
      </c>
      <c r="AC66" s="11">
        <f t="shared" si="83"/>
        <v>1635</v>
      </c>
      <c r="AD66" s="11">
        <f t="shared" si="83"/>
        <v>4934600</v>
      </c>
      <c r="AE66" s="11">
        <f t="shared" si="83"/>
        <v>1650</v>
      </c>
      <c r="AF66" s="11">
        <f t="shared" si="83"/>
        <v>6522250</v>
      </c>
      <c r="AG66" s="11">
        <f t="shared" si="83"/>
        <v>741</v>
      </c>
      <c r="AH66" s="11">
        <f t="shared" si="83"/>
        <v>1275850</v>
      </c>
      <c r="AI66" s="11">
        <f t="shared" si="83"/>
        <v>1588</v>
      </c>
      <c r="AJ66" s="11">
        <f t="shared" si="83"/>
        <v>6019300</v>
      </c>
      <c r="AK66" s="11">
        <f t="shared" si="83"/>
        <v>1154</v>
      </c>
      <c r="AL66" s="11">
        <f t="shared" si="83"/>
        <v>3183400</v>
      </c>
      <c r="AM66" s="11">
        <f t="shared" si="83"/>
        <v>1872</v>
      </c>
      <c r="AN66" s="11">
        <f t="shared" si="83"/>
        <v>2272050</v>
      </c>
      <c r="AO66" s="11">
        <f t="shared" si="83"/>
        <v>821</v>
      </c>
      <c r="AP66" s="11">
        <f t="shared" si="83"/>
        <v>2682650</v>
      </c>
      <c r="AQ66" s="11">
        <f t="shared" si="83"/>
        <v>1348</v>
      </c>
      <c r="AR66" s="11">
        <f t="shared" si="83"/>
        <v>5194600</v>
      </c>
      <c r="AS66" s="11">
        <f t="shared" si="83"/>
        <v>1712</v>
      </c>
      <c r="AT66" s="11">
        <f t="shared" si="83"/>
        <v>4000450</v>
      </c>
      <c r="AU66" s="11">
        <f t="shared" si="83"/>
        <v>1418</v>
      </c>
      <c r="AV66" s="11">
        <f t="shared" si="83"/>
        <v>4957700</v>
      </c>
      <c r="AW66" s="11">
        <f t="shared" ref="AW66:BP66" si="84">AW15+AW17+AW25+AW32+AW35+AW42+AW53+AW56+AW62+AW65</f>
        <v>1664</v>
      </c>
      <c r="AX66" s="11">
        <f t="shared" si="84"/>
        <v>2991000</v>
      </c>
      <c r="AY66" s="11">
        <f t="shared" si="84"/>
        <v>1810</v>
      </c>
      <c r="AZ66" s="11">
        <f t="shared" si="84"/>
        <v>3807500</v>
      </c>
      <c r="BA66" s="11">
        <f t="shared" si="84"/>
        <v>1255.5</v>
      </c>
      <c r="BB66" s="11">
        <f t="shared" si="84"/>
        <v>2956825</v>
      </c>
      <c r="BC66" s="11">
        <f t="shared" si="84"/>
        <v>1844</v>
      </c>
      <c r="BD66" s="11">
        <f t="shared" si="84"/>
        <v>1968800</v>
      </c>
      <c r="BE66" s="11">
        <f t="shared" si="84"/>
        <v>1503</v>
      </c>
      <c r="BF66" s="11">
        <f t="shared" si="84"/>
        <v>6467050</v>
      </c>
      <c r="BG66" s="11">
        <f t="shared" si="84"/>
        <v>511</v>
      </c>
      <c r="BH66" s="11">
        <f t="shared" si="84"/>
        <v>555000</v>
      </c>
      <c r="BI66" s="11">
        <f t="shared" si="84"/>
        <v>25018.5</v>
      </c>
      <c r="BJ66" s="11">
        <f t="shared" si="84"/>
        <v>66984625</v>
      </c>
      <c r="BK66" s="11">
        <f t="shared" si="84"/>
        <v>0</v>
      </c>
      <c r="BL66" s="11">
        <f t="shared" si="84"/>
        <v>0</v>
      </c>
      <c r="BM66" s="11">
        <f t="shared" si="84"/>
        <v>0</v>
      </c>
      <c r="BN66" s="11">
        <f t="shared" si="84"/>
        <v>15239625</v>
      </c>
      <c r="BO66" s="11">
        <f t="shared" si="84"/>
        <v>65000</v>
      </c>
      <c r="BP66" s="11">
        <f t="shared" si="84"/>
        <v>51680000</v>
      </c>
      <c r="BQ66" s="11">
        <f>BQ15+BQ17+BQ25+BQ32+BQ35+BQ42+BQ53+BQ56+BQ62+BQ65</f>
        <v>66984625</v>
      </c>
      <c r="BR66" s="11">
        <f>BR15+BR17+BR25+BR32+BR35+BR42+BR53+BR56+BR62+BR65</f>
        <v>0</v>
      </c>
      <c r="BS66" s="11">
        <f>BS15+BS17+BS25+BS32+BS35+BS42+BS53+BS56+BS62+BS65</f>
        <v>0</v>
      </c>
      <c r="BT66" s="11">
        <f>BT15+BT17+BT25+BT32+BT35+BT42+BT53+BT56+BT62+BT65</f>
        <v>0</v>
      </c>
      <c r="BU66" s="11">
        <f>BU15+BU17+BU25+BU32+BU35+BU42+BU53+BU56+BU62+BU65</f>
        <v>66984625</v>
      </c>
    </row>
    <row r="68" spans="1:73" x14ac:dyDescent="0.25">
      <c r="F68" s="136"/>
      <c r="H68" s="136">
        <f>F66-G66-H66</f>
        <v>0</v>
      </c>
      <c r="BI68" s="196">
        <f>F66-BJ66</f>
        <v>0</v>
      </c>
      <c r="BJ68" s="196"/>
    </row>
  </sheetData>
  <mergeCells count="30">
    <mergeCell ref="AM6:AN7"/>
    <mergeCell ref="AK6:AL7"/>
    <mergeCell ref="Y6:Z7"/>
    <mergeCell ref="A1:C1"/>
    <mergeCell ref="A2:C2"/>
    <mergeCell ref="A3:C3"/>
    <mergeCell ref="A4:C4"/>
    <mergeCell ref="E6:F6"/>
    <mergeCell ref="AI6:AJ7"/>
    <mergeCell ref="G6:P6"/>
    <mergeCell ref="Q6:T7"/>
    <mergeCell ref="AC6:AD7"/>
    <mergeCell ref="AG6:AH7"/>
    <mergeCell ref="AE6:AF7"/>
    <mergeCell ref="AA6:AB7"/>
    <mergeCell ref="U6:X7"/>
    <mergeCell ref="BU7:BU8"/>
    <mergeCell ref="BE6:BF7"/>
    <mergeCell ref="BG6:BH7"/>
    <mergeCell ref="BI6:BJ7"/>
    <mergeCell ref="BR7:BT7"/>
    <mergeCell ref="AO6:AP7"/>
    <mergeCell ref="AU6:AV7"/>
    <mergeCell ref="BM7:BQ7"/>
    <mergeCell ref="AS6:AT7"/>
    <mergeCell ref="AY6:AZ7"/>
    <mergeCell ref="BC6:BD7"/>
    <mergeCell ref="AW6:AX7"/>
    <mergeCell ref="BA6:BB7"/>
    <mergeCell ref="AQ6:AR7"/>
  </mergeCells>
  <phoneticPr fontId="2" type="noConversion"/>
  <pageMargins left="0.31" right="0.17" top="0.56000000000000005" bottom="0.41" header="0.3" footer="0.3"/>
  <pageSetup paperSize="9" scale="1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0000"/>
    <pageSetUpPr fitToPage="1"/>
  </sheetPr>
  <dimension ref="A1:BV107"/>
  <sheetViews>
    <sheetView zoomScale="80" zoomScaleNormal="80" workbookViewId="0">
      <pane xSplit="7" ySplit="10" topLeftCell="BI86" activePane="bottomRight" state="frozen"/>
      <selection activeCell="A3" sqref="A3"/>
      <selection pane="topRight" activeCell="H3" sqref="H3"/>
      <selection pane="bottomLeft" activeCell="A11" sqref="A11"/>
      <selection pane="bottomRight" activeCell="B109" sqref="B109"/>
    </sheetView>
  </sheetViews>
  <sheetFormatPr defaultColWidth="9.140625" defaultRowHeight="15.75" x14ac:dyDescent="0.25"/>
  <cols>
    <col min="1" max="1" width="9.42578125" style="218" customWidth="1"/>
    <col min="2" max="2" width="10.85546875" style="554" customWidth="1"/>
    <col min="3" max="3" width="42.140625" style="218" customWidth="1"/>
    <col min="4" max="4" width="10.5703125" style="218" customWidth="1"/>
    <col min="5" max="5" width="14.5703125" style="218" customWidth="1"/>
    <col min="6" max="6" width="7.85546875" style="216" customWidth="1"/>
    <col min="7" max="7" width="20" style="216" customWidth="1"/>
    <col min="8" max="8" width="16" style="216" customWidth="1"/>
    <col min="9" max="9" width="16.5703125" style="216" customWidth="1"/>
    <col min="10" max="11" width="13.140625" style="216" customWidth="1"/>
    <col min="12" max="12" width="14" style="216" customWidth="1"/>
    <col min="13" max="13" width="16.5703125" style="216" customWidth="1"/>
    <col min="14" max="14" width="5.85546875" style="216" customWidth="1"/>
    <col min="15" max="15" width="4.85546875" style="216" customWidth="1"/>
    <col min="16" max="16" width="12.42578125" style="216" customWidth="1"/>
    <col min="17" max="17" width="7.140625" style="216" customWidth="1"/>
    <col min="18" max="18" width="10.5703125" style="293" customWidth="1"/>
    <col min="19" max="19" width="10.85546875" style="293" customWidth="1"/>
    <col min="20" max="20" width="8.7109375" style="293" customWidth="1"/>
    <col min="21" max="21" width="8.5703125" style="293" customWidth="1"/>
    <col min="22" max="22" width="17.85546875" style="217" customWidth="1"/>
    <col min="23" max="25" width="16.7109375" style="217" customWidth="1"/>
    <col min="26" max="26" width="10.28515625" style="216" customWidth="1"/>
    <col min="27" max="27" width="17.7109375" style="216" customWidth="1"/>
    <col min="28" max="28" width="6.140625" style="216" bestFit="1" customWidth="1"/>
    <col min="29" max="29" width="14" style="216" customWidth="1"/>
    <col min="30" max="30" width="10.5703125" style="216" customWidth="1"/>
    <col min="31" max="31" width="18.85546875" style="216" customWidth="1"/>
    <col min="32" max="32" width="9.85546875" style="216" customWidth="1"/>
    <col min="33" max="33" width="19.140625" style="216" customWidth="1"/>
    <col min="34" max="34" width="10" style="216" customWidth="1"/>
    <col min="35" max="35" width="17.7109375" style="216" customWidth="1"/>
    <col min="36" max="36" width="9" style="216" customWidth="1"/>
    <col min="37" max="37" width="18" style="216" customWidth="1"/>
    <col min="38" max="38" width="10.42578125" style="216" customWidth="1"/>
    <col min="39" max="39" width="16" style="216" customWidth="1"/>
    <col min="40" max="40" width="6.85546875" style="216" customWidth="1"/>
    <col min="41" max="41" width="16.7109375" style="216" customWidth="1"/>
    <col min="42" max="42" width="7.7109375" style="216" customWidth="1"/>
    <col min="43" max="43" width="15" style="216" customWidth="1"/>
    <col min="44" max="44" width="8.85546875" style="216" customWidth="1"/>
    <col min="45" max="45" width="18.5703125" style="216" customWidth="1"/>
    <col min="46" max="46" width="9.42578125" style="216" customWidth="1"/>
    <col min="47" max="47" width="18.5703125" style="216" customWidth="1"/>
    <col min="48" max="48" width="11.7109375" style="216" customWidth="1"/>
    <col min="49" max="49" width="16.140625" style="216" customWidth="1"/>
    <col min="50" max="50" width="10.85546875" style="216" customWidth="1"/>
    <col min="51" max="51" width="16.5703125" style="216" customWidth="1"/>
    <col min="52" max="52" width="11.140625" style="216" customWidth="1"/>
    <col min="53" max="53" width="14.7109375" style="216" customWidth="1"/>
    <col min="54" max="54" width="12.7109375" style="216" customWidth="1"/>
    <col min="55" max="55" width="16.5703125" style="216" customWidth="1"/>
    <col min="56" max="56" width="10.42578125" style="216" customWidth="1"/>
    <col min="57" max="57" width="16.5703125" style="216" customWidth="1"/>
    <col min="58" max="58" width="13" style="216" customWidth="1"/>
    <col min="59" max="59" width="18.7109375" style="216" bestFit="1" customWidth="1"/>
    <col min="60" max="60" width="7.140625" style="216" customWidth="1"/>
    <col min="61" max="61" width="15.7109375" style="216" customWidth="1"/>
    <col min="62" max="62" width="12" style="216" customWidth="1"/>
    <col min="63" max="63" width="18.140625" style="216" customWidth="1"/>
    <col min="64" max="64" width="19.85546875" style="554" customWidth="1"/>
    <col min="65" max="65" width="18.5703125" style="218" hidden="1" customWidth="1"/>
    <col min="66" max="66" width="18.7109375" style="218" customWidth="1"/>
    <col min="67" max="67" width="18.5703125" style="218" customWidth="1"/>
    <col min="68" max="68" width="19.42578125" style="218" customWidth="1"/>
    <col min="69" max="69" width="11.5703125" style="218" customWidth="1"/>
    <col min="70" max="70" width="18.28515625" style="218" bestFit="1" customWidth="1"/>
    <col min="71" max="71" width="21" style="218" bestFit="1" customWidth="1"/>
    <col min="72" max="72" width="9.140625" style="218" customWidth="1"/>
    <col min="73" max="73" width="16.7109375" style="218" customWidth="1"/>
    <col min="74" max="74" width="19" style="218" customWidth="1"/>
    <col min="75" max="16384" width="9.140625" style="218"/>
  </cols>
  <sheetData>
    <row r="1" spans="1:74" x14ac:dyDescent="0.25">
      <c r="A1" s="740"/>
      <c r="B1" s="740"/>
      <c r="C1" s="740"/>
      <c r="D1" s="740"/>
      <c r="E1" s="740"/>
      <c r="F1" s="740"/>
      <c r="G1" s="740"/>
      <c r="H1" s="740"/>
      <c r="I1" s="740"/>
      <c r="J1" s="740"/>
      <c r="K1" s="740"/>
      <c r="L1" s="740"/>
      <c r="M1" s="740"/>
      <c r="N1" s="740"/>
      <c r="O1" s="740"/>
      <c r="P1" s="740"/>
      <c r="Q1" s="764"/>
    </row>
    <row r="2" spans="1:74" x14ac:dyDescent="0.25">
      <c r="A2" s="555" t="s">
        <v>159</v>
      </c>
      <c r="B2" s="555"/>
      <c r="C2" s="759" t="s">
        <v>153</v>
      </c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65"/>
      <c r="R2" s="214"/>
      <c r="S2" s="214"/>
      <c r="T2" s="214"/>
      <c r="U2" s="214"/>
      <c r="V2" s="215"/>
      <c r="W2" s="215"/>
      <c r="X2" s="215"/>
      <c r="Y2" s="215"/>
    </row>
    <row r="3" spans="1:74" x14ac:dyDescent="0.25">
      <c r="A3" s="555" t="s">
        <v>155</v>
      </c>
      <c r="B3" s="555"/>
      <c r="C3" s="759" t="s">
        <v>154</v>
      </c>
      <c r="D3" s="759"/>
      <c r="E3" s="759"/>
      <c r="F3" s="759"/>
      <c r="G3" s="759"/>
      <c r="H3" s="759"/>
      <c r="I3" s="759"/>
      <c r="J3" s="759"/>
      <c r="K3" s="759"/>
      <c r="L3" s="759"/>
      <c r="M3" s="759"/>
      <c r="N3" s="759"/>
      <c r="O3" s="759"/>
      <c r="P3" s="759"/>
      <c r="Q3" s="765"/>
      <c r="R3" s="214"/>
      <c r="S3" s="214"/>
      <c r="T3" s="214"/>
      <c r="U3" s="214"/>
      <c r="V3" s="215"/>
      <c r="W3" s="215"/>
      <c r="X3" s="215"/>
      <c r="Y3" s="215"/>
      <c r="Z3" s="216" t="s">
        <v>288</v>
      </c>
      <c r="AA3" s="216">
        <v>8.34</v>
      </c>
      <c r="AC3" s="216">
        <v>2.85</v>
      </c>
      <c r="AE3" s="216">
        <v>8.3800000000000008</v>
      </c>
      <c r="AG3" s="216">
        <v>7.49</v>
      </c>
      <c r="AI3" s="216">
        <v>3.33</v>
      </c>
      <c r="AK3" s="216">
        <v>6.64</v>
      </c>
      <c r="AM3" s="216">
        <v>3.67</v>
      </c>
      <c r="AO3" s="216">
        <v>5.0599999999999996</v>
      </c>
      <c r="AQ3" s="216">
        <v>5.94</v>
      </c>
      <c r="AS3" s="216">
        <v>6.85</v>
      </c>
      <c r="AU3" s="216">
        <v>7.45</v>
      </c>
      <c r="AW3" s="216">
        <v>5.13</v>
      </c>
      <c r="AY3" s="216">
        <v>4.8600000000000003</v>
      </c>
      <c r="BA3" s="216">
        <v>5.79</v>
      </c>
      <c r="BC3" s="216">
        <v>5.3</v>
      </c>
      <c r="BE3" s="216">
        <v>3.47</v>
      </c>
      <c r="BG3" s="216">
        <v>9.42</v>
      </c>
    </row>
    <row r="4" spans="1:74" x14ac:dyDescent="0.25">
      <c r="A4" s="555" t="s">
        <v>156</v>
      </c>
      <c r="B4" s="555"/>
      <c r="C4" s="759" t="s">
        <v>950</v>
      </c>
      <c r="D4" s="759"/>
      <c r="E4" s="759"/>
      <c r="F4" s="759"/>
      <c r="G4" s="759"/>
      <c r="H4" s="759"/>
      <c r="I4" s="759"/>
      <c r="J4" s="759"/>
      <c r="K4" s="759"/>
      <c r="L4" s="759"/>
      <c r="M4" s="759"/>
      <c r="N4" s="759"/>
      <c r="O4" s="759"/>
      <c r="P4" s="759"/>
      <c r="Q4" s="765"/>
      <c r="R4" s="214"/>
      <c r="S4" s="214"/>
      <c r="T4" s="214"/>
      <c r="U4" s="214"/>
      <c r="V4" s="215"/>
      <c r="W4" s="215"/>
      <c r="X4" s="215"/>
      <c r="Y4" s="215"/>
      <c r="Z4" s="216" t="s">
        <v>286</v>
      </c>
      <c r="AA4" s="216">
        <v>48</v>
      </c>
      <c r="AC4" s="216">
        <v>23</v>
      </c>
      <c r="AE4" s="216">
        <v>80</v>
      </c>
      <c r="AG4" s="216">
        <v>105</v>
      </c>
      <c r="AI4" s="216">
        <v>43</v>
      </c>
      <c r="AK4" s="216">
        <v>75</v>
      </c>
      <c r="AM4" s="216">
        <v>41</v>
      </c>
      <c r="AO4" s="216">
        <v>101</v>
      </c>
      <c r="AQ4" s="216">
        <v>8</v>
      </c>
      <c r="AS4" s="216">
        <v>33</v>
      </c>
      <c r="AU4" s="216">
        <v>53</v>
      </c>
      <c r="AW4" s="216">
        <v>52</v>
      </c>
      <c r="AY4" s="216">
        <v>76</v>
      </c>
      <c r="BA4" s="216">
        <v>82</v>
      </c>
      <c r="BC4" s="216">
        <v>104</v>
      </c>
      <c r="BE4" s="216">
        <v>147</v>
      </c>
      <c r="BG4" s="216">
        <v>54</v>
      </c>
    </row>
    <row r="5" spans="1:74" x14ac:dyDescent="0.25">
      <c r="A5" s="555" t="s">
        <v>169</v>
      </c>
      <c r="B5" s="555"/>
      <c r="C5" s="759" t="s">
        <v>90</v>
      </c>
      <c r="D5" s="759"/>
      <c r="E5" s="759"/>
      <c r="F5" s="759"/>
      <c r="G5" s="759"/>
      <c r="H5" s="759"/>
      <c r="I5" s="759"/>
      <c r="J5" s="759"/>
      <c r="K5" s="759"/>
      <c r="L5" s="759"/>
      <c r="M5" s="759"/>
      <c r="N5" s="759"/>
      <c r="O5" s="759"/>
      <c r="P5" s="759"/>
      <c r="Q5" s="765"/>
      <c r="R5" s="214"/>
      <c r="S5" s="214"/>
      <c r="T5" s="214"/>
      <c r="U5" s="214"/>
      <c r="V5" s="215"/>
      <c r="W5" s="215"/>
      <c r="X5" s="215"/>
      <c r="Y5" s="215"/>
      <c r="Z5" s="216" t="s">
        <v>287</v>
      </c>
      <c r="AA5" s="524">
        <f t="shared" ref="AA5:BG5" si="0">AA4/1125*100</f>
        <v>4.2666666666666666</v>
      </c>
      <c r="AB5" s="524">
        <f t="shared" si="0"/>
        <v>0</v>
      </c>
      <c r="AC5" s="524">
        <f t="shared" si="0"/>
        <v>2.0444444444444447</v>
      </c>
      <c r="AD5" s="524">
        <f t="shared" si="0"/>
        <v>0</v>
      </c>
      <c r="AE5" s="524">
        <f t="shared" si="0"/>
        <v>7.1111111111111107</v>
      </c>
      <c r="AF5" s="524">
        <f t="shared" si="0"/>
        <v>0</v>
      </c>
      <c r="AG5" s="524">
        <f t="shared" si="0"/>
        <v>9.3333333333333339</v>
      </c>
      <c r="AH5" s="524">
        <f t="shared" si="0"/>
        <v>0</v>
      </c>
      <c r="AI5" s="524">
        <f t="shared" si="0"/>
        <v>3.822222222222222</v>
      </c>
      <c r="AJ5" s="524">
        <f t="shared" si="0"/>
        <v>0</v>
      </c>
      <c r="AK5" s="524">
        <f t="shared" si="0"/>
        <v>6.666666666666667</v>
      </c>
      <c r="AL5" s="524">
        <f t="shared" si="0"/>
        <v>0</v>
      </c>
      <c r="AM5" s="524">
        <f t="shared" si="0"/>
        <v>3.6444444444444448</v>
      </c>
      <c r="AN5" s="524">
        <f t="shared" si="0"/>
        <v>0</v>
      </c>
      <c r="AO5" s="524">
        <f t="shared" si="0"/>
        <v>8.9777777777777779</v>
      </c>
      <c r="AP5" s="524">
        <f t="shared" si="0"/>
        <v>0</v>
      </c>
      <c r="AQ5" s="524">
        <f t="shared" si="0"/>
        <v>0.71111111111111114</v>
      </c>
      <c r="AR5" s="524">
        <f t="shared" si="0"/>
        <v>0</v>
      </c>
      <c r="AS5" s="524">
        <f t="shared" si="0"/>
        <v>2.9333333333333331</v>
      </c>
      <c r="AT5" s="524">
        <f t="shared" si="0"/>
        <v>0</v>
      </c>
      <c r="AU5" s="524">
        <f t="shared" si="0"/>
        <v>4.7111111111111112</v>
      </c>
      <c r="AV5" s="524">
        <f t="shared" si="0"/>
        <v>0</v>
      </c>
      <c r="AW5" s="524">
        <f t="shared" si="0"/>
        <v>4.6222222222222218</v>
      </c>
      <c r="AX5" s="524">
        <f t="shared" si="0"/>
        <v>0</v>
      </c>
      <c r="AY5" s="524">
        <f t="shared" si="0"/>
        <v>6.7555555555555546</v>
      </c>
      <c r="AZ5" s="524">
        <f t="shared" si="0"/>
        <v>0</v>
      </c>
      <c r="BA5" s="524">
        <f t="shared" si="0"/>
        <v>7.2888888888888896</v>
      </c>
      <c r="BB5" s="524">
        <f t="shared" si="0"/>
        <v>0</v>
      </c>
      <c r="BC5" s="524">
        <f t="shared" si="0"/>
        <v>9.2444444444444436</v>
      </c>
      <c r="BD5" s="524">
        <f t="shared" si="0"/>
        <v>0</v>
      </c>
      <c r="BE5" s="524">
        <f t="shared" si="0"/>
        <v>13.066666666666665</v>
      </c>
      <c r="BF5" s="524">
        <f t="shared" si="0"/>
        <v>0</v>
      </c>
      <c r="BG5" s="524">
        <f t="shared" si="0"/>
        <v>4.8</v>
      </c>
    </row>
    <row r="6" spans="1:74" x14ac:dyDescent="0.25">
      <c r="A6" s="555" t="s">
        <v>175</v>
      </c>
      <c r="B6" s="555"/>
      <c r="C6" s="759" t="s">
        <v>176</v>
      </c>
      <c r="D6" s="759"/>
      <c r="E6" s="759"/>
      <c r="F6" s="759"/>
      <c r="G6" s="759"/>
      <c r="H6" s="759"/>
      <c r="I6" s="759"/>
      <c r="J6" s="759"/>
      <c r="K6" s="759"/>
      <c r="L6" s="759"/>
      <c r="M6" s="759"/>
      <c r="N6" s="759"/>
      <c r="O6" s="759"/>
      <c r="P6" s="759"/>
      <c r="Q6" s="765"/>
      <c r="R6" s="214"/>
      <c r="S6" s="214"/>
      <c r="T6" s="214"/>
      <c r="U6" s="214"/>
      <c r="V6" s="215"/>
      <c r="W6" s="215"/>
      <c r="X6" s="215"/>
      <c r="Y6" s="215"/>
    </row>
    <row r="7" spans="1:74" ht="15.75" customHeight="1" x14ac:dyDescent="0.25">
      <c r="A7" s="759"/>
      <c r="B7" s="759"/>
      <c r="C7" s="759"/>
      <c r="D7" s="759"/>
      <c r="E7" s="220"/>
      <c r="F7" s="760" t="s">
        <v>21</v>
      </c>
      <c r="G7" s="760"/>
      <c r="H7" s="761" t="s">
        <v>152</v>
      </c>
      <c r="I7" s="762"/>
      <c r="J7" s="762"/>
      <c r="K7" s="762"/>
      <c r="L7" s="762"/>
      <c r="M7" s="762"/>
      <c r="N7" s="762"/>
      <c r="O7" s="762"/>
      <c r="P7" s="762"/>
      <c r="Q7" s="763"/>
      <c r="R7" s="768" t="s">
        <v>61</v>
      </c>
      <c r="S7" s="768"/>
      <c r="T7" s="768"/>
      <c r="U7" s="768"/>
      <c r="V7" s="769" t="s">
        <v>6</v>
      </c>
      <c r="W7" s="769"/>
      <c r="X7" s="769"/>
      <c r="Y7" s="769"/>
      <c r="Z7" s="753" t="s">
        <v>180</v>
      </c>
      <c r="AA7" s="753"/>
      <c r="AB7" s="753" t="s">
        <v>181</v>
      </c>
      <c r="AC7" s="753"/>
      <c r="AD7" s="753" t="s">
        <v>182</v>
      </c>
      <c r="AE7" s="753"/>
      <c r="AF7" s="753" t="s">
        <v>183</v>
      </c>
      <c r="AG7" s="753"/>
      <c r="AH7" s="754" t="s">
        <v>184</v>
      </c>
      <c r="AI7" s="754"/>
      <c r="AJ7" s="753" t="s">
        <v>185</v>
      </c>
      <c r="AK7" s="753"/>
      <c r="AL7" s="753" t="s">
        <v>186</v>
      </c>
      <c r="AM7" s="753"/>
      <c r="AN7" s="753" t="s">
        <v>187</v>
      </c>
      <c r="AO7" s="753"/>
      <c r="AP7" s="753" t="s">
        <v>188</v>
      </c>
      <c r="AQ7" s="753"/>
      <c r="AR7" s="753" t="s">
        <v>189</v>
      </c>
      <c r="AS7" s="753"/>
      <c r="AT7" s="753" t="s">
        <v>190</v>
      </c>
      <c r="AU7" s="753"/>
      <c r="AV7" s="753" t="s">
        <v>191</v>
      </c>
      <c r="AW7" s="753"/>
      <c r="AX7" s="753" t="s">
        <v>192</v>
      </c>
      <c r="AY7" s="753"/>
      <c r="AZ7" s="753" t="s">
        <v>193</v>
      </c>
      <c r="BA7" s="753"/>
      <c r="BB7" s="753" t="s">
        <v>194</v>
      </c>
      <c r="BC7" s="753"/>
      <c r="BD7" s="753" t="s">
        <v>195</v>
      </c>
      <c r="BE7" s="753"/>
      <c r="BF7" s="753" t="s">
        <v>196</v>
      </c>
      <c r="BG7" s="753"/>
      <c r="BH7" s="753" t="s">
        <v>197</v>
      </c>
      <c r="BI7" s="753"/>
      <c r="BJ7" s="754" t="s">
        <v>17</v>
      </c>
      <c r="BK7" s="754"/>
      <c r="BL7" s="553"/>
      <c r="BM7" s="757"/>
      <c r="BV7" s="179"/>
    </row>
    <row r="8" spans="1:74" s="182" customFormat="1" ht="27" customHeight="1" x14ac:dyDescent="0.25">
      <c r="A8" s="558" t="s">
        <v>13</v>
      </c>
      <c r="B8" s="562" t="s">
        <v>20</v>
      </c>
      <c r="C8" s="766" t="s">
        <v>12</v>
      </c>
      <c r="D8" s="766" t="s">
        <v>14</v>
      </c>
      <c r="E8" s="766" t="s">
        <v>178</v>
      </c>
      <c r="F8" s="767" t="s">
        <v>19</v>
      </c>
      <c r="G8" s="767" t="s">
        <v>25</v>
      </c>
      <c r="H8" s="237" t="s">
        <v>200</v>
      </c>
      <c r="I8" s="237" t="s">
        <v>201</v>
      </c>
      <c r="J8" s="237" t="s">
        <v>202</v>
      </c>
      <c r="K8" s="237" t="s">
        <v>203</v>
      </c>
      <c r="L8" s="237" t="s">
        <v>204</v>
      </c>
      <c r="M8" s="237" t="s">
        <v>205</v>
      </c>
      <c r="N8" s="237" t="s">
        <v>919</v>
      </c>
      <c r="O8" s="237" t="s">
        <v>206</v>
      </c>
      <c r="P8" s="237" t="s">
        <v>207</v>
      </c>
      <c r="Q8" s="237" t="s">
        <v>768</v>
      </c>
      <c r="R8" s="768"/>
      <c r="S8" s="768"/>
      <c r="T8" s="768"/>
      <c r="U8" s="768"/>
      <c r="V8" s="769"/>
      <c r="W8" s="769"/>
      <c r="X8" s="769"/>
      <c r="Y8" s="769"/>
      <c r="Z8" s="753"/>
      <c r="AA8" s="753"/>
      <c r="AB8" s="753" t="s">
        <v>43</v>
      </c>
      <c r="AC8" s="753"/>
      <c r="AD8" s="753" t="s">
        <v>44</v>
      </c>
      <c r="AE8" s="753"/>
      <c r="AF8" s="753" t="s">
        <v>45</v>
      </c>
      <c r="AG8" s="753"/>
      <c r="AH8" s="754" t="s">
        <v>46</v>
      </c>
      <c r="AI8" s="754"/>
      <c r="AJ8" s="753" t="s">
        <v>47</v>
      </c>
      <c r="AK8" s="753"/>
      <c r="AL8" s="753" t="s">
        <v>48</v>
      </c>
      <c r="AM8" s="753"/>
      <c r="AN8" s="753" t="s">
        <v>49</v>
      </c>
      <c r="AO8" s="753"/>
      <c r="AP8" s="753" t="s">
        <v>50</v>
      </c>
      <c r="AQ8" s="753"/>
      <c r="AR8" s="753" t="s">
        <v>51</v>
      </c>
      <c r="AS8" s="753"/>
      <c r="AT8" s="753" t="s">
        <v>52</v>
      </c>
      <c r="AU8" s="753"/>
      <c r="AV8" s="753" t="s">
        <v>53</v>
      </c>
      <c r="AW8" s="753"/>
      <c r="AX8" s="753" t="s">
        <v>54</v>
      </c>
      <c r="AY8" s="753"/>
      <c r="AZ8" s="753" t="s">
        <v>55</v>
      </c>
      <c r="BA8" s="753"/>
      <c r="BB8" s="753" t="s">
        <v>40</v>
      </c>
      <c r="BC8" s="753"/>
      <c r="BD8" s="753" t="s">
        <v>37</v>
      </c>
      <c r="BE8" s="753"/>
      <c r="BF8" s="753"/>
      <c r="BG8" s="753"/>
      <c r="BH8" s="753"/>
      <c r="BI8" s="753"/>
      <c r="BJ8" s="754"/>
      <c r="BK8" s="754"/>
      <c r="BL8" s="181" t="s">
        <v>230</v>
      </c>
      <c r="BM8" s="757"/>
      <c r="BN8" s="758" t="s">
        <v>228</v>
      </c>
      <c r="BO8" s="758"/>
      <c r="BP8" s="758"/>
      <c r="BQ8" s="758"/>
      <c r="BR8" s="758"/>
      <c r="BS8" s="758" t="s">
        <v>229</v>
      </c>
      <c r="BT8" s="758"/>
      <c r="BU8" s="758"/>
      <c r="BV8" s="740" t="s">
        <v>17</v>
      </c>
    </row>
    <row r="9" spans="1:74" s="182" customFormat="1" ht="26.25" customHeight="1" x14ac:dyDescent="0.25">
      <c r="A9" s="558"/>
      <c r="B9" s="562"/>
      <c r="C9" s="766"/>
      <c r="D9" s="766"/>
      <c r="E9" s="766" t="s">
        <v>22</v>
      </c>
      <c r="F9" s="767" t="s">
        <v>23</v>
      </c>
      <c r="G9" s="767"/>
      <c r="H9" s="525"/>
      <c r="I9" s="525"/>
      <c r="J9" s="525"/>
      <c r="K9" s="525"/>
      <c r="L9" s="525"/>
      <c r="M9" s="525"/>
      <c r="N9" s="525"/>
      <c r="O9" s="525"/>
      <c r="P9" s="525"/>
      <c r="Q9" s="525"/>
      <c r="R9" s="184" t="s">
        <v>7</v>
      </c>
      <c r="S9" s="184" t="s">
        <v>8</v>
      </c>
      <c r="T9" s="184" t="s">
        <v>9</v>
      </c>
      <c r="U9" s="184" t="s">
        <v>10</v>
      </c>
      <c r="V9" s="552" t="s">
        <v>7</v>
      </c>
      <c r="W9" s="552" t="s">
        <v>8</v>
      </c>
      <c r="X9" s="552" t="s">
        <v>9</v>
      </c>
      <c r="Y9" s="552" t="s">
        <v>10</v>
      </c>
      <c r="Z9" s="552" t="s">
        <v>14</v>
      </c>
      <c r="AA9" s="552" t="s">
        <v>15</v>
      </c>
      <c r="AB9" s="552" t="s">
        <v>14</v>
      </c>
      <c r="AC9" s="552" t="s">
        <v>15</v>
      </c>
      <c r="AD9" s="552" t="s">
        <v>14</v>
      </c>
      <c r="AE9" s="552" t="s">
        <v>15</v>
      </c>
      <c r="AF9" s="552" t="s">
        <v>14</v>
      </c>
      <c r="AG9" s="552" t="s">
        <v>15</v>
      </c>
      <c r="AH9" s="552" t="s">
        <v>14</v>
      </c>
      <c r="AI9" s="552" t="s">
        <v>15</v>
      </c>
      <c r="AJ9" s="552" t="s">
        <v>14</v>
      </c>
      <c r="AK9" s="552" t="s">
        <v>15</v>
      </c>
      <c r="AL9" s="552" t="s">
        <v>14</v>
      </c>
      <c r="AM9" s="552" t="s">
        <v>15</v>
      </c>
      <c r="AN9" s="552" t="s">
        <v>14</v>
      </c>
      <c r="AO9" s="552" t="s">
        <v>15</v>
      </c>
      <c r="AP9" s="552" t="s">
        <v>14</v>
      </c>
      <c r="AQ9" s="552" t="s">
        <v>15</v>
      </c>
      <c r="AR9" s="552" t="s">
        <v>14</v>
      </c>
      <c r="AS9" s="552" t="s">
        <v>15</v>
      </c>
      <c r="AT9" s="552" t="s">
        <v>14</v>
      </c>
      <c r="AU9" s="552" t="s">
        <v>15</v>
      </c>
      <c r="AV9" s="552" t="s">
        <v>14</v>
      </c>
      <c r="AW9" s="552" t="s">
        <v>15</v>
      </c>
      <c r="AX9" s="552" t="s">
        <v>14</v>
      </c>
      <c r="AY9" s="552" t="s">
        <v>15</v>
      </c>
      <c r="AZ9" s="552" t="s">
        <v>14</v>
      </c>
      <c r="BA9" s="552" t="s">
        <v>15</v>
      </c>
      <c r="BB9" s="552" t="s">
        <v>14</v>
      </c>
      <c r="BC9" s="552" t="s">
        <v>15</v>
      </c>
      <c r="BD9" s="552" t="s">
        <v>14</v>
      </c>
      <c r="BE9" s="552" t="s">
        <v>15</v>
      </c>
      <c r="BF9" s="552" t="s">
        <v>14</v>
      </c>
      <c r="BG9" s="552" t="s">
        <v>15</v>
      </c>
      <c r="BH9" s="552" t="s">
        <v>14</v>
      </c>
      <c r="BI9" s="552" t="s">
        <v>15</v>
      </c>
      <c r="BJ9" s="552" t="s">
        <v>14</v>
      </c>
      <c r="BK9" s="552" t="s">
        <v>15</v>
      </c>
      <c r="BL9" s="181"/>
      <c r="BM9" s="757"/>
      <c r="BN9" s="220" t="s">
        <v>219</v>
      </c>
      <c r="BO9" s="207" t="s">
        <v>220</v>
      </c>
      <c r="BP9" s="207" t="s">
        <v>221</v>
      </c>
      <c r="BQ9" s="555" t="s">
        <v>222</v>
      </c>
      <c r="BR9" s="207" t="s">
        <v>223</v>
      </c>
      <c r="BS9" s="207" t="s">
        <v>224</v>
      </c>
      <c r="BT9" s="207" t="s">
        <v>225</v>
      </c>
      <c r="BU9" s="207" t="s">
        <v>226</v>
      </c>
      <c r="BV9" s="740"/>
    </row>
    <row r="10" spans="1:74" ht="14.45" customHeight="1" x14ac:dyDescent="0.25">
      <c r="A10" s="755" t="s">
        <v>90</v>
      </c>
      <c r="B10" s="181"/>
      <c r="C10" s="526" t="s">
        <v>316</v>
      </c>
      <c r="D10" s="527"/>
      <c r="E10" s="527"/>
      <c r="F10" s="528"/>
      <c r="G10" s="240"/>
      <c r="H10" s="240"/>
      <c r="I10" s="240"/>
      <c r="J10" s="240"/>
      <c r="K10" s="240"/>
      <c r="L10" s="240"/>
      <c r="M10" s="240"/>
      <c r="N10" s="240"/>
      <c r="O10" s="528"/>
      <c r="P10" s="528"/>
      <c r="Q10" s="528"/>
      <c r="R10" s="529"/>
      <c r="S10" s="529"/>
      <c r="T10" s="241"/>
      <c r="U10" s="241"/>
      <c r="V10" s="561"/>
      <c r="W10" s="561"/>
      <c r="X10" s="561"/>
      <c r="Y10" s="56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0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527"/>
      <c r="BN10" s="225"/>
      <c r="BO10" s="225"/>
      <c r="BP10" s="225"/>
      <c r="BQ10" s="225"/>
      <c r="BR10" s="225"/>
      <c r="BS10" s="225"/>
      <c r="BT10" s="225"/>
      <c r="BU10" s="225"/>
      <c r="BV10" s="530">
        <f t="shared" ref="BV10:BV33" si="1">BR10+BU10</f>
        <v>0</v>
      </c>
    </row>
    <row r="11" spans="1:74" ht="33.6" customHeight="1" x14ac:dyDescent="0.25">
      <c r="A11" s="756"/>
      <c r="C11" s="531" t="s">
        <v>661</v>
      </c>
      <c r="D11" s="527"/>
      <c r="E11" s="527"/>
      <c r="F11" s="528"/>
      <c r="G11" s="240"/>
      <c r="H11" s="240"/>
      <c r="I11" s="240"/>
      <c r="J11" s="240"/>
      <c r="K11" s="240"/>
      <c r="L11" s="240"/>
      <c r="M11" s="240"/>
      <c r="N11" s="240"/>
      <c r="O11" s="528"/>
      <c r="P11" s="528"/>
      <c r="Q11" s="528"/>
      <c r="R11" s="529"/>
      <c r="S11" s="529"/>
      <c r="T11" s="241"/>
      <c r="U11" s="241"/>
      <c r="V11" s="561"/>
      <c r="W11" s="561"/>
      <c r="X11" s="561"/>
      <c r="Y11" s="56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0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527"/>
      <c r="BN11" s="225"/>
      <c r="BO11" s="225"/>
      <c r="BP11" s="225"/>
      <c r="BQ11" s="225"/>
      <c r="BR11" s="225"/>
      <c r="BS11" s="225"/>
      <c r="BT11" s="225"/>
      <c r="BU11" s="225"/>
      <c r="BV11" s="530">
        <f t="shared" si="1"/>
        <v>0</v>
      </c>
    </row>
    <row r="12" spans="1:74" x14ac:dyDescent="0.25">
      <c r="A12" s="756"/>
      <c r="B12" s="181" t="s">
        <v>756</v>
      </c>
      <c r="C12" s="653" t="s">
        <v>990</v>
      </c>
      <c r="D12" s="527" t="s">
        <v>70</v>
      </c>
      <c r="E12" s="533">
        <v>150</v>
      </c>
      <c r="F12" s="194">
        <f>BJ12</f>
        <v>2210</v>
      </c>
      <c r="G12" s="441">
        <f>F12*E12</f>
        <v>331500</v>
      </c>
      <c r="H12" s="534">
        <f>G12*0.2</f>
        <v>66300</v>
      </c>
      <c r="I12" s="534">
        <f>G12*0.8</f>
        <v>265200</v>
      </c>
      <c r="J12" s="441"/>
      <c r="K12" s="441"/>
      <c r="L12" s="441"/>
      <c r="M12" s="441"/>
      <c r="N12" s="441"/>
      <c r="O12" s="441"/>
      <c r="P12" s="441"/>
      <c r="Q12" s="441"/>
      <c r="R12" s="230">
        <f>F12*0.25</f>
        <v>552.5</v>
      </c>
      <c r="S12" s="230">
        <f>F12*0.25</f>
        <v>552.5</v>
      </c>
      <c r="T12" s="230">
        <f>F12*0.25</f>
        <v>552.5</v>
      </c>
      <c r="U12" s="230">
        <f>F12*0.25</f>
        <v>552.5</v>
      </c>
      <c r="V12" s="231">
        <f>R12*E12</f>
        <v>82875</v>
      </c>
      <c r="W12" s="231">
        <f>S12*E12</f>
        <v>82875</v>
      </c>
      <c r="X12" s="231">
        <f>T12*E12</f>
        <v>82875</v>
      </c>
      <c r="Y12" s="231">
        <f>U12*E12</f>
        <v>82875</v>
      </c>
      <c r="Z12" s="230">
        <v>150</v>
      </c>
      <c r="AA12" s="231">
        <f>Z12*E12</f>
        <v>22500</v>
      </c>
      <c r="AB12" s="230">
        <v>150</v>
      </c>
      <c r="AC12" s="231">
        <f>AB12*E12</f>
        <v>22500</v>
      </c>
      <c r="AD12" s="230">
        <v>50</v>
      </c>
      <c r="AE12" s="231">
        <f>AD12*E12</f>
        <v>7500</v>
      </c>
      <c r="AF12" s="230">
        <v>150</v>
      </c>
      <c r="AG12" s="231">
        <f>AF12*E12</f>
        <v>22500</v>
      </c>
      <c r="AH12" s="230">
        <v>60</v>
      </c>
      <c r="AI12" s="231">
        <f>AH12*E12</f>
        <v>9000</v>
      </c>
      <c r="AJ12" s="230">
        <v>150</v>
      </c>
      <c r="AK12" s="231">
        <f>AJ12*E12</f>
        <v>22500</v>
      </c>
      <c r="AL12" s="230">
        <v>150</v>
      </c>
      <c r="AM12" s="231">
        <f>AL12*E12</f>
        <v>22500</v>
      </c>
      <c r="AN12" s="230">
        <v>100</v>
      </c>
      <c r="AO12" s="231">
        <f>AN12*E12</f>
        <v>15000</v>
      </c>
      <c r="AP12" s="230">
        <v>50</v>
      </c>
      <c r="AQ12" s="231">
        <f>AP12*E12</f>
        <v>7500</v>
      </c>
      <c r="AR12" s="230">
        <v>350</v>
      </c>
      <c r="AS12" s="231">
        <f>AR12*E12</f>
        <v>52500</v>
      </c>
      <c r="AT12" s="230">
        <v>150</v>
      </c>
      <c r="AU12" s="231">
        <f>AT12*E12</f>
        <v>22500</v>
      </c>
      <c r="AV12" s="230">
        <v>150</v>
      </c>
      <c r="AW12" s="231">
        <f>AV12*E12</f>
        <v>22500</v>
      </c>
      <c r="AX12" s="230">
        <v>150</v>
      </c>
      <c r="AY12" s="231">
        <f>AX12*E12</f>
        <v>22500</v>
      </c>
      <c r="AZ12" s="230">
        <v>150</v>
      </c>
      <c r="BA12" s="231">
        <f>AZ12*E12</f>
        <v>22500</v>
      </c>
      <c r="BB12" s="230">
        <v>100</v>
      </c>
      <c r="BC12" s="231">
        <f>BB12*E12</f>
        <v>15000</v>
      </c>
      <c r="BD12" s="230">
        <v>50</v>
      </c>
      <c r="BE12" s="231">
        <f>BD12*E12</f>
        <v>7500</v>
      </c>
      <c r="BF12" s="230">
        <v>100</v>
      </c>
      <c r="BG12" s="231">
        <f>BF12*E12</f>
        <v>15000</v>
      </c>
      <c r="BH12" s="230"/>
      <c r="BI12" s="231">
        <f>BH12*E12</f>
        <v>0</v>
      </c>
      <c r="BJ12" s="230">
        <f t="shared" ref="BJ12:BK15" si="2">BH12+BF12+BD12+BB12+AZ12+AX12+AV12+AT12+AR12+AP12+AN12+AL12+AJ12+AH12+AF12+AD12+AB12+Z12</f>
        <v>2210</v>
      </c>
      <c r="BK12" s="230">
        <f t="shared" si="2"/>
        <v>331500</v>
      </c>
      <c r="BL12" s="527" t="s">
        <v>210</v>
      </c>
      <c r="BM12" s="535"/>
      <c r="BN12" s="225"/>
      <c r="BO12" s="225">
        <f>G12</f>
        <v>331500</v>
      </c>
      <c r="BP12" s="225"/>
      <c r="BQ12" s="225"/>
      <c r="BR12" s="225">
        <f>BN12+BO12+BP12+BQ12</f>
        <v>331500</v>
      </c>
      <c r="BS12" s="225"/>
      <c r="BT12" s="225"/>
      <c r="BU12" s="225">
        <f>BS12+BT12</f>
        <v>0</v>
      </c>
      <c r="BV12" s="530">
        <f t="shared" si="1"/>
        <v>331500</v>
      </c>
    </row>
    <row r="13" spans="1:74" x14ac:dyDescent="0.25">
      <c r="A13" s="756"/>
      <c r="B13" s="181" t="s">
        <v>757</v>
      </c>
      <c r="C13" s="653" t="s">
        <v>991</v>
      </c>
      <c r="D13" s="527" t="s">
        <v>70</v>
      </c>
      <c r="E13" s="533">
        <v>150</v>
      </c>
      <c r="F13" s="194">
        <f>BJ13</f>
        <v>2350</v>
      </c>
      <c r="G13" s="441">
        <f>F13*E13</f>
        <v>352500</v>
      </c>
      <c r="H13" s="534">
        <f>G13*0.2</f>
        <v>70500</v>
      </c>
      <c r="I13" s="534">
        <f>G13*0.8</f>
        <v>282000</v>
      </c>
      <c r="J13" s="441"/>
      <c r="K13" s="441"/>
      <c r="L13" s="441"/>
      <c r="M13" s="441"/>
      <c r="N13" s="441"/>
      <c r="O13" s="441"/>
      <c r="P13" s="441"/>
      <c r="Q13" s="441"/>
      <c r="R13" s="230">
        <f>F13*0.25</f>
        <v>587.5</v>
      </c>
      <c r="S13" s="230">
        <f>F13*0.25</f>
        <v>587.5</v>
      </c>
      <c r="T13" s="230">
        <f>F13*0.25</f>
        <v>587.5</v>
      </c>
      <c r="U13" s="230">
        <f>F13*0.25</f>
        <v>587.5</v>
      </c>
      <c r="V13" s="231">
        <f>R13*E13</f>
        <v>88125</v>
      </c>
      <c r="W13" s="231">
        <f>S13*E13</f>
        <v>88125</v>
      </c>
      <c r="X13" s="231">
        <f>T13*E13</f>
        <v>88125</v>
      </c>
      <c r="Y13" s="231">
        <f>U13*E13</f>
        <v>88125</v>
      </c>
      <c r="Z13" s="230">
        <v>150</v>
      </c>
      <c r="AA13" s="231">
        <f>Z13*E13</f>
        <v>22500</v>
      </c>
      <c r="AB13" s="230">
        <v>150</v>
      </c>
      <c r="AC13" s="231">
        <f>AB13*E13</f>
        <v>22500</v>
      </c>
      <c r="AD13" s="230">
        <v>50</v>
      </c>
      <c r="AE13" s="231">
        <f>AD13*E13</f>
        <v>7500</v>
      </c>
      <c r="AF13" s="230">
        <v>150</v>
      </c>
      <c r="AG13" s="231">
        <f>AF13*E13</f>
        <v>22500</v>
      </c>
      <c r="AH13" s="230">
        <v>200</v>
      </c>
      <c r="AI13" s="231">
        <f>AH13*E13</f>
        <v>30000</v>
      </c>
      <c r="AJ13" s="230">
        <v>150</v>
      </c>
      <c r="AK13" s="231">
        <f>AJ13*E13</f>
        <v>22500</v>
      </c>
      <c r="AL13" s="230">
        <v>150</v>
      </c>
      <c r="AM13" s="231">
        <f>AL13*E13</f>
        <v>22500</v>
      </c>
      <c r="AN13" s="230">
        <v>100</v>
      </c>
      <c r="AO13" s="231">
        <f>AN13*E13</f>
        <v>15000</v>
      </c>
      <c r="AP13" s="230">
        <v>50</v>
      </c>
      <c r="AQ13" s="231">
        <f>AP13*E13</f>
        <v>7500</v>
      </c>
      <c r="AR13" s="230">
        <v>350</v>
      </c>
      <c r="AS13" s="231">
        <f>AR13*E13</f>
        <v>52500</v>
      </c>
      <c r="AT13" s="230">
        <v>150</v>
      </c>
      <c r="AU13" s="231">
        <f>AT13*E13</f>
        <v>22500</v>
      </c>
      <c r="AV13" s="230">
        <v>150</v>
      </c>
      <c r="AW13" s="231">
        <f>AV13*E13</f>
        <v>22500</v>
      </c>
      <c r="AX13" s="230">
        <v>150</v>
      </c>
      <c r="AY13" s="231">
        <f>AX13*E13</f>
        <v>22500</v>
      </c>
      <c r="AZ13" s="230">
        <v>150</v>
      </c>
      <c r="BA13" s="231">
        <f>AZ13*E13</f>
        <v>22500</v>
      </c>
      <c r="BB13" s="230">
        <v>100</v>
      </c>
      <c r="BC13" s="231">
        <f>BB13*E13</f>
        <v>15000</v>
      </c>
      <c r="BD13" s="230">
        <v>50</v>
      </c>
      <c r="BE13" s="231">
        <f>BD13*E13</f>
        <v>7500</v>
      </c>
      <c r="BF13" s="230">
        <v>100</v>
      </c>
      <c r="BG13" s="231">
        <f>BF13*E13</f>
        <v>15000</v>
      </c>
      <c r="BH13" s="230"/>
      <c r="BI13" s="231">
        <f>BH13*E13</f>
        <v>0</v>
      </c>
      <c r="BJ13" s="230">
        <f t="shared" si="2"/>
        <v>2350</v>
      </c>
      <c r="BK13" s="230">
        <f t="shared" si="2"/>
        <v>352500</v>
      </c>
      <c r="BL13" s="527" t="s">
        <v>210</v>
      </c>
      <c r="BM13" s="535"/>
      <c r="BN13" s="225"/>
      <c r="BO13" s="225">
        <f>G13</f>
        <v>352500</v>
      </c>
      <c r="BP13" s="225"/>
      <c r="BQ13" s="225"/>
      <c r="BR13" s="225">
        <f>BN13+BO13+BP13+BQ13</f>
        <v>352500</v>
      </c>
      <c r="BS13" s="225"/>
      <c r="BT13" s="225"/>
      <c r="BU13" s="225">
        <f>BS13+BT13</f>
        <v>0</v>
      </c>
      <c r="BV13" s="530">
        <f t="shared" si="1"/>
        <v>352500</v>
      </c>
    </row>
    <row r="14" spans="1:74" x14ac:dyDescent="0.25">
      <c r="A14" s="756"/>
      <c r="B14" s="181" t="s">
        <v>758</v>
      </c>
      <c r="C14" s="653" t="s">
        <v>992</v>
      </c>
      <c r="D14" s="527" t="s">
        <v>70</v>
      </c>
      <c r="E14" s="533">
        <v>150</v>
      </c>
      <c r="F14" s="194">
        <f>BJ14</f>
        <v>1740</v>
      </c>
      <c r="G14" s="441">
        <f>BK14</f>
        <v>263500</v>
      </c>
      <c r="H14" s="534">
        <f>G14*0.2</f>
        <v>52700</v>
      </c>
      <c r="I14" s="534">
        <f>G14*0.8</f>
        <v>210800</v>
      </c>
      <c r="J14" s="441"/>
      <c r="K14" s="441"/>
      <c r="L14" s="441"/>
      <c r="M14" s="441"/>
      <c r="N14" s="441"/>
      <c r="O14" s="441"/>
      <c r="P14" s="441"/>
      <c r="Q14" s="441"/>
      <c r="R14" s="230">
        <f>F14*0.25</f>
        <v>435</v>
      </c>
      <c r="S14" s="230">
        <f>F14*0.25</f>
        <v>435</v>
      </c>
      <c r="T14" s="230">
        <f>F14*0.25</f>
        <v>435</v>
      </c>
      <c r="U14" s="230">
        <f>F14*0.25</f>
        <v>435</v>
      </c>
      <c r="V14" s="231">
        <f>G14*0.2</f>
        <v>52700</v>
      </c>
      <c r="W14" s="231">
        <f>G14*0.45</f>
        <v>118575</v>
      </c>
      <c r="X14" s="231">
        <f>G14*0.25</f>
        <v>65875</v>
      </c>
      <c r="Y14" s="231">
        <f>G14*0.1</f>
        <v>26350</v>
      </c>
      <c r="Z14" s="230">
        <v>150</v>
      </c>
      <c r="AA14" s="231">
        <f>Z14*E14</f>
        <v>22500</v>
      </c>
      <c r="AB14" s="230">
        <v>100</v>
      </c>
      <c r="AC14" s="231">
        <f>AB14*E14</f>
        <v>15000</v>
      </c>
      <c r="AD14" s="230">
        <v>50</v>
      </c>
      <c r="AE14" s="231">
        <f>AD14*E14</f>
        <v>7500</v>
      </c>
      <c r="AF14" s="230">
        <v>150</v>
      </c>
      <c r="AG14" s="231">
        <f>AF14*E14</f>
        <v>22500</v>
      </c>
      <c r="AH14" s="230">
        <v>150</v>
      </c>
      <c r="AI14" s="231">
        <f>AH14*E14</f>
        <v>22500</v>
      </c>
      <c r="AJ14" s="230">
        <v>100</v>
      </c>
      <c r="AK14" s="231">
        <f>AJ14*E14</f>
        <v>15000</v>
      </c>
      <c r="AL14" s="230">
        <v>100</v>
      </c>
      <c r="AM14" s="231">
        <f>AL14*E14</f>
        <v>15000</v>
      </c>
      <c r="AN14" s="230">
        <v>50</v>
      </c>
      <c r="AO14" s="231">
        <v>10000</v>
      </c>
      <c r="AP14" s="230">
        <v>40</v>
      </c>
      <c r="AQ14" s="231">
        <f>AP14*E14</f>
        <v>6000</v>
      </c>
      <c r="AR14" s="230">
        <v>350</v>
      </c>
      <c r="AS14" s="231">
        <f>AR14*E14</f>
        <v>52500</v>
      </c>
      <c r="AT14" s="230">
        <v>90</v>
      </c>
      <c r="AU14" s="231">
        <f>AT14*E14</f>
        <v>13500</v>
      </c>
      <c r="AV14" s="230">
        <v>60</v>
      </c>
      <c r="AW14" s="231">
        <f>AV14*E14</f>
        <v>9000</v>
      </c>
      <c r="AX14" s="230">
        <v>60</v>
      </c>
      <c r="AY14" s="231">
        <f>AX14*E14</f>
        <v>9000</v>
      </c>
      <c r="AZ14" s="230">
        <v>100</v>
      </c>
      <c r="BA14" s="231">
        <f>AZ14*E14</f>
        <v>15000</v>
      </c>
      <c r="BB14" s="230">
        <v>50</v>
      </c>
      <c r="BC14" s="231">
        <f>BB14*E14</f>
        <v>7500</v>
      </c>
      <c r="BD14" s="230">
        <v>40</v>
      </c>
      <c r="BE14" s="231">
        <f>BD14*E14</f>
        <v>6000</v>
      </c>
      <c r="BF14" s="230">
        <v>100</v>
      </c>
      <c r="BG14" s="231">
        <f>BF14*E14</f>
        <v>15000</v>
      </c>
      <c r="BH14" s="230"/>
      <c r="BI14" s="231">
        <f>BH14*E14</f>
        <v>0</v>
      </c>
      <c r="BJ14" s="230">
        <f t="shared" si="2"/>
        <v>1740</v>
      </c>
      <c r="BK14" s="230">
        <f t="shared" si="2"/>
        <v>263500</v>
      </c>
      <c r="BL14" s="527" t="s">
        <v>210</v>
      </c>
      <c r="BM14" s="535"/>
      <c r="BN14" s="225"/>
      <c r="BO14" s="225">
        <f>G14</f>
        <v>263500</v>
      </c>
      <c r="BP14" s="225"/>
      <c r="BQ14" s="225"/>
      <c r="BR14" s="225">
        <f>BN14+BO14+BP14+BQ14</f>
        <v>263500</v>
      </c>
      <c r="BS14" s="225"/>
      <c r="BT14" s="225"/>
      <c r="BU14" s="225">
        <f>BS14+BT14</f>
        <v>0</v>
      </c>
      <c r="BV14" s="530">
        <f t="shared" si="1"/>
        <v>263500</v>
      </c>
    </row>
    <row r="15" spans="1:74" ht="31.5" x14ac:dyDescent="0.25">
      <c r="A15" s="756"/>
      <c r="B15" s="181" t="s">
        <v>759</v>
      </c>
      <c r="C15" s="654" t="s">
        <v>660</v>
      </c>
      <c r="D15" s="527" t="s">
        <v>16</v>
      </c>
      <c r="E15" s="533">
        <v>15000</v>
      </c>
      <c r="F15" s="194">
        <f>BJ15</f>
        <v>34</v>
      </c>
      <c r="G15" s="441">
        <f>BK15</f>
        <v>510000</v>
      </c>
      <c r="H15" s="534">
        <f>G15*0.2</f>
        <v>102000</v>
      </c>
      <c r="I15" s="534">
        <f>G15*0.8</f>
        <v>408000</v>
      </c>
      <c r="J15" s="441"/>
      <c r="K15" s="441"/>
      <c r="L15" s="441"/>
      <c r="M15" s="441"/>
      <c r="N15" s="441"/>
      <c r="O15" s="441"/>
      <c r="P15" s="441"/>
      <c r="Q15" s="441"/>
      <c r="R15" s="230"/>
      <c r="S15" s="230"/>
      <c r="T15" s="230"/>
      <c r="U15" s="230"/>
      <c r="V15" s="231"/>
      <c r="W15" s="231"/>
      <c r="X15" s="231"/>
      <c r="Y15" s="231"/>
      <c r="Z15" s="230">
        <v>2</v>
      </c>
      <c r="AA15" s="231">
        <f>Z15*E15</f>
        <v>30000</v>
      </c>
      <c r="AB15" s="230">
        <v>2</v>
      </c>
      <c r="AC15" s="231">
        <f>AB15*E15</f>
        <v>30000</v>
      </c>
      <c r="AD15" s="230">
        <v>2</v>
      </c>
      <c r="AE15" s="231">
        <f>AD15*E15</f>
        <v>30000</v>
      </c>
      <c r="AF15" s="230">
        <v>2</v>
      </c>
      <c r="AG15" s="231">
        <f>AF15*E15</f>
        <v>30000</v>
      </c>
      <c r="AH15" s="230">
        <v>2</v>
      </c>
      <c r="AI15" s="231">
        <f>AH15*E15</f>
        <v>30000</v>
      </c>
      <c r="AJ15" s="230">
        <v>2</v>
      </c>
      <c r="AK15" s="231">
        <f>AJ15*E15</f>
        <v>30000</v>
      </c>
      <c r="AL15" s="230">
        <v>2</v>
      </c>
      <c r="AM15" s="231">
        <f>AL15*E15</f>
        <v>30000</v>
      </c>
      <c r="AN15" s="230">
        <v>2</v>
      </c>
      <c r="AO15" s="231">
        <f>AN15*E15</f>
        <v>30000</v>
      </c>
      <c r="AP15" s="230">
        <v>2</v>
      </c>
      <c r="AQ15" s="231">
        <f>AP15*E15</f>
        <v>30000</v>
      </c>
      <c r="AR15" s="230">
        <v>2</v>
      </c>
      <c r="AS15" s="231">
        <f>AR15*E15</f>
        <v>30000</v>
      </c>
      <c r="AT15" s="230">
        <v>2</v>
      </c>
      <c r="AU15" s="231">
        <f>AT15*E15</f>
        <v>30000</v>
      </c>
      <c r="AV15" s="230">
        <v>2</v>
      </c>
      <c r="AW15" s="231">
        <f>AV15*E15</f>
        <v>30000</v>
      </c>
      <c r="AX15" s="230">
        <v>2</v>
      </c>
      <c r="AY15" s="231">
        <f>AX15*E15</f>
        <v>30000</v>
      </c>
      <c r="AZ15" s="230">
        <v>2</v>
      </c>
      <c r="BA15" s="231">
        <f>AZ15*E15</f>
        <v>30000</v>
      </c>
      <c r="BB15" s="230">
        <v>2</v>
      </c>
      <c r="BC15" s="231">
        <f>BB15*E15</f>
        <v>30000</v>
      </c>
      <c r="BD15" s="230">
        <v>2</v>
      </c>
      <c r="BE15" s="231">
        <f>BD15*E15</f>
        <v>30000</v>
      </c>
      <c r="BF15" s="230">
        <v>2</v>
      </c>
      <c r="BG15" s="231">
        <f>BF15*E15</f>
        <v>30000</v>
      </c>
      <c r="BH15" s="230"/>
      <c r="BI15" s="231"/>
      <c r="BJ15" s="230">
        <f t="shared" si="2"/>
        <v>34</v>
      </c>
      <c r="BK15" s="230">
        <f t="shared" si="2"/>
        <v>510000</v>
      </c>
      <c r="BL15" s="527" t="s">
        <v>210</v>
      </c>
      <c r="BM15" s="535"/>
      <c r="BN15" s="225"/>
      <c r="BO15" s="225">
        <f>G15</f>
        <v>510000</v>
      </c>
      <c r="BP15" s="225"/>
      <c r="BQ15" s="225"/>
      <c r="BR15" s="225">
        <f>BN15+BO15+BP15+BQ15</f>
        <v>510000</v>
      </c>
      <c r="BS15" s="225"/>
      <c r="BT15" s="225"/>
      <c r="BU15" s="225"/>
      <c r="BV15" s="530">
        <f t="shared" si="1"/>
        <v>510000</v>
      </c>
    </row>
    <row r="16" spans="1:74" s="237" customFormat="1" x14ac:dyDescent="0.25">
      <c r="A16" s="756"/>
      <c r="B16" s="555"/>
      <c r="C16" s="526" t="s">
        <v>433</v>
      </c>
      <c r="D16" s="527" t="s">
        <v>111</v>
      </c>
      <c r="E16" s="533" t="s">
        <v>111</v>
      </c>
      <c r="F16" s="184">
        <f>SUM(F12:F14)</f>
        <v>6300</v>
      </c>
      <c r="G16" s="184">
        <f>SUM(G12:G15)</f>
        <v>1457500</v>
      </c>
      <c r="H16" s="184">
        <f t="shared" ref="H16:BS16" si="3">SUM(H12:H15)</f>
        <v>291500</v>
      </c>
      <c r="I16" s="184">
        <f t="shared" si="3"/>
        <v>1166000</v>
      </c>
      <c r="J16" s="184">
        <f t="shared" si="3"/>
        <v>0</v>
      </c>
      <c r="K16" s="184">
        <f t="shared" si="3"/>
        <v>0</v>
      </c>
      <c r="L16" s="184">
        <f t="shared" si="3"/>
        <v>0</v>
      </c>
      <c r="M16" s="184">
        <f t="shared" si="3"/>
        <v>0</v>
      </c>
      <c r="N16" s="184">
        <f t="shared" si="3"/>
        <v>0</v>
      </c>
      <c r="O16" s="184">
        <f t="shared" si="3"/>
        <v>0</v>
      </c>
      <c r="P16" s="184">
        <f t="shared" si="3"/>
        <v>0</v>
      </c>
      <c r="Q16" s="184">
        <f t="shared" si="3"/>
        <v>0</v>
      </c>
      <c r="R16" s="184">
        <f t="shared" si="3"/>
        <v>1575</v>
      </c>
      <c r="S16" s="184">
        <f t="shared" si="3"/>
        <v>1575</v>
      </c>
      <c r="T16" s="184">
        <f t="shared" si="3"/>
        <v>1575</v>
      </c>
      <c r="U16" s="184">
        <f t="shared" si="3"/>
        <v>1575</v>
      </c>
      <c r="V16" s="184">
        <f t="shared" si="3"/>
        <v>223700</v>
      </c>
      <c r="W16" s="184">
        <f t="shared" si="3"/>
        <v>289575</v>
      </c>
      <c r="X16" s="184">
        <f t="shared" si="3"/>
        <v>236875</v>
      </c>
      <c r="Y16" s="184">
        <f t="shared" si="3"/>
        <v>197350</v>
      </c>
      <c r="Z16" s="184">
        <f t="shared" si="3"/>
        <v>452</v>
      </c>
      <c r="AA16" s="184">
        <f t="shared" si="3"/>
        <v>97500</v>
      </c>
      <c r="AB16" s="184">
        <f t="shared" si="3"/>
        <v>402</v>
      </c>
      <c r="AC16" s="184">
        <f t="shared" si="3"/>
        <v>90000</v>
      </c>
      <c r="AD16" s="184">
        <f t="shared" si="3"/>
        <v>152</v>
      </c>
      <c r="AE16" s="184">
        <f t="shared" si="3"/>
        <v>52500</v>
      </c>
      <c r="AF16" s="184">
        <f t="shared" si="3"/>
        <v>452</v>
      </c>
      <c r="AG16" s="184">
        <f t="shared" si="3"/>
        <v>97500</v>
      </c>
      <c r="AH16" s="184">
        <f t="shared" si="3"/>
        <v>412</v>
      </c>
      <c r="AI16" s="184">
        <f t="shared" si="3"/>
        <v>91500</v>
      </c>
      <c r="AJ16" s="184">
        <f t="shared" si="3"/>
        <v>402</v>
      </c>
      <c r="AK16" s="184">
        <f t="shared" si="3"/>
        <v>90000</v>
      </c>
      <c r="AL16" s="184">
        <f t="shared" si="3"/>
        <v>402</v>
      </c>
      <c r="AM16" s="184">
        <f t="shared" si="3"/>
        <v>90000</v>
      </c>
      <c r="AN16" s="184">
        <f t="shared" si="3"/>
        <v>252</v>
      </c>
      <c r="AO16" s="184">
        <f t="shared" si="3"/>
        <v>70000</v>
      </c>
      <c r="AP16" s="184">
        <f t="shared" si="3"/>
        <v>142</v>
      </c>
      <c r="AQ16" s="184">
        <f t="shared" si="3"/>
        <v>51000</v>
      </c>
      <c r="AR16" s="184">
        <f t="shared" si="3"/>
        <v>1052</v>
      </c>
      <c r="AS16" s="184">
        <f t="shared" si="3"/>
        <v>187500</v>
      </c>
      <c r="AT16" s="184">
        <f t="shared" si="3"/>
        <v>392</v>
      </c>
      <c r="AU16" s="184">
        <f t="shared" si="3"/>
        <v>88500</v>
      </c>
      <c r="AV16" s="184">
        <f t="shared" si="3"/>
        <v>362</v>
      </c>
      <c r="AW16" s="184">
        <f t="shared" si="3"/>
        <v>84000</v>
      </c>
      <c r="AX16" s="184">
        <f t="shared" si="3"/>
        <v>362</v>
      </c>
      <c r="AY16" s="184">
        <f t="shared" si="3"/>
        <v>84000</v>
      </c>
      <c r="AZ16" s="184">
        <f t="shared" si="3"/>
        <v>402</v>
      </c>
      <c r="BA16" s="184">
        <f t="shared" si="3"/>
        <v>90000</v>
      </c>
      <c r="BB16" s="184">
        <f t="shared" si="3"/>
        <v>252</v>
      </c>
      <c r="BC16" s="184">
        <f t="shared" si="3"/>
        <v>67500</v>
      </c>
      <c r="BD16" s="184">
        <f t="shared" si="3"/>
        <v>142</v>
      </c>
      <c r="BE16" s="184">
        <f t="shared" si="3"/>
        <v>51000</v>
      </c>
      <c r="BF16" s="184">
        <f t="shared" si="3"/>
        <v>302</v>
      </c>
      <c r="BG16" s="184">
        <f t="shared" si="3"/>
        <v>75000</v>
      </c>
      <c r="BH16" s="184">
        <f t="shared" si="3"/>
        <v>0</v>
      </c>
      <c r="BI16" s="184">
        <f t="shared" si="3"/>
        <v>0</v>
      </c>
      <c r="BJ16" s="184">
        <f t="shared" si="3"/>
        <v>6334</v>
      </c>
      <c r="BK16" s="184">
        <f t="shared" si="3"/>
        <v>1457500</v>
      </c>
      <c r="BL16" s="184">
        <f t="shared" si="3"/>
        <v>0</v>
      </c>
      <c r="BM16" s="184">
        <f t="shared" si="3"/>
        <v>0</v>
      </c>
      <c r="BN16" s="184">
        <f t="shared" si="3"/>
        <v>0</v>
      </c>
      <c r="BO16" s="184">
        <f t="shared" si="3"/>
        <v>1457500</v>
      </c>
      <c r="BP16" s="184">
        <f t="shared" si="3"/>
        <v>0</v>
      </c>
      <c r="BQ16" s="184">
        <f t="shared" si="3"/>
        <v>0</v>
      </c>
      <c r="BR16" s="184">
        <f t="shared" si="3"/>
        <v>1457500</v>
      </c>
      <c r="BS16" s="184">
        <f t="shared" si="3"/>
        <v>0</v>
      </c>
      <c r="BT16" s="184">
        <f>SUM(BT12:BT15)</f>
        <v>0</v>
      </c>
      <c r="BU16" s="184">
        <f>SUM(BU12:BU15)</f>
        <v>0</v>
      </c>
      <c r="BV16" s="184">
        <f>SUM(BV12:BV15)</f>
        <v>1457500</v>
      </c>
    </row>
    <row r="17" spans="1:74" x14ac:dyDescent="0.25">
      <c r="A17" s="756"/>
      <c r="B17" s="181"/>
      <c r="C17" s="526" t="s">
        <v>662</v>
      </c>
      <c r="D17" s="527"/>
      <c r="E17" s="527"/>
      <c r="F17" s="194"/>
      <c r="G17" s="561"/>
      <c r="H17" s="561"/>
      <c r="I17" s="561"/>
      <c r="J17" s="561"/>
      <c r="K17" s="561"/>
      <c r="L17" s="561"/>
      <c r="M17" s="561"/>
      <c r="N17" s="561"/>
      <c r="O17" s="231"/>
      <c r="P17" s="231"/>
      <c r="Q17" s="231"/>
      <c r="R17" s="230"/>
      <c r="S17" s="230"/>
      <c r="T17" s="230"/>
      <c r="U17" s="230"/>
      <c r="V17" s="231"/>
      <c r="W17" s="231"/>
      <c r="X17" s="231"/>
      <c r="Y17" s="231"/>
      <c r="Z17" s="230"/>
      <c r="AA17" s="231">
        <f>Z17*E17</f>
        <v>0</v>
      </c>
      <c r="AB17" s="230"/>
      <c r="AC17" s="231">
        <f>AB17*E17</f>
        <v>0</v>
      </c>
      <c r="AD17" s="230"/>
      <c r="AE17" s="231">
        <f>AD17*E17</f>
        <v>0</v>
      </c>
      <c r="AF17" s="230"/>
      <c r="AG17" s="231">
        <f>AF17*E17</f>
        <v>0</v>
      </c>
      <c r="AH17" s="230"/>
      <c r="AI17" s="231">
        <f>AH17*E17</f>
        <v>0</v>
      </c>
      <c r="AJ17" s="230"/>
      <c r="AK17" s="231">
        <f>AJ17*E17</f>
        <v>0</v>
      </c>
      <c r="AL17" s="230"/>
      <c r="AM17" s="231">
        <f>AL17*E17</f>
        <v>0</v>
      </c>
      <c r="AN17" s="230"/>
      <c r="AO17" s="231">
        <f>AN17*E17</f>
        <v>0</v>
      </c>
      <c r="AP17" s="230"/>
      <c r="AQ17" s="231">
        <f>AP17*E17</f>
        <v>0</v>
      </c>
      <c r="AR17" s="230"/>
      <c r="AS17" s="231">
        <f>AR17*E17</f>
        <v>0</v>
      </c>
      <c r="AT17" s="230"/>
      <c r="AU17" s="231">
        <f>AT17*E17</f>
        <v>0</v>
      </c>
      <c r="AV17" s="230"/>
      <c r="AW17" s="231">
        <f>AV17*E17</f>
        <v>0</v>
      </c>
      <c r="AX17" s="231"/>
      <c r="AY17" s="231">
        <f>AX17*E17</f>
        <v>0</v>
      </c>
      <c r="AZ17" s="230"/>
      <c r="BA17" s="231">
        <f>AZ17*E17</f>
        <v>0</v>
      </c>
      <c r="BB17" s="230"/>
      <c r="BC17" s="231">
        <f>BB17*E17</f>
        <v>0</v>
      </c>
      <c r="BD17" s="230"/>
      <c r="BE17" s="231"/>
      <c r="BF17" s="230"/>
      <c r="BG17" s="231"/>
      <c r="BH17" s="230"/>
      <c r="BI17" s="231"/>
      <c r="BJ17" s="230"/>
      <c r="BK17" s="231"/>
      <c r="BL17" s="527"/>
      <c r="BN17" s="225"/>
      <c r="BO17" s="225"/>
      <c r="BP17" s="225"/>
      <c r="BQ17" s="225"/>
      <c r="BR17" s="225"/>
      <c r="BS17" s="225"/>
      <c r="BT17" s="225"/>
      <c r="BU17" s="225"/>
      <c r="BV17" s="530">
        <f t="shared" si="1"/>
        <v>0</v>
      </c>
    </row>
    <row r="18" spans="1:74" ht="21.75" customHeight="1" x14ac:dyDescent="0.25">
      <c r="A18" s="756"/>
      <c r="B18" s="181" t="s">
        <v>760</v>
      </c>
      <c r="C18" s="653" t="s">
        <v>434</v>
      </c>
      <c r="D18" s="527" t="s">
        <v>333</v>
      </c>
      <c r="E18" s="537">
        <v>100000</v>
      </c>
      <c r="F18" s="194">
        <f t="shared" ref="F18:G20" si="4">BJ18</f>
        <v>1</v>
      </c>
      <c r="G18" s="441">
        <f t="shared" si="4"/>
        <v>100000</v>
      </c>
      <c r="H18" s="534">
        <f>G18*0.2</f>
        <v>20000</v>
      </c>
      <c r="I18" s="534">
        <f>G18*0.8</f>
        <v>80000</v>
      </c>
      <c r="J18" s="231"/>
      <c r="K18" s="231"/>
      <c r="L18" s="231"/>
      <c r="M18" s="231"/>
      <c r="N18" s="231"/>
      <c r="O18" s="231"/>
      <c r="P18" s="231"/>
      <c r="Q18" s="231"/>
      <c r="R18" s="230">
        <f>F18*0.25</f>
        <v>0.25</v>
      </c>
      <c r="S18" s="230">
        <f>F18*0.25</f>
        <v>0.25</v>
      </c>
      <c r="T18" s="230">
        <f>F18*0.25</f>
        <v>0.25</v>
      </c>
      <c r="U18" s="230">
        <f>F18*0.25</f>
        <v>0.25</v>
      </c>
      <c r="V18" s="231">
        <f>R18*E18</f>
        <v>25000</v>
      </c>
      <c r="W18" s="231">
        <f>S18*E18</f>
        <v>25000</v>
      </c>
      <c r="X18" s="231">
        <f>T18*E18</f>
        <v>25000</v>
      </c>
      <c r="Y18" s="231">
        <f>U18*E18</f>
        <v>25000</v>
      </c>
      <c r="Z18" s="230"/>
      <c r="AA18" s="231">
        <f>Z18*E18</f>
        <v>0</v>
      </c>
      <c r="AB18" s="230"/>
      <c r="AC18" s="231">
        <f>AB18*E18</f>
        <v>0</v>
      </c>
      <c r="AD18" s="230">
        <v>0</v>
      </c>
      <c r="AE18" s="231">
        <f>AD18*E18</f>
        <v>0</v>
      </c>
      <c r="AF18" s="230">
        <v>0</v>
      </c>
      <c r="AG18" s="231">
        <f>AF18*E18</f>
        <v>0</v>
      </c>
      <c r="AH18" s="230">
        <v>0</v>
      </c>
      <c r="AI18" s="231">
        <f>AH18*E18</f>
        <v>0</v>
      </c>
      <c r="AJ18" s="230">
        <v>0</v>
      </c>
      <c r="AK18" s="231">
        <f>AJ18*E18</f>
        <v>0</v>
      </c>
      <c r="AL18" s="230"/>
      <c r="AM18" s="231">
        <f>AL18*E18</f>
        <v>0</v>
      </c>
      <c r="AN18" s="230"/>
      <c r="AO18" s="231">
        <f>AN18*E18</f>
        <v>0</v>
      </c>
      <c r="AP18" s="230"/>
      <c r="AQ18" s="231">
        <f>AP18*E18</f>
        <v>0</v>
      </c>
      <c r="AR18" s="230"/>
      <c r="AS18" s="231">
        <f>AR18*E18</f>
        <v>0</v>
      </c>
      <c r="AT18" s="230"/>
      <c r="AU18" s="231">
        <f>AT18*E18</f>
        <v>0</v>
      </c>
      <c r="AV18" s="230">
        <v>0</v>
      </c>
      <c r="AW18" s="231">
        <f>AV18*E18</f>
        <v>0</v>
      </c>
      <c r="AX18" s="231">
        <v>0</v>
      </c>
      <c r="AY18" s="231">
        <f>AX18*E18</f>
        <v>0</v>
      </c>
      <c r="AZ18" s="230"/>
      <c r="BA18" s="231">
        <f>AZ18*E18</f>
        <v>0</v>
      </c>
      <c r="BB18" s="230"/>
      <c r="BC18" s="231">
        <f>BB18*E18</f>
        <v>0</v>
      </c>
      <c r="BD18" s="230"/>
      <c r="BE18" s="231">
        <f>BD18*E18</f>
        <v>0</v>
      </c>
      <c r="BF18" s="230"/>
      <c r="BG18" s="231">
        <f>BF18*E18</f>
        <v>0</v>
      </c>
      <c r="BH18" s="230">
        <v>1</v>
      </c>
      <c r="BI18" s="231">
        <f>BH18*E18</f>
        <v>100000</v>
      </c>
      <c r="BJ18" s="230">
        <f t="shared" ref="BJ18:BK20" si="5">BH18+BF18+BD18+BB18+AZ18+AX18+AV18+AT18+AR18+AP18+AN18+AL18+AJ18+AH18+AF18+AD18+AB18+Z18</f>
        <v>1</v>
      </c>
      <c r="BK18" s="230">
        <f t="shared" si="5"/>
        <v>100000</v>
      </c>
      <c r="BL18" s="527" t="s">
        <v>210</v>
      </c>
      <c r="BM18" s="535"/>
      <c r="BN18" s="225"/>
      <c r="BO18" s="225">
        <f>G18</f>
        <v>100000</v>
      </c>
      <c r="BP18" s="225"/>
      <c r="BQ18" s="225"/>
      <c r="BR18" s="225">
        <f>BN18+BO18+BP18+BQ18</f>
        <v>100000</v>
      </c>
      <c r="BS18" s="225"/>
      <c r="BT18" s="225"/>
      <c r="BU18" s="225"/>
      <c r="BV18" s="530">
        <f t="shared" si="1"/>
        <v>100000</v>
      </c>
    </row>
    <row r="19" spans="1:74" ht="31.5" x14ac:dyDescent="0.25">
      <c r="A19" s="756"/>
      <c r="B19" s="181" t="s">
        <v>761</v>
      </c>
      <c r="C19" s="536" t="s">
        <v>993</v>
      </c>
      <c r="D19" s="527" t="s">
        <v>73</v>
      </c>
      <c r="E19" s="537">
        <v>2000000</v>
      </c>
      <c r="F19" s="194">
        <f t="shared" si="4"/>
        <v>1</v>
      </c>
      <c r="G19" s="441">
        <f t="shared" si="4"/>
        <v>2000000</v>
      </c>
      <c r="H19" s="534">
        <f>G19*0.2</f>
        <v>400000</v>
      </c>
      <c r="I19" s="534">
        <f>G19*0.8</f>
        <v>1600000</v>
      </c>
      <c r="J19" s="441"/>
      <c r="K19" s="441"/>
      <c r="L19" s="441"/>
      <c r="M19" s="441"/>
      <c r="N19" s="441"/>
      <c r="O19" s="441"/>
      <c r="P19" s="441"/>
      <c r="Q19" s="441"/>
      <c r="R19" s="230">
        <f>F19*0.25</f>
        <v>0.25</v>
      </c>
      <c r="S19" s="230">
        <f>F19*0.25</f>
        <v>0.25</v>
      </c>
      <c r="T19" s="230">
        <f>F19*0.25</f>
        <v>0.25</v>
      </c>
      <c r="U19" s="230">
        <f>F19*0.25</f>
        <v>0.25</v>
      </c>
      <c r="V19" s="231">
        <f>R19*E19</f>
        <v>500000</v>
      </c>
      <c r="W19" s="231">
        <f>S19*E19</f>
        <v>500000</v>
      </c>
      <c r="X19" s="231">
        <f>T19*E19</f>
        <v>500000</v>
      </c>
      <c r="Y19" s="231">
        <f>U19*E19</f>
        <v>500000</v>
      </c>
      <c r="Z19" s="230"/>
      <c r="AA19" s="231">
        <f>Z19*E19</f>
        <v>0</v>
      </c>
      <c r="AB19" s="230"/>
      <c r="AC19" s="231">
        <f>AB19*E19</f>
        <v>0</v>
      </c>
      <c r="AD19" s="230">
        <v>0</v>
      </c>
      <c r="AE19" s="231">
        <f>AD19*E19</f>
        <v>0</v>
      </c>
      <c r="AF19" s="230">
        <v>0</v>
      </c>
      <c r="AG19" s="231">
        <f>AF19*E19</f>
        <v>0</v>
      </c>
      <c r="AH19" s="230">
        <v>0</v>
      </c>
      <c r="AI19" s="231">
        <f>AH19*E19</f>
        <v>0</v>
      </c>
      <c r="AJ19" s="230">
        <v>0</v>
      </c>
      <c r="AK19" s="231">
        <f>AJ19*E19</f>
        <v>0</v>
      </c>
      <c r="AL19" s="230"/>
      <c r="AM19" s="231">
        <f>AL19*E19</f>
        <v>0</v>
      </c>
      <c r="AN19" s="230"/>
      <c r="AO19" s="231">
        <f>AN19*E19</f>
        <v>0</v>
      </c>
      <c r="AP19" s="230"/>
      <c r="AQ19" s="231">
        <f>AP19*E19</f>
        <v>0</v>
      </c>
      <c r="AR19" s="230"/>
      <c r="AS19" s="231">
        <f>AR19*E19</f>
        <v>0</v>
      </c>
      <c r="AT19" s="230"/>
      <c r="AU19" s="231">
        <f>AT19*E19</f>
        <v>0</v>
      </c>
      <c r="AV19" s="230">
        <v>0</v>
      </c>
      <c r="AW19" s="231">
        <f>AV19*E19</f>
        <v>0</v>
      </c>
      <c r="AX19" s="231">
        <v>0</v>
      </c>
      <c r="AY19" s="231">
        <f>AX19*E19</f>
        <v>0</v>
      </c>
      <c r="AZ19" s="230"/>
      <c r="BA19" s="231">
        <f>AZ19*E19</f>
        <v>0</v>
      </c>
      <c r="BB19" s="230"/>
      <c r="BC19" s="231">
        <f>BB19*E19</f>
        <v>0</v>
      </c>
      <c r="BD19" s="230"/>
      <c r="BE19" s="231">
        <f>BD19*E19</f>
        <v>0</v>
      </c>
      <c r="BF19" s="230"/>
      <c r="BG19" s="231">
        <f>BF19*E19</f>
        <v>0</v>
      </c>
      <c r="BH19" s="230">
        <v>1</v>
      </c>
      <c r="BI19" s="231">
        <f>BH19*E19</f>
        <v>2000000</v>
      </c>
      <c r="BJ19" s="230">
        <f t="shared" si="5"/>
        <v>1</v>
      </c>
      <c r="BK19" s="230">
        <f t="shared" si="5"/>
        <v>2000000</v>
      </c>
      <c r="BL19" s="527" t="s">
        <v>210</v>
      </c>
      <c r="BM19" s="535"/>
      <c r="BN19" s="225"/>
      <c r="BO19" s="225">
        <v>0</v>
      </c>
      <c r="BP19" s="225">
        <f>G19</f>
        <v>2000000</v>
      </c>
      <c r="BQ19" s="225"/>
      <c r="BR19" s="225">
        <f>BN19+BO19+BP19+BQ19</f>
        <v>2000000</v>
      </c>
      <c r="BS19" s="225"/>
      <c r="BT19" s="225"/>
      <c r="BU19" s="225"/>
      <c r="BV19" s="530">
        <f t="shared" si="1"/>
        <v>2000000</v>
      </c>
    </row>
    <row r="20" spans="1:74" x14ac:dyDescent="0.25">
      <c r="A20" s="756"/>
      <c r="B20" s="181" t="s">
        <v>762</v>
      </c>
      <c r="C20" s="532" t="s">
        <v>1006</v>
      </c>
      <c r="D20" s="527" t="s">
        <v>239</v>
      </c>
      <c r="E20" s="533">
        <v>15000</v>
      </c>
      <c r="F20" s="194">
        <f t="shared" si="4"/>
        <v>204</v>
      </c>
      <c r="G20" s="441">
        <f t="shared" si="4"/>
        <v>3240000</v>
      </c>
      <c r="H20" s="534">
        <f>G20*0.2</f>
        <v>648000</v>
      </c>
      <c r="I20" s="534">
        <f>G20*0.8</f>
        <v>2592000</v>
      </c>
      <c r="J20" s="441"/>
      <c r="K20" s="441"/>
      <c r="L20" s="441"/>
      <c r="M20" s="441"/>
      <c r="N20" s="441"/>
      <c r="O20" s="441"/>
      <c r="P20" s="441"/>
      <c r="Q20" s="441"/>
      <c r="R20" s="230">
        <f>F20*0.25</f>
        <v>51</v>
      </c>
      <c r="S20" s="230">
        <f>F20*0.25</f>
        <v>51</v>
      </c>
      <c r="T20" s="230">
        <f>F20*0.25</f>
        <v>51</v>
      </c>
      <c r="U20" s="230">
        <f>F20*0.25</f>
        <v>51</v>
      </c>
      <c r="V20" s="231">
        <f>R20*E20</f>
        <v>765000</v>
      </c>
      <c r="W20" s="231">
        <f>S20*E20</f>
        <v>765000</v>
      </c>
      <c r="X20" s="231">
        <f>T20*E20</f>
        <v>765000</v>
      </c>
      <c r="Y20" s="231">
        <f>U20*E20+134000</f>
        <v>899000</v>
      </c>
      <c r="Z20" s="230">
        <v>12</v>
      </c>
      <c r="AA20" s="231">
        <f>Z20*E20</f>
        <v>180000</v>
      </c>
      <c r="AB20" s="230">
        <v>12</v>
      </c>
      <c r="AC20" s="231">
        <f>AB20*E20</f>
        <v>180000</v>
      </c>
      <c r="AD20" s="230">
        <v>12</v>
      </c>
      <c r="AE20" s="231">
        <f>AD20*E20</f>
        <v>180000</v>
      </c>
      <c r="AF20" s="230">
        <v>12</v>
      </c>
      <c r="AG20" s="231">
        <f>AF20*E20</f>
        <v>180000</v>
      </c>
      <c r="AH20" s="230">
        <v>12</v>
      </c>
      <c r="AI20" s="231">
        <f>AH20*E20</f>
        <v>180000</v>
      </c>
      <c r="AJ20" s="230">
        <v>12</v>
      </c>
      <c r="AK20" s="231">
        <f>AJ20*E20</f>
        <v>180000</v>
      </c>
      <c r="AL20" s="230">
        <v>12</v>
      </c>
      <c r="AM20" s="231">
        <v>360000</v>
      </c>
      <c r="AN20" s="230">
        <v>12</v>
      </c>
      <c r="AO20" s="231">
        <f>AN20*E20</f>
        <v>180000</v>
      </c>
      <c r="AP20" s="230">
        <v>12</v>
      </c>
      <c r="AQ20" s="231">
        <f>AP20*E20</f>
        <v>180000</v>
      </c>
      <c r="AR20" s="230">
        <v>12</v>
      </c>
      <c r="AS20" s="231">
        <f>AR20*E20</f>
        <v>180000</v>
      </c>
      <c r="AT20" s="230">
        <v>12</v>
      </c>
      <c r="AU20" s="231">
        <f>AT20*E20</f>
        <v>180000</v>
      </c>
      <c r="AV20" s="230">
        <v>12</v>
      </c>
      <c r="AW20" s="231">
        <f>AV20*E20</f>
        <v>180000</v>
      </c>
      <c r="AX20" s="231">
        <v>12</v>
      </c>
      <c r="AY20" s="231">
        <f>AX20*E20</f>
        <v>180000</v>
      </c>
      <c r="AZ20" s="230">
        <v>12</v>
      </c>
      <c r="BA20" s="231">
        <f>AZ20*E20</f>
        <v>180000</v>
      </c>
      <c r="BB20" s="230">
        <v>12</v>
      </c>
      <c r="BC20" s="231">
        <f>BB20*E20</f>
        <v>180000</v>
      </c>
      <c r="BD20" s="230">
        <v>12</v>
      </c>
      <c r="BE20" s="231">
        <f>BD20*E20</f>
        <v>180000</v>
      </c>
      <c r="BF20" s="230">
        <v>12</v>
      </c>
      <c r="BG20" s="231">
        <f>BF20*E20</f>
        <v>180000</v>
      </c>
      <c r="BH20" s="230">
        <v>0</v>
      </c>
      <c r="BI20" s="231">
        <f>BH20*E20</f>
        <v>0</v>
      </c>
      <c r="BJ20" s="230">
        <f t="shared" si="5"/>
        <v>204</v>
      </c>
      <c r="BK20" s="230">
        <f t="shared" si="5"/>
        <v>3240000</v>
      </c>
      <c r="BL20" s="527" t="s">
        <v>210</v>
      </c>
      <c r="BM20" s="535"/>
      <c r="BN20" s="225"/>
      <c r="BO20" s="225"/>
      <c r="BP20" s="225"/>
      <c r="BQ20" s="225"/>
      <c r="BR20" s="225">
        <f>BN20+BO20+BP20+BQ20</f>
        <v>0</v>
      </c>
      <c r="BS20" s="225">
        <f>BK20</f>
        <v>3240000</v>
      </c>
      <c r="BT20" s="225"/>
      <c r="BU20" s="225">
        <f>BS20+BT20</f>
        <v>3240000</v>
      </c>
      <c r="BV20" s="530">
        <f t="shared" si="1"/>
        <v>3240000</v>
      </c>
    </row>
    <row r="21" spans="1:74" s="237" customFormat="1" x14ac:dyDescent="0.25">
      <c r="A21" s="756"/>
      <c r="B21" s="555"/>
      <c r="C21" s="526" t="s">
        <v>994</v>
      </c>
      <c r="D21" s="538" t="s">
        <v>111</v>
      </c>
      <c r="E21" s="539" t="s">
        <v>111</v>
      </c>
      <c r="F21" s="184">
        <f t="shared" ref="F21:BK21" si="6">SUM(F18:F20)</f>
        <v>206</v>
      </c>
      <c r="G21" s="184">
        <f t="shared" si="6"/>
        <v>5340000</v>
      </c>
      <c r="H21" s="184">
        <f t="shared" si="6"/>
        <v>1068000</v>
      </c>
      <c r="I21" s="184">
        <f t="shared" si="6"/>
        <v>4272000</v>
      </c>
      <c r="J21" s="184">
        <f t="shared" si="6"/>
        <v>0</v>
      </c>
      <c r="K21" s="184">
        <f t="shared" si="6"/>
        <v>0</v>
      </c>
      <c r="L21" s="184">
        <f t="shared" si="6"/>
        <v>0</v>
      </c>
      <c r="M21" s="184">
        <f t="shared" si="6"/>
        <v>0</v>
      </c>
      <c r="N21" s="184">
        <f t="shared" si="6"/>
        <v>0</v>
      </c>
      <c r="O21" s="184">
        <f t="shared" si="6"/>
        <v>0</v>
      </c>
      <c r="P21" s="184">
        <f t="shared" si="6"/>
        <v>0</v>
      </c>
      <c r="Q21" s="184">
        <f t="shared" si="6"/>
        <v>0</v>
      </c>
      <c r="R21" s="184">
        <f t="shared" si="6"/>
        <v>51.5</v>
      </c>
      <c r="S21" s="184">
        <f t="shared" si="6"/>
        <v>51.5</v>
      </c>
      <c r="T21" s="184">
        <f t="shared" si="6"/>
        <v>51.5</v>
      </c>
      <c r="U21" s="184">
        <f t="shared" si="6"/>
        <v>51.5</v>
      </c>
      <c r="V21" s="184">
        <f t="shared" si="6"/>
        <v>1290000</v>
      </c>
      <c r="W21" s="184">
        <f t="shared" si="6"/>
        <v>1290000</v>
      </c>
      <c r="X21" s="184">
        <f t="shared" si="6"/>
        <v>1290000</v>
      </c>
      <c r="Y21" s="184">
        <f t="shared" si="6"/>
        <v>1424000</v>
      </c>
      <c r="Z21" s="184">
        <f t="shared" si="6"/>
        <v>12</v>
      </c>
      <c r="AA21" s="184">
        <f t="shared" si="6"/>
        <v>180000</v>
      </c>
      <c r="AB21" s="184">
        <f t="shared" si="6"/>
        <v>12</v>
      </c>
      <c r="AC21" s="184">
        <f t="shared" si="6"/>
        <v>180000</v>
      </c>
      <c r="AD21" s="184">
        <f t="shared" si="6"/>
        <v>12</v>
      </c>
      <c r="AE21" s="184">
        <f t="shared" si="6"/>
        <v>180000</v>
      </c>
      <c r="AF21" s="184">
        <f t="shared" si="6"/>
        <v>12</v>
      </c>
      <c r="AG21" s="184">
        <f t="shared" si="6"/>
        <v>180000</v>
      </c>
      <c r="AH21" s="184">
        <f t="shared" si="6"/>
        <v>12</v>
      </c>
      <c r="AI21" s="184">
        <f t="shared" si="6"/>
        <v>180000</v>
      </c>
      <c r="AJ21" s="184">
        <f t="shared" si="6"/>
        <v>12</v>
      </c>
      <c r="AK21" s="184">
        <f t="shared" si="6"/>
        <v>180000</v>
      </c>
      <c r="AL21" s="184">
        <f t="shared" si="6"/>
        <v>12</v>
      </c>
      <c r="AM21" s="184">
        <f t="shared" si="6"/>
        <v>360000</v>
      </c>
      <c r="AN21" s="184">
        <f t="shared" si="6"/>
        <v>12</v>
      </c>
      <c r="AO21" s="184">
        <f t="shared" si="6"/>
        <v>180000</v>
      </c>
      <c r="AP21" s="184">
        <f t="shared" si="6"/>
        <v>12</v>
      </c>
      <c r="AQ21" s="184">
        <f t="shared" si="6"/>
        <v>180000</v>
      </c>
      <c r="AR21" s="184">
        <f t="shared" si="6"/>
        <v>12</v>
      </c>
      <c r="AS21" s="184">
        <f t="shared" si="6"/>
        <v>180000</v>
      </c>
      <c r="AT21" s="184">
        <f t="shared" si="6"/>
        <v>12</v>
      </c>
      <c r="AU21" s="184">
        <f t="shared" si="6"/>
        <v>180000</v>
      </c>
      <c r="AV21" s="184">
        <f t="shared" si="6"/>
        <v>12</v>
      </c>
      <c r="AW21" s="184">
        <f t="shared" si="6"/>
        <v>180000</v>
      </c>
      <c r="AX21" s="184">
        <f t="shared" si="6"/>
        <v>12</v>
      </c>
      <c r="AY21" s="184">
        <f t="shared" si="6"/>
        <v>180000</v>
      </c>
      <c r="AZ21" s="184">
        <f t="shared" si="6"/>
        <v>12</v>
      </c>
      <c r="BA21" s="184">
        <f t="shared" si="6"/>
        <v>180000</v>
      </c>
      <c r="BB21" s="184">
        <f t="shared" si="6"/>
        <v>12</v>
      </c>
      <c r="BC21" s="184">
        <f t="shared" si="6"/>
        <v>180000</v>
      </c>
      <c r="BD21" s="184">
        <f t="shared" si="6"/>
        <v>12</v>
      </c>
      <c r="BE21" s="184">
        <f t="shared" si="6"/>
        <v>180000</v>
      </c>
      <c r="BF21" s="184">
        <f t="shared" si="6"/>
        <v>12</v>
      </c>
      <c r="BG21" s="184">
        <f t="shared" si="6"/>
        <v>180000</v>
      </c>
      <c r="BH21" s="184">
        <f t="shared" si="6"/>
        <v>2</v>
      </c>
      <c r="BI21" s="184">
        <f t="shared" si="6"/>
        <v>2100000</v>
      </c>
      <c r="BJ21" s="184">
        <f t="shared" si="6"/>
        <v>206</v>
      </c>
      <c r="BK21" s="184">
        <f t="shared" si="6"/>
        <v>5340000</v>
      </c>
      <c r="BL21" s="538" t="s">
        <v>111</v>
      </c>
      <c r="BM21" s="540"/>
      <c r="BN21" s="283"/>
      <c r="BO21" s="283">
        <f>SUM(BO18:BO20)</f>
        <v>100000</v>
      </c>
      <c r="BP21" s="283">
        <f t="shared" ref="BP21:BV21" si="7">SUM(BP18:BP20)</f>
        <v>2000000</v>
      </c>
      <c r="BQ21" s="283">
        <f t="shared" si="7"/>
        <v>0</v>
      </c>
      <c r="BR21" s="283">
        <f t="shared" si="7"/>
        <v>2100000</v>
      </c>
      <c r="BS21" s="283">
        <f t="shared" si="7"/>
        <v>3240000</v>
      </c>
      <c r="BT21" s="283">
        <f t="shared" si="7"/>
        <v>0</v>
      </c>
      <c r="BU21" s="283">
        <f t="shared" si="7"/>
        <v>3240000</v>
      </c>
      <c r="BV21" s="283">
        <f t="shared" si="7"/>
        <v>5340000</v>
      </c>
    </row>
    <row r="22" spans="1:74" s="237" customFormat="1" x14ac:dyDescent="0.25">
      <c r="A22" s="756"/>
      <c r="B22" s="555"/>
      <c r="C22" s="526" t="s">
        <v>435</v>
      </c>
      <c r="D22" s="527"/>
      <c r="E22" s="527"/>
      <c r="F22" s="184"/>
      <c r="G22" s="561"/>
      <c r="H22" s="561"/>
      <c r="I22" s="561"/>
      <c r="J22" s="561"/>
      <c r="K22" s="561"/>
      <c r="L22" s="561"/>
      <c r="M22" s="561"/>
      <c r="N22" s="561"/>
      <c r="O22" s="561"/>
      <c r="P22" s="561"/>
      <c r="Q22" s="561"/>
      <c r="R22" s="561"/>
      <c r="S22" s="561"/>
      <c r="T22" s="561"/>
      <c r="U22" s="561"/>
      <c r="V22" s="561"/>
      <c r="W22" s="561"/>
      <c r="X22" s="561"/>
      <c r="Y22" s="561"/>
      <c r="Z22" s="560"/>
      <c r="AA22" s="231">
        <f t="shared" ref="AA22:AA33" si="8">Z22*E22</f>
        <v>0</v>
      </c>
      <c r="AB22" s="560"/>
      <c r="AC22" s="231">
        <f t="shared" ref="AC22:AC33" si="9">AB22*E22</f>
        <v>0</v>
      </c>
      <c r="AD22" s="560"/>
      <c r="AE22" s="231">
        <f t="shared" ref="AE22:AE33" si="10">AD22*E22</f>
        <v>0</v>
      </c>
      <c r="AF22" s="560"/>
      <c r="AG22" s="231">
        <f t="shared" ref="AG22:AG33" si="11">AF22*E22</f>
        <v>0</v>
      </c>
      <c r="AH22" s="560"/>
      <c r="AI22" s="231">
        <f>AH22*E22</f>
        <v>0</v>
      </c>
      <c r="AJ22" s="560"/>
      <c r="AK22" s="231">
        <f t="shared" ref="AK22:AK33" si="12">AJ22*E22</f>
        <v>0</v>
      </c>
      <c r="AL22" s="560"/>
      <c r="AM22" s="231">
        <f t="shared" ref="AM22:AM33" si="13">AL22*E22</f>
        <v>0</v>
      </c>
      <c r="AN22" s="560"/>
      <c r="AO22" s="231">
        <f t="shared" ref="AO22:AO33" si="14">AN22*E22</f>
        <v>0</v>
      </c>
      <c r="AP22" s="560"/>
      <c r="AQ22" s="231">
        <f t="shared" ref="AQ22:AQ33" si="15">AP22*E22</f>
        <v>0</v>
      </c>
      <c r="AR22" s="560"/>
      <c r="AS22" s="231">
        <f t="shared" ref="AS22:AS33" si="16">AR22*E22</f>
        <v>0</v>
      </c>
      <c r="AT22" s="560"/>
      <c r="AU22" s="231">
        <f t="shared" ref="AU22:AU33" si="17">AT22*E22</f>
        <v>0</v>
      </c>
      <c r="AV22" s="560"/>
      <c r="AW22" s="231">
        <f t="shared" ref="AW22:AW33" si="18">AV22*E22</f>
        <v>0</v>
      </c>
      <c r="AX22" s="560"/>
      <c r="AY22" s="231">
        <f t="shared" ref="AY22:AY33" si="19">AX22*E22</f>
        <v>0</v>
      </c>
      <c r="AZ22" s="560"/>
      <c r="BA22" s="231">
        <f>AZ22*E22</f>
        <v>0</v>
      </c>
      <c r="BB22" s="560"/>
      <c r="BC22" s="231">
        <f t="shared" ref="BC22:BC33" si="20">BB22*E22</f>
        <v>0</v>
      </c>
      <c r="BD22" s="560"/>
      <c r="BE22" s="231"/>
      <c r="BF22" s="560"/>
      <c r="BG22" s="231"/>
      <c r="BH22" s="560"/>
      <c r="BI22" s="231"/>
      <c r="BJ22" s="230"/>
      <c r="BK22" s="230"/>
      <c r="BL22" s="527"/>
      <c r="BM22" s="535"/>
      <c r="BN22" s="561"/>
      <c r="BO22" s="561"/>
      <c r="BP22" s="561"/>
      <c r="BQ22" s="561"/>
      <c r="BR22" s="561"/>
      <c r="BS22" s="561"/>
      <c r="BT22" s="561"/>
      <c r="BU22" s="561"/>
      <c r="BV22" s="541"/>
    </row>
    <row r="23" spans="1:74" x14ac:dyDescent="0.25">
      <c r="A23" s="756"/>
      <c r="B23" s="181"/>
      <c r="C23" s="207" t="s">
        <v>74</v>
      </c>
      <c r="D23" s="169"/>
      <c r="E23" s="208"/>
      <c r="F23" s="194"/>
      <c r="G23" s="441"/>
      <c r="H23" s="441"/>
      <c r="I23" s="441"/>
      <c r="J23" s="441"/>
      <c r="K23" s="441"/>
      <c r="L23" s="441"/>
      <c r="M23" s="441"/>
      <c r="N23" s="441"/>
      <c r="O23" s="441"/>
      <c r="P23" s="441"/>
      <c r="Q23" s="441"/>
      <c r="R23" s="230"/>
      <c r="S23" s="230"/>
      <c r="T23" s="230"/>
      <c r="U23" s="230"/>
      <c r="V23" s="231"/>
      <c r="W23" s="231"/>
      <c r="X23" s="231"/>
      <c r="Y23" s="231"/>
      <c r="Z23" s="230"/>
      <c r="AA23" s="231">
        <f t="shared" si="8"/>
        <v>0</v>
      </c>
      <c r="AB23" s="230"/>
      <c r="AC23" s="231">
        <f t="shared" si="9"/>
        <v>0</v>
      </c>
      <c r="AD23" s="230"/>
      <c r="AE23" s="231">
        <f t="shared" si="10"/>
        <v>0</v>
      </c>
      <c r="AF23" s="230"/>
      <c r="AG23" s="231">
        <f t="shared" si="11"/>
        <v>0</v>
      </c>
      <c r="AH23" s="230"/>
      <c r="AI23" s="231">
        <f>AH23*E23</f>
        <v>0</v>
      </c>
      <c r="AJ23" s="230"/>
      <c r="AK23" s="231">
        <f t="shared" si="12"/>
        <v>0</v>
      </c>
      <c r="AL23" s="230"/>
      <c r="AM23" s="231">
        <f t="shared" si="13"/>
        <v>0</v>
      </c>
      <c r="AN23" s="230"/>
      <c r="AO23" s="231">
        <f t="shared" si="14"/>
        <v>0</v>
      </c>
      <c r="AP23" s="230"/>
      <c r="AQ23" s="231">
        <f t="shared" si="15"/>
        <v>0</v>
      </c>
      <c r="AR23" s="230"/>
      <c r="AS23" s="231">
        <f t="shared" si="16"/>
        <v>0</v>
      </c>
      <c r="AT23" s="230"/>
      <c r="AU23" s="231">
        <f t="shared" si="17"/>
        <v>0</v>
      </c>
      <c r="AV23" s="230"/>
      <c r="AW23" s="231">
        <f t="shared" si="18"/>
        <v>0</v>
      </c>
      <c r="AX23" s="231">
        <v>0</v>
      </c>
      <c r="AY23" s="231">
        <f t="shared" si="19"/>
        <v>0</v>
      </c>
      <c r="AZ23" s="230"/>
      <c r="BA23" s="231">
        <f>AZ23*E23</f>
        <v>0</v>
      </c>
      <c r="BB23" s="230"/>
      <c r="BC23" s="231">
        <f t="shared" si="20"/>
        <v>0</v>
      </c>
      <c r="BD23" s="230"/>
      <c r="BE23" s="231"/>
      <c r="BF23" s="230"/>
      <c r="BG23" s="231"/>
      <c r="BH23" s="230"/>
      <c r="BI23" s="231"/>
      <c r="BJ23" s="230"/>
      <c r="BK23" s="230"/>
      <c r="BL23" s="553"/>
      <c r="BM23" s="535"/>
      <c r="BN23" s="441">
        <f t="shared" ref="BN23:BN31" si="21">G23</f>
        <v>0</v>
      </c>
      <c r="BO23" s="225"/>
      <c r="BP23" s="225"/>
      <c r="BQ23" s="225"/>
      <c r="BR23" s="225">
        <f t="shared" ref="BR23:BR33" si="22">BN23+BO23+BP23+BQ23</f>
        <v>0</v>
      </c>
      <c r="BS23" s="225"/>
      <c r="BT23" s="225"/>
      <c r="BU23" s="225">
        <f>BS23+BT23</f>
        <v>0</v>
      </c>
      <c r="BV23" s="530">
        <f t="shared" si="1"/>
        <v>0</v>
      </c>
    </row>
    <row r="24" spans="1:74" x14ac:dyDescent="0.25">
      <c r="A24" s="756"/>
      <c r="B24" s="181" t="s">
        <v>770</v>
      </c>
      <c r="C24" s="169" t="s">
        <v>232</v>
      </c>
      <c r="D24" s="228" t="s">
        <v>238</v>
      </c>
      <c r="E24" s="208">
        <v>40000</v>
      </c>
      <c r="F24" s="194">
        <f t="shared" ref="F24:G33" si="23">BJ24</f>
        <v>380</v>
      </c>
      <c r="G24" s="441">
        <f>BK24</f>
        <v>15200000</v>
      </c>
      <c r="H24" s="534"/>
      <c r="I24" s="534"/>
      <c r="J24" s="534"/>
      <c r="K24" s="534"/>
      <c r="L24" s="534"/>
      <c r="M24" s="534">
        <f>G24</f>
        <v>15200000</v>
      </c>
      <c r="N24" s="534"/>
      <c r="O24" s="534"/>
      <c r="P24" s="534"/>
      <c r="Q24" s="441"/>
      <c r="R24" s="230">
        <f t="shared" ref="R24:R33" si="24">F24*0.35</f>
        <v>133</v>
      </c>
      <c r="S24" s="230">
        <f>F24*0.1</f>
        <v>38</v>
      </c>
      <c r="T24" s="230">
        <f>F24:F24*0.15</f>
        <v>57</v>
      </c>
      <c r="U24" s="230">
        <f>F24*0.4</f>
        <v>152</v>
      </c>
      <c r="V24" s="231">
        <f>G24*0.2</f>
        <v>3040000</v>
      </c>
      <c r="W24" s="231">
        <f>G24*0.45</f>
        <v>6840000</v>
      </c>
      <c r="X24" s="231">
        <f>G24*0.25</f>
        <v>3800000</v>
      </c>
      <c r="Y24" s="231">
        <f>G24*0.1</f>
        <v>1520000</v>
      </c>
      <c r="Z24" s="230">
        <v>0</v>
      </c>
      <c r="AA24" s="231">
        <f t="shared" si="8"/>
        <v>0</v>
      </c>
      <c r="AB24" s="231">
        <v>40</v>
      </c>
      <c r="AC24" s="231">
        <f t="shared" si="9"/>
        <v>1600000</v>
      </c>
      <c r="AD24" s="230">
        <v>10</v>
      </c>
      <c r="AE24" s="231">
        <f t="shared" si="10"/>
        <v>400000</v>
      </c>
      <c r="AF24" s="230">
        <v>30</v>
      </c>
      <c r="AG24" s="231">
        <f t="shared" si="11"/>
        <v>1200000</v>
      </c>
      <c r="AH24" s="230">
        <v>15</v>
      </c>
      <c r="AI24" s="231">
        <f>AH24*E24</f>
        <v>600000</v>
      </c>
      <c r="AJ24" s="230">
        <v>30</v>
      </c>
      <c r="AK24" s="231">
        <f t="shared" si="12"/>
        <v>1200000</v>
      </c>
      <c r="AL24" s="230">
        <v>0</v>
      </c>
      <c r="AM24" s="231">
        <f t="shared" si="13"/>
        <v>0</v>
      </c>
      <c r="AN24" s="230">
        <v>30</v>
      </c>
      <c r="AO24" s="231">
        <f t="shared" si="14"/>
        <v>1200000</v>
      </c>
      <c r="AP24" s="230">
        <v>0</v>
      </c>
      <c r="AQ24" s="231">
        <f t="shared" si="15"/>
        <v>0</v>
      </c>
      <c r="AR24" s="230">
        <v>10</v>
      </c>
      <c r="AS24" s="231">
        <f t="shared" si="16"/>
        <v>400000</v>
      </c>
      <c r="AT24" s="230">
        <v>70</v>
      </c>
      <c r="AU24" s="231">
        <f t="shared" si="17"/>
        <v>2800000</v>
      </c>
      <c r="AV24" s="230">
        <v>10</v>
      </c>
      <c r="AW24" s="231">
        <f t="shared" si="18"/>
        <v>400000</v>
      </c>
      <c r="AX24" s="231">
        <v>30</v>
      </c>
      <c r="AY24" s="231">
        <f t="shared" si="19"/>
        <v>1200000</v>
      </c>
      <c r="AZ24" s="230">
        <v>0</v>
      </c>
      <c r="BA24" s="231">
        <f t="shared" ref="BA24:BA33" si="25">AZ24*E24</f>
        <v>0</v>
      </c>
      <c r="BB24" s="230">
        <v>0</v>
      </c>
      <c r="BC24" s="231">
        <f t="shared" si="20"/>
        <v>0</v>
      </c>
      <c r="BD24" s="230">
        <v>5</v>
      </c>
      <c r="BE24" s="231">
        <f t="shared" ref="BE24:BE33" si="26">BD24*E24</f>
        <v>200000</v>
      </c>
      <c r="BF24" s="230">
        <v>100</v>
      </c>
      <c r="BG24" s="231">
        <f t="shared" ref="BG24:BG33" si="27">BF24*E24</f>
        <v>4000000</v>
      </c>
      <c r="BH24" s="230"/>
      <c r="BI24" s="231">
        <f t="shared" ref="BI24:BI33" si="28">BH24*E24</f>
        <v>0</v>
      </c>
      <c r="BJ24" s="230">
        <f t="shared" ref="BJ24:BK33" si="29">BH24+BF24+BD24+BB24+AZ24+AX24+AV24+AT24+AR24+AP24+AN24+AL24+AJ24+AH24+AF24+AD24+AB24+Z24</f>
        <v>380</v>
      </c>
      <c r="BK24" s="230">
        <f t="shared" si="29"/>
        <v>15200000</v>
      </c>
      <c r="BL24" s="553" t="s">
        <v>277</v>
      </c>
      <c r="BM24" s="535"/>
      <c r="BN24" s="441">
        <f t="shared" si="21"/>
        <v>15200000</v>
      </c>
      <c r="BO24" s="225"/>
      <c r="BP24" s="225"/>
      <c r="BQ24" s="225"/>
      <c r="BR24" s="225">
        <f t="shared" si="22"/>
        <v>15200000</v>
      </c>
      <c r="BS24" s="225"/>
      <c r="BT24" s="225"/>
      <c r="BU24" s="225"/>
      <c r="BV24" s="530">
        <f t="shared" si="1"/>
        <v>15200000</v>
      </c>
    </row>
    <row r="25" spans="1:74" ht="31.5" x14ac:dyDescent="0.25">
      <c r="A25" s="756"/>
      <c r="B25" s="181" t="s">
        <v>763</v>
      </c>
      <c r="C25" s="169" t="s">
        <v>769</v>
      </c>
      <c r="D25" s="228" t="s">
        <v>238</v>
      </c>
      <c r="E25" s="208">
        <v>20000</v>
      </c>
      <c r="F25" s="194">
        <f t="shared" si="23"/>
        <v>608</v>
      </c>
      <c r="G25" s="441">
        <f>BK25</f>
        <v>14332000</v>
      </c>
      <c r="H25" s="534">
        <f>G25*0.15</f>
        <v>2149800</v>
      </c>
      <c r="I25" s="534">
        <f>G25*0.75</f>
        <v>10749000</v>
      </c>
      <c r="J25" s="534"/>
      <c r="K25" s="534"/>
      <c r="L25" s="534"/>
      <c r="M25" s="534"/>
      <c r="N25" s="534"/>
      <c r="O25" s="534"/>
      <c r="P25" s="534">
        <f>G25*0.1</f>
        <v>1433200</v>
      </c>
      <c r="Q25" s="441"/>
      <c r="R25" s="230">
        <f t="shared" si="24"/>
        <v>212.79999999999998</v>
      </c>
      <c r="S25" s="230">
        <f>F25*0.1</f>
        <v>60.800000000000004</v>
      </c>
      <c r="T25" s="230">
        <f>F25:F25*0.15</f>
        <v>91.2</v>
      </c>
      <c r="U25" s="230">
        <f>F25*0.4</f>
        <v>243.20000000000002</v>
      </c>
      <c r="V25" s="231">
        <f t="shared" ref="V25:V33" si="30">G25*0.2</f>
        <v>2866400</v>
      </c>
      <c r="W25" s="231">
        <f t="shared" ref="W25:W33" si="31">G25*0.45</f>
        <v>6449400</v>
      </c>
      <c r="X25" s="231">
        <f t="shared" ref="X25:X33" si="32">G25*0.25</f>
        <v>3583000</v>
      </c>
      <c r="Y25" s="231">
        <f t="shared" ref="Y25:Y33" si="33">G25*0.1</f>
        <v>1433200</v>
      </c>
      <c r="Z25" s="230">
        <v>60</v>
      </c>
      <c r="AA25" s="231">
        <f t="shared" si="8"/>
        <v>1200000</v>
      </c>
      <c r="AB25" s="230">
        <v>40</v>
      </c>
      <c r="AC25" s="231">
        <f t="shared" si="9"/>
        <v>800000</v>
      </c>
      <c r="AD25" s="230">
        <v>50</v>
      </c>
      <c r="AE25" s="231">
        <f t="shared" si="10"/>
        <v>1000000</v>
      </c>
      <c r="AF25" s="230">
        <v>30</v>
      </c>
      <c r="AG25" s="231">
        <f t="shared" si="11"/>
        <v>600000</v>
      </c>
      <c r="AH25" s="230">
        <v>18</v>
      </c>
      <c r="AI25" s="231">
        <f t="shared" ref="AI25:AI33" si="34">AH25*E25</f>
        <v>360000</v>
      </c>
      <c r="AJ25" s="230">
        <v>20</v>
      </c>
      <c r="AK25" s="231">
        <f t="shared" si="12"/>
        <v>400000</v>
      </c>
      <c r="AL25" s="230">
        <v>80</v>
      </c>
      <c r="AM25" s="231">
        <f t="shared" si="13"/>
        <v>1600000</v>
      </c>
      <c r="AN25" s="230">
        <v>20</v>
      </c>
      <c r="AO25" s="231">
        <f t="shared" si="14"/>
        <v>400000</v>
      </c>
      <c r="AP25" s="230">
        <v>30</v>
      </c>
      <c r="AQ25" s="231">
        <f t="shared" si="15"/>
        <v>600000</v>
      </c>
      <c r="AR25" s="230">
        <v>30</v>
      </c>
      <c r="AS25" s="231">
        <v>2700000</v>
      </c>
      <c r="AT25" s="230">
        <v>40</v>
      </c>
      <c r="AU25" s="231">
        <f t="shared" si="17"/>
        <v>800000</v>
      </c>
      <c r="AV25" s="230">
        <v>30</v>
      </c>
      <c r="AW25" s="231">
        <f>(AV25*E25)+72000</f>
        <v>672000</v>
      </c>
      <c r="AX25" s="231">
        <v>30</v>
      </c>
      <c r="AY25" s="231">
        <f t="shared" si="19"/>
        <v>600000</v>
      </c>
      <c r="AZ25" s="230">
        <v>60</v>
      </c>
      <c r="BA25" s="231">
        <f t="shared" si="25"/>
        <v>1200000</v>
      </c>
      <c r="BB25" s="230">
        <v>40</v>
      </c>
      <c r="BC25" s="231">
        <f t="shared" si="20"/>
        <v>800000</v>
      </c>
      <c r="BD25" s="230">
        <v>10</v>
      </c>
      <c r="BE25" s="231">
        <f t="shared" si="26"/>
        <v>200000</v>
      </c>
      <c r="BF25" s="230">
        <v>20</v>
      </c>
      <c r="BG25" s="231">
        <f t="shared" si="27"/>
        <v>400000</v>
      </c>
      <c r="BH25" s="230"/>
      <c r="BI25" s="231">
        <f t="shared" si="28"/>
        <v>0</v>
      </c>
      <c r="BJ25" s="230">
        <f t="shared" si="29"/>
        <v>608</v>
      </c>
      <c r="BK25" s="230">
        <f t="shared" si="29"/>
        <v>14332000</v>
      </c>
      <c r="BL25" s="181" t="s">
        <v>292</v>
      </c>
      <c r="BM25" s="535"/>
      <c r="BN25" s="441">
        <f t="shared" si="21"/>
        <v>14332000</v>
      </c>
      <c r="BO25" s="225"/>
      <c r="BP25" s="225"/>
      <c r="BQ25" s="225"/>
      <c r="BR25" s="225">
        <f t="shared" si="22"/>
        <v>14332000</v>
      </c>
      <c r="BS25" s="225"/>
      <c r="BT25" s="225"/>
      <c r="BU25" s="225"/>
      <c r="BV25" s="530">
        <f t="shared" si="1"/>
        <v>14332000</v>
      </c>
    </row>
    <row r="26" spans="1:74" ht="47.25" x14ac:dyDescent="0.25">
      <c r="A26" s="756"/>
      <c r="B26" s="181" t="s">
        <v>1019</v>
      </c>
      <c r="C26" s="169" t="s">
        <v>941</v>
      </c>
      <c r="D26" s="228" t="s">
        <v>75</v>
      </c>
      <c r="E26" s="208">
        <v>20000</v>
      </c>
      <c r="F26" s="194">
        <f t="shared" ref="F26" si="35">BJ26</f>
        <v>37</v>
      </c>
      <c r="G26" s="441">
        <f>BK26</f>
        <v>1045000</v>
      </c>
      <c r="H26" s="534"/>
      <c r="I26" s="534"/>
      <c r="J26" s="534"/>
      <c r="K26" s="534"/>
      <c r="L26" s="534">
        <f>G26</f>
        <v>1045000</v>
      </c>
      <c r="M26" s="534"/>
      <c r="N26" s="534"/>
      <c r="O26" s="534"/>
      <c r="P26" s="534"/>
      <c r="Q26" s="441"/>
      <c r="R26" s="230"/>
      <c r="S26" s="230"/>
      <c r="T26" s="230"/>
      <c r="U26" s="230"/>
      <c r="V26" s="231"/>
      <c r="W26" s="231"/>
      <c r="X26" s="231"/>
      <c r="Y26" s="231"/>
      <c r="Z26" s="230">
        <v>12</v>
      </c>
      <c r="AA26" s="231">
        <f t="shared" si="8"/>
        <v>240000</v>
      </c>
      <c r="AB26" s="230">
        <v>0</v>
      </c>
      <c r="AC26" s="231">
        <f t="shared" si="9"/>
        <v>0</v>
      </c>
      <c r="AD26" s="230">
        <v>20</v>
      </c>
      <c r="AE26" s="231">
        <f t="shared" si="10"/>
        <v>400000</v>
      </c>
      <c r="AF26" s="230">
        <v>0</v>
      </c>
      <c r="AG26" s="231">
        <f t="shared" si="11"/>
        <v>0</v>
      </c>
      <c r="AH26" s="230">
        <v>0</v>
      </c>
      <c r="AI26" s="231">
        <f t="shared" si="34"/>
        <v>0</v>
      </c>
      <c r="AJ26" s="230">
        <v>0</v>
      </c>
      <c r="AK26" s="231">
        <f t="shared" si="12"/>
        <v>0</v>
      </c>
      <c r="AL26" s="230">
        <v>0</v>
      </c>
      <c r="AM26" s="231">
        <v>0</v>
      </c>
      <c r="AN26" s="230">
        <v>0</v>
      </c>
      <c r="AO26" s="231">
        <f t="shared" si="14"/>
        <v>0</v>
      </c>
      <c r="AP26" s="230">
        <v>5</v>
      </c>
      <c r="AQ26" s="231">
        <v>200000</v>
      </c>
      <c r="AR26" s="230">
        <v>0</v>
      </c>
      <c r="AS26" s="231">
        <f>(AR26*E26)</f>
        <v>0</v>
      </c>
      <c r="AT26" s="230">
        <v>0</v>
      </c>
      <c r="AU26" s="231">
        <f>AT26*E26+205000</f>
        <v>205000</v>
      </c>
      <c r="AV26" s="230">
        <v>0</v>
      </c>
      <c r="AW26" s="231">
        <f>(AV26*E26)</f>
        <v>0</v>
      </c>
      <c r="AX26" s="231">
        <v>0</v>
      </c>
      <c r="AY26" s="231">
        <f t="shared" si="19"/>
        <v>0</v>
      </c>
      <c r="AZ26" s="230">
        <v>0</v>
      </c>
      <c r="BA26" s="231">
        <f t="shared" si="25"/>
        <v>0</v>
      </c>
      <c r="BB26" s="230">
        <v>0</v>
      </c>
      <c r="BC26" s="231">
        <f t="shared" si="20"/>
        <v>0</v>
      </c>
      <c r="BD26" s="230">
        <v>0</v>
      </c>
      <c r="BE26" s="231">
        <f t="shared" si="26"/>
        <v>0</v>
      </c>
      <c r="BF26" s="230">
        <v>0</v>
      </c>
      <c r="BG26" s="231">
        <f t="shared" si="27"/>
        <v>0</v>
      </c>
      <c r="BH26" s="230"/>
      <c r="BI26" s="231"/>
      <c r="BJ26" s="230">
        <f t="shared" ref="BJ26" si="36">BH26+BF26+BD26+BB26+AZ26+AX26+AV26+AT26+AR26+AP26+AN26+AL26+AJ26+AH26+AF26+AD26+AB26+Z26</f>
        <v>37</v>
      </c>
      <c r="BK26" s="230">
        <f t="shared" si="29"/>
        <v>1045000</v>
      </c>
      <c r="BL26" s="181" t="s">
        <v>927</v>
      </c>
      <c r="BM26" s="535"/>
      <c r="BN26" s="441"/>
      <c r="BO26" s="225"/>
      <c r="BP26" s="225"/>
      <c r="BQ26" s="225"/>
      <c r="BR26" s="225"/>
      <c r="BS26" s="225"/>
      <c r="BT26" s="225"/>
      <c r="BU26" s="225"/>
      <c r="BV26" s="530"/>
    </row>
    <row r="27" spans="1:74" x14ac:dyDescent="0.25">
      <c r="A27" s="756"/>
      <c r="B27" s="181" t="s">
        <v>764</v>
      </c>
      <c r="C27" s="169" t="s">
        <v>889</v>
      </c>
      <c r="D27" s="228" t="s">
        <v>238</v>
      </c>
      <c r="E27" s="208">
        <v>5000</v>
      </c>
      <c r="F27" s="194">
        <f>BJ27</f>
        <v>1065</v>
      </c>
      <c r="G27" s="441">
        <f>F27*E27</f>
        <v>5325000</v>
      </c>
      <c r="H27" s="534">
        <f>G27*0.2</f>
        <v>1065000</v>
      </c>
      <c r="I27" s="534">
        <f>G27*0.8</f>
        <v>4260000</v>
      </c>
      <c r="J27" s="534"/>
      <c r="K27" s="534"/>
      <c r="L27" s="534"/>
      <c r="M27" s="534"/>
      <c r="N27" s="534"/>
      <c r="O27" s="534"/>
      <c r="P27" s="534"/>
      <c r="Q27" s="441"/>
      <c r="R27" s="230"/>
      <c r="S27" s="230"/>
      <c r="T27" s="230"/>
      <c r="U27" s="230"/>
      <c r="V27" s="231"/>
      <c r="W27" s="231"/>
      <c r="X27" s="231"/>
      <c r="Y27" s="231"/>
      <c r="Z27" s="230">
        <v>200</v>
      </c>
      <c r="AA27" s="231">
        <f t="shared" si="8"/>
        <v>1000000</v>
      </c>
      <c r="AB27" s="230">
        <v>40</v>
      </c>
      <c r="AC27" s="231">
        <f t="shared" si="9"/>
        <v>200000</v>
      </c>
      <c r="AD27" s="230">
        <v>50</v>
      </c>
      <c r="AE27" s="231">
        <f t="shared" si="10"/>
        <v>250000</v>
      </c>
      <c r="AF27" s="230">
        <v>105</v>
      </c>
      <c r="AG27" s="231">
        <f t="shared" si="11"/>
        <v>525000</v>
      </c>
      <c r="AH27" s="230">
        <v>0</v>
      </c>
      <c r="AI27" s="231">
        <f t="shared" si="34"/>
        <v>0</v>
      </c>
      <c r="AJ27" s="230">
        <v>0</v>
      </c>
      <c r="AK27" s="231">
        <f t="shared" si="12"/>
        <v>0</v>
      </c>
      <c r="AL27" s="230">
        <v>200</v>
      </c>
      <c r="AM27" s="231">
        <f t="shared" si="13"/>
        <v>1000000</v>
      </c>
      <c r="AN27" s="230">
        <v>20</v>
      </c>
      <c r="AO27" s="231">
        <f t="shared" si="14"/>
        <v>100000</v>
      </c>
      <c r="AP27" s="230">
        <v>30</v>
      </c>
      <c r="AQ27" s="231">
        <f t="shared" si="15"/>
        <v>150000</v>
      </c>
      <c r="AR27" s="230">
        <v>185</v>
      </c>
      <c r="AS27" s="231">
        <f t="shared" si="16"/>
        <v>925000</v>
      </c>
      <c r="AT27" s="230">
        <v>65</v>
      </c>
      <c r="AU27" s="231">
        <f t="shared" si="17"/>
        <v>325000</v>
      </c>
      <c r="AV27" s="230">
        <v>45</v>
      </c>
      <c r="AW27" s="231">
        <f t="shared" si="18"/>
        <v>225000</v>
      </c>
      <c r="AX27" s="230">
        <v>0</v>
      </c>
      <c r="AY27" s="231">
        <f t="shared" si="19"/>
        <v>0</v>
      </c>
      <c r="AZ27" s="230">
        <v>45</v>
      </c>
      <c r="BA27" s="231">
        <f t="shared" si="25"/>
        <v>225000</v>
      </c>
      <c r="BB27" s="230">
        <v>50</v>
      </c>
      <c r="BC27" s="231">
        <f t="shared" si="20"/>
        <v>250000</v>
      </c>
      <c r="BD27" s="230">
        <v>30</v>
      </c>
      <c r="BE27" s="231">
        <f t="shared" si="26"/>
        <v>150000</v>
      </c>
      <c r="BF27" s="230">
        <v>0</v>
      </c>
      <c r="BG27" s="231">
        <f t="shared" si="27"/>
        <v>0</v>
      </c>
      <c r="BH27" s="230"/>
      <c r="BI27" s="231"/>
      <c r="BJ27" s="230">
        <f>BH27+BF27+BD27+BB27+AZ27+AX27+AV27+AT27+AR27+AP27+AN27+AL27+AJ27+AH27+AF27+AD27+AB27+Z27</f>
        <v>1065</v>
      </c>
      <c r="BK27" s="230">
        <f t="shared" si="29"/>
        <v>5325000</v>
      </c>
      <c r="BL27" s="527" t="s">
        <v>210</v>
      </c>
      <c r="BM27" s="535"/>
      <c r="BN27" s="441"/>
      <c r="BO27" s="225"/>
      <c r="BP27" s="225">
        <f>G27</f>
        <v>5325000</v>
      </c>
      <c r="BQ27" s="225"/>
      <c r="BR27" s="225">
        <f t="shared" si="22"/>
        <v>5325000</v>
      </c>
      <c r="BS27" s="225"/>
      <c r="BT27" s="225"/>
      <c r="BU27" s="225"/>
      <c r="BV27" s="530">
        <f t="shared" si="1"/>
        <v>5325000</v>
      </c>
    </row>
    <row r="28" spans="1:74" x14ac:dyDescent="0.25">
      <c r="A28" s="756"/>
      <c r="B28" s="181" t="s">
        <v>765</v>
      </c>
      <c r="C28" s="169" t="s">
        <v>890</v>
      </c>
      <c r="D28" s="228" t="s">
        <v>891</v>
      </c>
      <c r="E28" s="208">
        <v>50000</v>
      </c>
      <c r="F28" s="194">
        <f>BJ28</f>
        <v>17</v>
      </c>
      <c r="G28" s="441">
        <f>F28*E28</f>
        <v>850000</v>
      </c>
      <c r="H28" s="534">
        <f>G28*0.2</f>
        <v>170000</v>
      </c>
      <c r="I28" s="534">
        <f>G28*0.8</f>
        <v>680000</v>
      </c>
      <c r="J28" s="534"/>
      <c r="K28" s="534"/>
      <c r="L28" s="534"/>
      <c r="M28" s="534"/>
      <c r="N28" s="534"/>
      <c r="O28" s="534"/>
      <c r="P28" s="534"/>
      <c r="Q28" s="441"/>
      <c r="R28" s="230"/>
      <c r="S28" s="230"/>
      <c r="T28" s="230"/>
      <c r="U28" s="230"/>
      <c r="V28" s="231"/>
      <c r="W28" s="231"/>
      <c r="X28" s="231"/>
      <c r="Y28" s="231"/>
      <c r="Z28" s="230">
        <v>1</v>
      </c>
      <c r="AA28" s="231">
        <f t="shared" si="8"/>
        <v>50000</v>
      </c>
      <c r="AB28" s="230">
        <v>1</v>
      </c>
      <c r="AC28" s="231">
        <f t="shared" si="9"/>
        <v>50000</v>
      </c>
      <c r="AD28" s="230">
        <v>1</v>
      </c>
      <c r="AE28" s="231">
        <f t="shared" si="10"/>
        <v>50000</v>
      </c>
      <c r="AF28" s="230">
        <v>1</v>
      </c>
      <c r="AG28" s="231">
        <f t="shared" si="11"/>
        <v>50000</v>
      </c>
      <c r="AH28" s="230">
        <v>1</v>
      </c>
      <c r="AI28" s="231">
        <f t="shared" si="34"/>
        <v>50000</v>
      </c>
      <c r="AJ28" s="230">
        <v>1</v>
      </c>
      <c r="AK28" s="231">
        <f t="shared" si="12"/>
        <v>50000</v>
      </c>
      <c r="AL28" s="230">
        <v>1</v>
      </c>
      <c r="AM28" s="231">
        <f t="shared" si="13"/>
        <v>50000</v>
      </c>
      <c r="AN28" s="230">
        <v>1</v>
      </c>
      <c r="AO28" s="231">
        <f t="shared" si="14"/>
        <v>50000</v>
      </c>
      <c r="AP28" s="230">
        <v>1</v>
      </c>
      <c r="AQ28" s="231">
        <f t="shared" si="15"/>
        <v>50000</v>
      </c>
      <c r="AR28" s="230">
        <v>1</v>
      </c>
      <c r="AS28" s="231">
        <f t="shared" si="16"/>
        <v>50000</v>
      </c>
      <c r="AT28" s="230">
        <v>1</v>
      </c>
      <c r="AU28" s="231">
        <f t="shared" si="17"/>
        <v>50000</v>
      </c>
      <c r="AV28" s="230">
        <v>1</v>
      </c>
      <c r="AW28" s="231">
        <f t="shared" si="18"/>
        <v>50000</v>
      </c>
      <c r="AX28" s="230">
        <v>1</v>
      </c>
      <c r="AY28" s="231">
        <f t="shared" si="19"/>
        <v>50000</v>
      </c>
      <c r="AZ28" s="230">
        <v>1</v>
      </c>
      <c r="BA28" s="231">
        <f t="shared" si="25"/>
        <v>50000</v>
      </c>
      <c r="BB28" s="230">
        <v>1</v>
      </c>
      <c r="BC28" s="231">
        <f t="shared" si="20"/>
        <v>50000</v>
      </c>
      <c r="BD28" s="230">
        <v>1</v>
      </c>
      <c r="BE28" s="231">
        <f t="shared" si="26"/>
        <v>50000</v>
      </c>
      <c r="BF28" s="230">
        <v>1</v>
      </c>
      <c r="BG28" s="231">
        <f t="shared" si="27"/>
        <v>50000</v>
      </c>
      <c r="BH28" s="230"/>
      <c r="BI28" s="231"/>
      <c r="BJ28" s="230">
        <f>BH28+BF28+BD28+BB28+AZ28+AX28+AV28+AT28+AR28+AP28+AN28+AL28+AJ28+AH28+AF28+AD28+AB28+Z28</f>
        <v>17</v>
      </c>
      <c r="BK28" s="230">
        <f t="shared" si="29"/>
        <v>850000</v>
      </c>
      <c r="BL28" s="527" t="s">
        <v>210</v>
      </c>
      <c r="BM28" s="535"/>
      <c r="BN28" s="441"/>
      <c r="BO28" s="225"/>
      <c r="BP28" s="225">
        <f>G28</f>
        <v>850000</v>
      </c>
      <c r="BQ28" s="225"/>
      <c r="BR28" s="225">
        <f t="shared" si="22"/>
        <v>850000</v>
      </c>
      <c r="BS28" s="225"/>
      <c r="BT28" s="225"/>
      <c r="BU28" s="225"/>
      <c r="BV28" s="530">
        <f t="shared" si="1"/>
        <v>850000</v>
      </c>
    </row>
    <row r="29" spans="1:74" x14ac:dyDescent="0.25">
      <c r="A29" s="756"/>
      <c r="B29" s="181" t="s">
        <v>772</v>
      </c>
      <c r="C29" s="169" t="s">
        <v>236</v>
      </c>
      <c r="D29" s="228" t="s">
        <v>272</v>
      </c>
      <c r="E29" s="208">
        <v>800</v>
      </c>
      <c r="F29" s="194">
        <f t="shared" si="23"/>
        <v>8000</v>
      </c>
      <c r="G29" s="441">
        <f t="shared" ref="G29:G33" si="37">F29*E29</f>
        <v>6400000</v>
      </c>
      <c r="H29" s="534"/>
      <c r="I29" s="534"/>
      <c r="J29" s="534"/>
      <c r="K29" s="534"/>
      <c r="L29" s="534"/>
      <c r="M29" s="534">
        <f>G29</f>
        <v>6400000</v>
      </c>
      <c r="N29" s="534"/>
      <c r="O29" s="534"/>
      <c r="P29" s="534"/>
      <c r="Q29" s="441"/>
      <c r="R29" s="230">
        <f t="shared" si="24"/>
        <v>2800</v>
      </c>
      <c r="S29" s="230">
        <f>F29*0.1</f>
        <v>800</v>
      </c>
      <c r="T29" s="230">
        <f>F29:F29*0.15</f>
        <v>1200</v>
      </c>
      <c r="U29" s="230">
        <f>F29*0.4</f>
        <v>3200</v>
      </c>
      <c r="V29" s="231">
        <f t="shared" si="30"/>
        <v>1280000</v>
      </c>
      <c r="W29" s="231">
        <f t="shared" si="31"/>
        <v>2880000</v>
      </c>
      <c r="X29" s="231">
        <f t="shared" si="32"/>
        <v>1600000</v>
      </c>
      <c r="Y29" s="231">
        <f t="shared" si="33"/>
        <v>640000</v>
      </c>
      <c r="Z29" s="230">
        <v>0</v>
      </c>
      <c r="AA29" s="231">
        <f t="shared" si="8"/>
        <v>0</v>
      </c>
      <c r="AB29" s="230">
        <v>0</v>
      </c>
      <c r="AC29" s="231">
        <f t="shared" si="9"/>
        <v>0</v>
      </c>
      <c r="AD29" s="230">
        <v>0</v>
      </c>
      <c r="AE29" s="231">
        <f t="shared" si="10"/>
        <v>0</v>
      </c>
      <c r="AF29" s="230">
        <v>0</v>
      </c>
      <c r="AG29" s="231">
        <f t="shared" si="11"/>
        <v>0</v>
      </c>
      <c r="AH29" s="230">
        <v>0</v>
      </c>
      <c r="AI29" s="231">
        <f t="shared" si="34"/>
        <v>0</v>
      </c>
      <c r="AJ29" s="230">
        <v>0</v>
      </c>
      <c r="AK29" s="231">
        <f t="shared" si="12"/>
        <v>0</v>
      </c>
      <c r="AL29" s="230">
        <v>0</v>
      </c>
      <c r="AM29" s="231">
        <f t="shared" si="13"/>
        <v>0</v>
      </c>
      <c r="AN29" s="230">
        <v>1000</v>
      </c>
      <c r="AO29" s="231">
        <f t="shared" si="14"/>
        <v>800000</v>
      </c>
      <c r="AP29" s="230">
        <v>0</v>
      </c>
      <c r="AQ29" s="231">
        <f t="shared" si="15"/>
        <v>0</v>
      </c>
      <c r="AR29" s="230">
        <v>2000</v>
      </c>
      <c r="AS29" s="231">
        <f t="shared" si="16"/>
        <v>1600000</v>
      </c>
      <c r="AT29" s="230">
        <v>0</v>
      </c>
      <c r="AU29" s="231">
        <f t="shared" si="17"/>
        <v>0</v>
      </c>
      <c r="AV29" s="230">
        <v>0</v>
      </c>
      <c r="AW29" s="231">
        <f t="shared" si="18"/>
        <v>0</v>
      </c>
      <c r="AX29" s="231">
        <v>5000</v>
      </c>
      <c r="AY29" s="231">
        <f t="shared" si="19"/>
        <v>4000000</v>
      </c>
      <c r="AZ29" s="230">
        <v>0</v>
      </c>
      <c r="BA29" s="231">
        <f t="shared" si="25"/>
        <v>0</v>
      </c>
      <c r="BB29" s="230"/>
      <c r="BC29" s="231">
        <f t="shared" si="20"/>
        <v>0</v>
      </c>
      <c r="BD29" s="230">
        <v>0</v>
      </c>
      <c r="BE29" s="231">
        <f t="shared" si="26"/>
        <v>0</v>
      </c>
      <c r="BF29" s="230">
        <v>0</v>
      </c>
      <c r="BG29" s="231">
        <f t="shared" si="27"/>
        <v>0</v>
      </c>
      <c r="BH29" s="230"/>
      <c r="BI29" s="231">
        <f t="shared" si="28"/>
        <v>0</v>
      </c>
      <c r="BJ29" s="230">
        <f t="shared" si="29"/>
        <v>8000</v>
      </c>
      <c r="BK29" s="230">
        <f t="shared" si="29"/>
        <v>6400000</v>
      </c>
      <c r="BL29" s="553" t="s">
        <v>277</v>
      </c>
      <c r="BM29" s="535"/>
      <c r="BN29" s="441">
        <f t="shared" si="21"/>
        <v>6400000</v>
      </c>
      <c r="BO29" s="225"/>
      <c r="BP29" s="225"/>
      <c r="BQ29" s="225"/>
      <c r="BR29" s="225">
        <f t="shared" si="22"/>
        <v>6400000</v>
      </c>
      <c r="BS29" s="225"/>
      <c r="BT29" s="225"/>
      <c r="BU29" s="225"/>
      <c r="BV29" s="530">
        <f t="shared" si="1"/>
        <v>6400000</v>
      </c>
    </row>
    <row r="30" spans="1:74" x14ac:dyDescent="0.25">
      <c r="A30" s="756"/>
      <c r="B30" s="181" t="s">
        <v>771</v>
      </c>
      <c r="C30" s="169" t="s">
        <v>234</v>
      </c>
      <c r="D30" s="228" t="s">
        <v>238</v>
      </c>
      <c r="E30" s="208">
        <v>40000</v>
      </c>
      <c r="F30" s="194">
        <f t="shared" si="23"/>
        <v>62</v>
      </c>
      <c r="G30" s="441">
        <f>BK30</f>
        <v>2480000</v>
      </c>
      <c r="H30" s="534"/>
      <c r="I30" s="534"/>
      <c r="J30" s="534"/>
      <c r="K30" s="534"/>
      <c r="L30" s="534"/>
      <c r="M30" s="534">
        <f>G30</f>
        <v>2480000</v>
      </c>
      <c r="N30" s="534"/>
      <c r="O30" s="534"/>
      <c r="P30" s="534"/>
      <c r="Q30" s="441"/>
      <c r="R30" s="230">
        <f t="shared" si="24"/>
        <v>21.7</v>
      </c>
      <c r="S30" s="230">
        <f>F30*0.1</f>
        <v>6.2</v>
      </c>
      <c r="T30" s="230">
        <f>F30:F30*0.15</f>
        <v>9.2999999999999989</v>
      </c>
      <c r="U30" s="230">
        <f>F30*0.4</f>
        <v>24.8</v>
      </c>
      <c r="V30" s="231">
        <f t="shared" si="30"/>
        <v>496000</v>
      </c>
      <c r="W30" s="231">
        <f t="shared" si="31"/>
        <v>1116000</v>
      </c>
      <c r="X30" s="231">
        <f t="shared" si="32"/>
        <v>620000</v>
      </c>
      <c r="Y30" s="231">
        <f t="shared" si="33"/>
        <v>248000</v>
      </c>
      <c r="Z30" s="230">
        <v>0</v>
      </c>
      <c r="AA30" s="231">
        <f t="shared" si="8"/>
        <v>0</v>
      </c>
      <c r="AB30" s="230">
        <v>0</v>
      </c>
      <c r="AC30" s="231">
        <f t="shared" si="9"/>
        <v>0</v>
      </c>
      <c r="AD30" s="230">
        <v>0</v>
      </c>
      <c r="AE30" s="231">
        <f t="shared" si="10"/>
        <v>0</v>
      </c>
      <c r="AF30" s="230">
        <v>0</v>
      </c>
      <c r="AG30" s="231">
        <f t="shared" si="11"/>
        <v>0</v>
      </c>
      <c r="AH30" s="230">
        <v>20</v>
      </c>
      <c r="AI30" s="231">
        <f t="shared" si="34"/>
        <v>800000</v>
      </c>
      <c r="AJ30" s="230">
        <v>0</v>
      </c>
      <c r="AK30" s="231">
        <f t="shared" si="12"/>
        <v>0</v>
      </c>
      <c r="AL30" s="230">
        <v>0</v>
      </c>
      <c r="AM30" s="231">
        <f t="shared" si="13"/>
        <v>0</v>
      </c>
      <c r="AN30" s="230">
        <v>0</v>
      </c>
      <c r="AO30" s="231">
        <f t="shared" si="14"/>
        <v>0</v>
      </c>
      <c r="AP30" s="230">
        <v>0</v>
      </c>
      <c r="AQ30" s="231">
        <f t="shared" si="15"/>
        <v>0</v>
      </c>
      <c r="AR30" s="230">
        <v>20</v>
      </c>
      <c r="AS30" s="231">
        <f>AR30*E30</f>
        <v>800000</v>
      </c>
      <c r="AT30" s="230">
        <v>0</v>
      </c>
      <c r="AU30" s="231">
        <f t="shared" si="17"/>
        <v>0</v>
      </c>
      <c r="AV30" s="230">
        <v>10</v>
      </c>
      <c r="AW30" s="231">
        <f t="shared" si="18"/>
        <v>400000</v>
      </c>
      <c r="AX30" s="231">
        <v>0</v>
      </c>
      <c r="AY30" s="231">
        <f t="shared" si="19"/>
        <v>0</v>
      </c>
      <c r="AZ30" s="230">
        <v>12</v>
      </c>
      <c r="BA30" s="231">
        <f t="shared" si="25"/>
        <v>480000</v>
      </c>
      <c r="BB30" s="230"/>
      <c r="BC30" s="231">
        <f t="shared" si="20"/>
        <v>0</v>
      </c>
      <c r="BD30" s="230">
        <v>0</v>
      </c>
      <c r="BE30" s="231">
        <f t="shared" si="26"/>
        <v>0</v>
      </c>
      <c r="BF30" s="230">
        <v>0</v>
      </c>
      <c r="BG30" s="231">
        <f t="shared" si="27"/>
        <v>0</v>
      </c>
      <c r="BH30" s="230"/>
      <c r="BI30" s="231">
        <f t="shared" si="28"/>
        <v>0</v>
      </c>
      <c r="BJ30" s="230">
        <f t="shared" si="29"/>
        <v>62</v>
      </c>
      <c r="BK30" s="230">
        <f t="shared" si="29"/>
        <v>2480000</v>
      </c>
      <c r="BL30" s="553" t="s">
        <v>277</v>
      </c>
      <c r="BM30" s="535"/>
      <c r="BN30" s="441">
        <f t="shared" si="21"/>
        <v>2480000</v>
      </c>
      <c r="BO30" s="225"/>
      <c r="BP30" s="225"/>
      <c r="BQ30" s="225"/>
      <c r="BR30" s="225">
        <f t="shared" si="22"/>
        <v>2480000</v>
      </c>
      <c r="BS30" s="225"/>
      <c r="BT30" s="225"/>
      <c r="BU30" s="225"/>
      <c r="BV30" s="530">
        <f t="shared" si="1"/>
        <v>2480000</v>
      </c>
    </row>
    <row r="31" spans="1:74" x14ac:dyDescent="0.25">
      <c r="A31" s="756"/>
      <c r="B31" s="181" t="s">
        <v>773</v>
      </c>
      <c r="C31" s="169" t="s">
        <v>233</v>
      </c>
      <c r="D31" s="228" t="s">
        <v>240</v>
      </c>
      <c r="E31" s="208">
        <v>600</v>
      </c>
      <c r="F31" s="194">
        <f t="shared" si="23"/>
        <v>7230</v>
      </c>
      <c r="G31" s="441">
        <f>BK31</f>
        <v>4338000</v>
      </c>
      <c r="H31" s="534"/>
      <c r="I31" s="534"/>
      <c r="J31" s="534"/>
      <c r="K31" s="534"/>
      <c r="L31" s="534"/>
      <c r="M31" s="534">
        <f>G31</f>
        <v>4338000</v>
      </c>
      <c r="N31" s="534"/>
      <c r="O31" s="534"/>
      <c r="P31" s="534"/>
      <c r="Q31" s="441"/>
      <c r="R31" s="230">
        <f t="shared" si="24"/>
        <v>2530.5</v>
      </c>
      <c r="S31" s="230">
        <f>F31*0.1</f>
        <v>723</v>
      </c>
      <c r="T31" s="230">
        <f>F31:F31*0.15</f>
        <v>1084.5</v>
      </c>
      <c r="U31" s="230">
        <f>F31*0.4</f>
        <v>2892</v>
      </c>
      <c r="V31" s="231">
        <f t="shared" si="30"/>
        <v>867600</v>
      </c>
      <c r="W31" s="231">
        <f t="shared" si="31"/>
        <v>1952100</v>
      </c>
      <c r="X31" s="231">
        <f t="shared" si="32"/>
        <v>1084500</v>
      </c>
      <c r="Y31" s="231">
        <f t="shared" si="33"/>
        <v>433800</v>
      </c>
      <c r="Z31" s="230">
        <v>200</v>
      </c>
      <c r="AA31" s="231">
        <f t="shared" si="8"/>
        <v>120000</v>
      </c>
      <c r="AB31" s="230">
        <v>100</v>
      </c>
      <c r="AC31" s="231">
        <f>AB31*E31</f>
        <v>60000</v>
      </c>
      <c r="AD31" s="230">
        <v>500</v>
      </c>
      <c r="AE31" s="231">
        <f>AD31*E31</f>
        <v>300000</v>
      </c>
      <c r="AF31" s="230">
        <v>500</v>
      </c>
      <c r="AG31" s="231">
        <f>AF31*E31</f>
        <v>300000</v>
      </c>
      <c r="AH31" s="230">
        <v>1000</v>
      </c>
      <c r="AI31" s="231">
        <f>AH31*E31</f>
        <v>600000</v>
      </c>
      <c r="AJ31" s="230">
        <v>0</v>
      </c>
      <c r="AK31" s="231">
        <f t="shared" si="12"/>
        <v>0</v>
      </c>
      <c r="AL31" s="230">
        <v>0</v>
      </c>
      <c r="AM31" s="231">
        <f t="shared" si="13"/>
        <v>0</v>
      </c>
      <c r="AN31" s="230">
        <v>0</v>
      </c>
      <c r="AO31" s="231">
        <f t="shared" si="14"/>
        <v>0</v>
      </c>
      <c r="AP31" s="230">
        <v>280</v>
      </c>
      <c r="AQ31" s="231">
        <f t="shared" si="15"/>
        <v>168000</v>
      </c>
      <c r="AR31" s="230">
        <v>1000</v>
      </c>
      <c r="AS31" s="231">
        <f t="shared" si="16"/>
        <v>600000</v>
      </c>
      <c r="AT31" s="230">
        <v>1000</v>
      </c>
      <c r="AU31" s="231">
        <f t="shared" si="17"/>
        <v>600000</v>
      </c>
      <c r="AV31" s="230">
        <v>30</v>
      </c>
      <c r="AW31" s="231">
        <f t="shared" si="18"/>
        <v>18000</v>
      </c>
      <c r="AX31" s="231">
        <v>1000</v>
      </c>
      <c r="AY31" s="231">
        <f t="shared" si="19"/>
        <v>600000</v>
      </c>
      <c r="AZ31" s="230">
        <v>340</v>
      </c>
      <c r="BA31" s="231">
        <f t="shared" si="25"/>
        <v>204000</v>
      </c>
      <c r="BB31" s="230">
        <v>0</v>
      </c>
      <c r="BC31" s="231">
        <f t="shared" si="20"/>
        <v>0</v>
      </c>
      <c r="BD31" s="230">
        <v>280</v>
      </c>
      <c r="BE31" s="231">
        <f t="shared" si="26"/>
        <v>168000</v>
      </c>
      <c r="BF31" s="230">
        <v>1000</v>
      </c>
      <c r="BG31" s="231">
        <f t="shared" si="27"/>
        <v>600000</v>
      </c>
      <c r="BH31" s="230"/>
      <c r="BI31" s="231">
        <f t="shared" si="28"/>
        <v>0</v>
      </c>
      <c r="BJ31" s="230">
        <f t="shared" si="29"/>
        <v>7230</v>
      </c>
      <c r="BK31" s="230">
        <f t="shared" si="29"/>
        <v>4338000</v>
      </c>
      <c r="BL31" s="553" t="s">
        <v>277</v>
      </c>
      <c r="BM31" s="535"/>
      <c r="BN31" s="441">
        <f t="shared" si="21"/>
        <v>4338000</v>
      </c>
      <c r="BO31" s="225"/>
      <c r="BP31" s="225"/>
      <c r="BQ31" s="225"/>
      <c r="BR31" s="225">
        <f t="shared" si="22"/>
        <v>4338000</v>
      </c>
      <c r="BS31" s="225"/>
      <c r="BT31" s="225"/>
      <c r="BU31" s="225"/>
      <c r="BV31" s="530">
        <f t="shared" si="1"/>
        <v>4338000</v>
      </c>
    </row>
    <row r="32" spans="1:74" x14ac:dyDescent="0.25">
      <c r="A32" s="756"/>
      <c r="B32" s="181"/>
      <c r="C32" s="169" t="s">
        <v>297</v>
      </c>
      <c r="D32" s="228" t="s">
        <v>75</v>
      </c>
      <c r="E32" s="208">
        <v>160000</v>
      </c>
      <c r="F32" s="194">
        <f t="shared" si="23"/>
        <v>63</v>
      </c>
      <c r="G32" s="194">
        <f t="shared" si="23"/>
        <v>10080000</v>
      </c>
      <c r="H32" s="534"/>
      <c r="I32" s="534"/>
      <c r="J32" s="534"/>
      <c r="K32" s="534"/>
      <c r="L32" s="534"/>
      <c r="M32" s="534">
        <f>G32</f>
        <v>10080000</v>
      </c>
      <c r="N32" s="534"/>
      <c r="O32" s="534"/>
      <c r="P32" s="534"/>
      <c r="Q32" s="441"/>
      <c r="R32" s="230">
        <f t="shared" si="24"/>
        <v>22.049999999999997</v>
      </c>
      <c r="S32" s="230">
        <f>F32*0.65</f>
        <v>40.950000000000003</v>
      </c>
      <c r="T32" s="230"/>
      <c r="U32" s="230"/>
      <c r="V32" s="231">
        <f t="shared" si="30"/>
        <v>2016000</v>
      </c>
      <c r="W32" s="231">
        <f t="shared" si="31"/>
        <v>4536000</v>
      </c>
      <c r="X32" s="231">
        <f t="shared" si="32"/>
        <v>2520000</v>
      </c>
      <c r="Y32" s="231">
        <f t="shared" si="33"/>
        <v>1008000</v>
      </c>
      <c r="Z32" s="230">
        <v>0</v>
      </c>
      <c r="AA32" s="231">
        <f t="shared" si="8"/>
        <v>0</v>
      </c>
      <c r="AB32" s="230">
        <v>3</v>
      </c>
      <c r="AC32" s="231">
        <f t="shared" si="9"/>
        <v>480000</v>
      </c>
      <c r="AD32" s="230">
        <v>0</v>
      </c>
      <c r="AE32" s="231">
        <f t="shared" si="10"/>
        <v>0</v>
      </c>
      <c r="AF32" s="230">
        <v>10</v>
      </c>
      <c r="AG32" s="231">
        <f t="shared" si="11"/>
        <v>1600000</v>
      </c>
      <c r="AH32" s="230">
        <v>0</v>
      </c>
      <c r="AI32" s="231">
        <f t="shared" si="34"/>
        <v>0</v>
      </c>
      <c r="AJ32" s="230">
        <v>10</v>
      </c>
      <c r="AK32" s="231">
        <f t="shared" si="12"/>
        <v>1600000</v>
      </c>
      <c r="AL32" s="230">
        <v>5</v>
      </c>
      <c r="AM32" s="231">
        <f t="shared" si="13"/>
        <v>800000</v>
      </c>
      <c r="AN32" s="230">
        <v>0</v>
      </c>
      <c r="AO32" s="231">
        <f t="shared" si="14"/>
        <v>0</v>
      </c>
      <c r="AP32" s="230">
        <v>5</v>
      </c>
      <c r="AQ32" s="231">
        <f t="shared" si="15"/>
        <v>800000</v>
      </c>
      <c r="AR32" s="230">
        <v>20</v>
      </c>
      <c r="AS32" s="231">
        <f t="shared" si="16"/>
        <v>3200000</v>
      </c>
      <c r="AT32" s="230">
        <v>0</v>
      </c>
      <c r="AU32" s="231">
        <f t="shared" si="17"/>
        <v>0</v>
      </c>
      <c r="AV32" s="230">
        <v>0</v>
      </c>
      <c r="AW32" s="231">
        <f t="shared" si="18"/>
        <v>0</v>
      </c>
      <c r="AX32" s="231">
        <v>0</v>
      </c>
      <c r="AY32" s="231">
        <f t="shared" si="19"/>
        <v>0</v>
      </c>
      <c r="AZ32" s="230">
        <v>0</v>
      </c>
      <c r="BA32" s="231">
        <f t="shared" si="25"/>
        <v>0</v>
      </c>
      <c r="BB32" s="230">
        <v>5</v>
      </c>
      <c r="BC32" s="231">
        <f t="shared" si="20"/>
        <v>800000</v>
      </c>
      <c r="BD32" s="230">
        <v>5</v>
      </c>
      <c r="BE32" s="231">
        <f>BD32*E32</f>
        <v>800000</v>
      </c>
      <c r="BF32" s="230">
        <v>0</v>
      </c>
      <c r="BG32" s="231">
        <f t="shared" si="27"/>
        <v>0</v>
      </c>
      <c r="BH32" s="230"/>
      <c r="BI32" s="231">
        <f t="shared" si="28"/>
        <v>0</v>
      </c>
      <c r="BJ32" s="230">
        <f t="shared" si="29"/>
        <v>63</v>
      </c>
      <c r="BK32" s="230">
        <f t="shared" si="29"/>
        <v>10080000</v>
      </c>
      <c r="BL32" s="553" t="s">
        <v>277</v>
      </c>
      <c r="BM32" s="535"/>
      <c r="BN32" s="441"/>
      <c r="BO32" s="225"/>
      <c r="BP32" s="605">
        <f>G32</f>
        <v>10080000</v>
      </c>
      <c r="BQ32" s="225"/>
      <c r="BR32" s="225">
        <f t="shared" si="22"/>
        <v>10080000</v>
      </c>
      <c r="BS32" s="225"/>
      <c r="BT32" s="225"/>
      <c r="BU32" s="225"/>
      <c r="BV32" s="530">
        <f t="shared" si="1"/>
        <v>10080000</v>
      </c>
    </row>
    <row r="33" spans="1:74" x14ac:dyDescent="0.25">
      <c r="A33" s="756"/>
      <c r="B33" s="181"/>
      <c r="C33" s="169" t="s">
        <v>496</v>
      </c>
      <c r="D33" s="228" t="s">
        <v>75</v>
      </c>
      <c r="E33" s="208">
        <v>80000</v>
      </c>
      <c r="F33" s="194">
        <f t="shared" si="23"/>
        <v>0</v>
      </c>
      <c r="G33" s="441">
        <f t="shared" si="37"/>
        <v>0</v>
      </c>
      <c r="H33" s="534"/>
      <c r="I33" s="534"/>
      <c r="J33" s="534"/>
      <c r="K33" s="534"/>
      <c r="L33" s="534"/>
      <c r="M33" s="534">
        <f>G33</f>
        <v>0</v>
      </c>
      <c r="N33" s="534"/>
      <c r="O33" s="534"/>
      <c r="P33" s="534"/>
      <c r="Q33" s="441"/>
      <c r="R33" s="230">
        <f t="shared" si="24"/>
        <v>0</v>
      </c>
      <c r="S33" s="230">
        <f>F33*0.65</f>
        <v>0</v>
      </c>
      <c r="T33" s="230"/>
      <c r="U33" s="230"/>
      <c r="V33" s="231">
        <f t="shared" si="30"/>
        <v>0</v>
      </c>
      <c r="W33" s="231">
        <f t="shared" si="31"/>
        <v>0</v>
      </c>
      <c r="X33" s="231">
        <f t="shared" si="32"/>
        <v>0</v>
      </c>
      <c r="Y33" s="231">
        <f t="shared" si="33"/>
        <v>0</v>
      </c>
      <c r="Z33" s="230">
        <v>0</v>
      </c>
      <c r="AA33" s="231">
        <f t="shared" si="8"/>
        <v>0</v>
      </c>
      <c r="AB33" s="230">
        <v>0</v>
      </c>
      <c r="AC33" s="231">
        <f t="shared" si="9"/>
        <v>0</v>
      </c>
      <c r="AD33" s="230">
        <v>0</v>
      </c>
      <c r="AE33" s="231">
        <f t="shared" si="10"/>
        <v>0</v>
      </c>
      <c r="AF33" s="230">
        <v>0</v>
      </c>
      <c r="AG33" s="231">
        <f t="shared" si="11"/>
        <v>0</v>
      </c>
      <c r="AH33" s="230">
        <v>0</v>
      </c>
      <c r="AI33" s="231">
        <f t="shared" si="34"/>
        <v>0</v>
      </c>
      <c r="AJ33" s="230">
        <v>0</v>
      </c>
      <c r="AK33" s="231">
        <f t="shared" si="12"/>
        <v>0</v>
      </c>
      <c r="AL33" s="230"/>
      <c r="AM33" s="231">
        <f t="shared" si="13"/>
        <v>0</v>
      </c>
      <c r="AN33" s="230">
        <v>0</v>
      </c>
      <c r="AO33" s="231">
        <f t="shared" si="14"/>
        <v>0</v>
      </c>
      <c r="AP33" s="230">
        <v>0</v>
      </c>
      <c r="AQ33" s="231">
        <f t="shared" si="15"/>
        <v>0</v>
      </c>
      <c r="AR33" s="230">
        <v>0</v>
      </c>
      <c r="AS33" s="231">
        <f t="shared" si="16"/>
        <v>0</v>
      </c>
      <c r="AT33" s="230">
        <v>0</v>
      </c>
      <c r="AU33" s="231">
        <f t="shared" si="17"/>
        <v>0</v>
      </c>
      <c r="AV33" s="230">
        <v>0</v>
      </c>
      <c r="AW33" s="231">
        <f t="shared" si="18"/>
        <v>0</v>
      </c>
      <c r="AX33" s="231">
        <v>0</v>
      </c>
      <c r="AY33" s="231">
        <f t="shared" si="19"/>
        <v>0</v>
      </c>
      <c r="AZ33" s="230">
        <v>0</v>
      </c>
      <c r="BA33" s="231">
        <f t="shared" si="25"/>
        <v>0</v>
      </c>
      <c r="BB33" s="230"/>
      <c r="BC33" s="231">
        <f t="shared" si="20"/>
        <v>0</v>
      </c>
      <c r="BD33" s="230">
        <v>0</v>
      </c>
      <c r="BE33" s="231">
        <f t="shared" si="26"/>
        <v>0</v>
      </c>
      <c r="BF33" s="230">
        <v>0</v>
      </c>
      <c r="BG33" s="231">
        <f t="shared" si="27"/>
        <v>0</v>
      </c>
      <c r="BH33" s="230"/>
      <c r="BI33" s="231">
        <f t="shared" si="28"/>
        <v>0</v>
      </c>
      <c r="BJ33" s="230">
        <f t="shared" si="29"/>
        <v>0</v>
      </c>
      <c r="BK33" s="230">
        <f t="shared" si="29"/>
        <v>0</v>
      </c>
      <c r="BL33" s="553" t="s">
        <v>277</v>
      </c>
      <c r="BM33" s="535"/>
      <c r="BN33" s="441"/>
      <c r="BO33" s="225"/>
      <c r="BP33" s="605">
        <f>G33</f>
        <v>0</v>
      </c>
      <c r="BQ33" s="225"/>
      <c r="BR33" s="225">
        <f t="shared" si="22"/>
        <v>0</v>
      </c>
      <c r="BS33" s="225"/>
      <c r="BT33" s="225"/>
      <c r="BU33" s="225"/>
      <c r="BV33" s="530">
        <f t="shared" si="1"/>
        <v>0</v>
      </c>
    </row>
    <row r="34" spans="1:74" x14ac:dyDescent="0.25">
      <c r="A34" s="756"/>
      <c r="B34" s="562"/>
      <c r="C34" s="556" t="s">
        <v>3</v>
      </c>
      <c r="D34" s="220"/>
      <c r="E34" s="210"/>
      <c r="F34" s="184">
        <f t="shared" ref="F34:BK34" si="38">SUM(F24:F33)</f>
        <v>17462</v>
      </c>
      <c r="G34" s="184">
        <f t="shared" si="38"/>
        <v>60050000</v>
      </c>
      <c r="H34" s="184">
        <f t="shared" si="38"/>
        <v>3384800</v>
      </c>
      <c r="I34" s="184">
        <f t="shared" si="38"/>
        <v>15689000</v>
      </c>
      <c r="J34" s="184">
        <f t="shared" si="38"/>
        <v>0</v>
      </c>
      <c r="K34" s="184">
        <f t="shared" si="38"/>
        <v>0</v>
      </c>
      <c r="L34" s="184">
        <f t="shared" si="38"/>
        <v>1045000</v>
      </c>
      <c r="M34" s="184">
        <f t="shared" si="38"/>
        <v>38498000</v>
      </c>
      <c r="N34" s="184">
        <f t="shared" si="38"/>
        <v>0</v>
      </c>
      <c r="O34" s="184">
        <f t="shared" si="38"/>
        <v>0</v>
      </c>
      <c r="P34" s="184">
        <f t="shared" si="38"/>
        <v>1433200</v>
      </c>
      <c r="Q34" s="184">
        <f t="shared" si="38"/>
        <v>0</v>
      </c>
      <c r="R34" s="184">
        <f t="shared" si="38"/>
        <v>5720.05</v>
      </c>
      <c r="S34" s="184">
        <f t="shared" si="38"/>
        <v>1668.95</v>
      </c>
      <c r="T34" s="184">
        <f t="shared" si="38"/>
        <v>2442</v>
      </c>
      <c r="U34" s="184">
        <f t="shared" si="38"/>
        <v>6512</v>
      </c>
      <c r="V34" s="184">
        <f t="shared" si="38"/>
        <v>10566000</v>
      </c>
      <c r="W34" s="184">
        <f t="shared" si="38"/>
        <v>23773500</v>
      </c>
      <c r="X34" s="184">
        <f t="shared" si="38"/>
        <v>13207500</v>
      </c>
      <c r="Y34" s="184">
        <f t="shared" si="38"/>
        <v>5283000</v>
      </c>
      <c r="Z34" s="184">
        <f t="shared" si="38"/>
        <v>473</v>
      </c>
      <c r="AA34" s="184">
        <f t="shared" si="38"/>
        <v>2610000</v>
      </c>
      <c r="AB34" s="184">
        <f t="shared" si="38"/>
        <v>224</v>
      </c>
      <c r="AC34" s="184">
        <f t="shared" si="38"/>
        <v>3190000</v>
      </c>
      <c r="AD34" s="184">
        <f t="shared" si="38"/>
        <v>631</v>
      </c>
      <c r="AE34" s="184">
        <f t="shared" si="38"/>
        <v>2400000</v>
      </c>
      <c r="AF34" s="184">
        <f t="shared" si="38"/>
        <v>676</v>
      </c>
      <c r="AG34" s="184">
        <f t="shared" si="38"/>
        <v>4275000</v>
      </c>
      <c r="AH34" s="184">
        <f t="shared" si="38"/>
        <v>1054</v>
      </c>
      <c r="AI34" s="184">
        <f t="shared" si="38"/>
        <v>2410000</v>
      </c>
      <c r="AJ34" s="184">
        <f t="shared" si="38"/>
        <v>61</v>
      </c>
      <c r="AK34" s="184">
        <f t="shared" si="38"/>
        <v>3250000</v>
      </c>
      <c r="AL34" s="184">
        <f t="shared" si="38"/>
        <v>286</v>
      </c>
      <c r="AM34" s="184">
        <f t="shared" si="38"/>
        <v>3450000</v>
      </c>
      <c r="AN34" s="184">
        <f t="shared" si="38"/>
        <v>1071</v>
      </c>
      <c r="AO34" s="184">
        <f t="shared" si="38"/>
        <v>2550000</v>
      </c>
      <c r="AP34" s="184">
        <f t="shared" si="38"/>
        <v>351</v>
      </c>
      <c r="AQ34" s="184">
        <f t="shared" si="38"/>
        <v>1968000</v>
      </c>
      <c r="AR34" s="184">
        <f t="shared" si="38"/>
        <v>3266</v>
      </c>
      <c r="AS34" s="184">
        <f t="shared" si="38"/>
        <v>10275000</v>
      </c>
      <c r="AT34" s="184">
        <f t="shared" si="38"/>
        <v>1176</v>
      </c>
      <c r="AU34" s="184">
        <f t="shared" si="38"/>
        <v>4780000</v>
      </c>
      <c r="AV34" s="184">
        <f t="shared" si="38"/>
        <v>126</v>
      </c>
      <c r="AW34" s="184">
        <f t="shared" si="38"/>
        <v>1765000</v>
      </c>
      <c r="AX34" s="184">
        <f t="shared" si="38"/>
        <v>6061</v>
      </c>
      <c r="AY34" s="184">
        <f t="shared" si="38"/>
        <v>6450000</v>
      </c>
      <c r="AZ34" s="184">
        <f t="shared" si="38"/>
        <v>458</v>
      </c>
      <c r="BA34" s="184">
        <f t="shared" si="38"/>
        <v>2159000</v>
      </c>
      <c r="BB34" s="184">
        <f t="shared" si="38"/>
        <v>96</v>
      </c>
      <c r="BC34" s="184">
        <f t="shared" si="38"/>
        <v>1900000</v>
      </c>
      <c r="BD34" s="184">
        <f t="shared" si="38"/>
        <v>331</v>
      </c>
      <c r="BE34" s="184">
        <f t="shared" si="38"/>
        <v>1568000</v>
      </c>
      <c r="BF34" s="184">
        <f t="shared" si="38"/>
        <v>1121</v>
      </c>
      <c r="BG34" s="184">
        <f t="shared" si="38"/>
        <v>5050000</v>
      </c>
      <c r="BH34" s="184">
        <f t="shared" si="38"/>
        <v>0</v>
      </c>
      <c r="BI34" s="184">
        <f t="shared" si="38"/>
        <v>0</v>
      </c>
      <c r="BJ34" s="184">
        <f t="shared" si="38"/>
        <v>17462</v>
      </c>
      <c r="BK34" s="184">
        <f t="shared" si="38"/>
        <v>60050000</v>
      </c>
      <c r="BL34" s="184">
        <f t="shared" ref="BL34:BQ34" si="39">SUM(BL24:BL33)</f>
        <v>0</v>
      </c>
      <c r="BM34" s="184">
        <f t="shared" si="39"/>
        <v>0</v>
      </c>
      <c r="BN34" s="184">
        <f t="shared" si="39"/>
        <v>42750000</v>
      </c>
      <c r="BO34" s="184">
        <f t="shared" si="39"/>
        <v>0</v>
      </c>
      <c r="BP34" s="184">
        <f t="shared" si="39"/>
        <v>16255000</v>
      </c>
      <c r="BQ34" s="184">
        <f t="shared" si="39"/>
        <v>0</v>
      </c>
      <c r="BR34" s="184">
        <f t="shared" ref="BR34:BV34" si="40">SUM(BR24:BR33)</f>
        <v>59005000</v>
      </c>
      <c r="BS34" s="184">
        <f t="shared" si="40"/>
        <v>0</v>
      </c>
      <c r="BT34" s="184">
        <f t="shared" si="40"/>
        <v>0</v>
      </c>
      <c r="BU34" s="184">
        <f t="shared" si="40"/>
        <v>0</v>
      </c>
      <c r="BV34" s="184">
        <f t="shared" si="40"/>
        <v>59005000</v>
      </c>
    </row>
    <row r="35" spans="1:74" x14ac:dyDescent="0.25">
      <c r="A35" s="756"/>
      <c r="B35" s="181"/>
      <c r="C35" s="207" t="s">
        <v>237</v>
      </c>
      <c r="D35" s="169"/>
      <c r="E35" s="208"/>
      <c r="F35" s="194"/>
      <c r="G35" s="441"/>
      <c r="H35" s="441"/>
      <c r="I35" s="441"/>
      <c r="J35" s="441"/>
      <c r="K35" s="441"/>
      <c r="L35" s="441"/>
      <c r="M35" s="441"/>
      <c r="N35" s="441"/>
      <c r="O35" s="441"/>
      <c r="P35" s="441"/>
      <c r="Q35" s="441"/>
      <c r="R35" s="230"/>
      <c r="S35" s="230"/>
      <c r="T35" s="230"/>
      <c r="U35" s="230"/>
      <c r="V35" s="231"/>
      <c r="W35" s="231"/>
      <c r="X35" s="231"/>
      <c r="Y35" s="231"/>
      <c r="Z35" s="230"/>
      <c r="AA35" s="231"/>
      <c r="AB35" s="230"/>
      <c r="AC35" s="231"/>
      <c r="AD35" s="230"/>
      <c r="AE35" s="231"/>
      <c r="AF35" s="230"/>
      <c r="AG35" s="231"/>
      <c r="AH35" s="230"/>
      <c r="AI35" s="231"/>
      <c r="AJ35" s="230"/>
      <c r="AK35" s="231"/>
      <c r="AL35" s="230"/>
      <c r="AM35" s="231"/>
      <c r="AN35" s="230"/>
      <c r="AO35" s="231"/>
      <c r="AP35" s="230"/>
      <c r="AQ35" s="231"/>
      <c r="AR35" s="230"/>
      <c r="AS35" s="231"/>
      <c r="AT35" s="230"/>
      <c r="AU35" s="231"/>
      <c r="AV35" s="230"/>
      <c r="AW35" s="231"/>
      <c r="AX35" s="231"/>
      <c r="AY35" s="231"/>
      <c r="AZ35" s="230"/>
      <c r="BA35" s="231"/>
      <c r="BB35" s="230"/>
      <c r="BC35" s="231"/>
      <c r="BD35" s="230"/>
      <c r="BE35" s="231"/>
      <c r="BF35" s="230"/>
      <c r="BG35" s="231"/>
      <c r="BH35" s="230"/>
      <c r="BI35" s="231"/>
      <c r="BJ35" s="230"/>
      <c r="BK35" s="230"/>
      <c r="BL35" s="553"/>
      <c r="BM35" s="535"/>
      <c r="BN35" s="441"/>
      <c r="BO35" s="225"/>
      <c r="BP35" s="225"/>
      <c r="BQ35" s="225"/>
      <c r="BR35" s="225"/>
      <c r="BS35" s="225"/>
      <c r="BT35" s="225"/>
      <c r="BU35" s="225"/>
      <c r="BV35" s="530"/>
    </row>
    <row r="36" spans="1:74" x14ac:dyDescent="0.25">
      <c r="A36" s="756"/>
      <c r="B36" s="181"/>
      <c r="C36" s="169" t="s">
        <v>235</v>
      </c>
      <c r="D36" s="169" t="s">
        <v>239</v>
      </c>
      <c r="E36" s="208">
        <v>15000</v>
      </c>
      <c r="F36" s="194">
        <f t="shared" ref="F36:G38" si="41">BJ36</f>
        <v>425</v>
      </c>
      <c r="G36" s="441">
        <f t="shared" si="41"/>
        <v>6375030</v>
      </c>
      <c r="H36" s="441"/>
      <c r="I36" s="441"/>
      <c r="J36" s="441"/>
      <c r="K36" s="441"/>
      <c r="L36" s="441"/>
      <c r="M36" s="534">
        <f>G36</f>
        <v>6375030</v>
      </c>
      <c r="N36" s="441"/>
      <c r="O36" s="441"/>
      <c r="P36" s="441"/>
      <c r="Q36" s="441"/>
      <c r="R36" s="230">
        <f>F36*0.35</f>
        <v>148.75</v>
      </c>
      <c r="S36" s="230">
        <f>F36*0.1</f>
        <v>42.5</v>
      </c>
      <c r="T36" s="230">
        <f>F36:F36*0.15</f>
        <v>63.75</v>
      </c>
      <c r="U36" s="230">
        <f>F36*0.4</f>
        <v>170</v>
      </c>
      <c r="V36" s="231">
        <f>G36*0.2</f>
        <v>1275006</v>
      </c>
      <c r="W36" s="231">
        <f>G36*0.45</f>
        <v>2868763.5</v>
      </c>
      <c r="X36" s="231">
        <f>G36*0.25</f>
        <v>1593757.5</v>
      </c>
      <c r="Y36" s="231">
        <f>G36*0.1</f>
        <v>637503</v>
      </c>
      <c r="Z36" s="230">
        <v>10</v>
      </c>
      <c r="AA36" s="231">
        <f>Z36*E36</f>
        <v>150000</v>
      </c>
      <c r="AB36" s="230">
        <v>30</v>
      </c>
      <c r="AC36" s="231">
        <f>AB36*E36</f>
        <v>450000</v>
      </c>
      <c r="AD36" s="230">
        <v>20</v>
      </c>
      <c r="AE36" s="231">
        <f>AD36*E36</f>
        <v>300000</v>
      </c>
      <c r="AF36" s="230">
        <v>20</v>
      </c>
      <c r="AG36" s="231">
        <f>AF36*E36</f>
        <v>300000</v>
      </c>
      <c r="AH36" s="230">
        <v>30</v>
      </c>
      <c r="AI36" s="231">
        <f>AH36*E36</f>
        <v>450000</v>
      </c>
      <c r="AJ36" s="230">
        <v>0</v>
      </c>
      <c r="AK36" s="231">
        <f>AJ36*E36</f>
        <v>0</v>
      </c>
      <c r="AL36" s="230">
        <v>10</v>
      </c>
      <c r="AM36" s="231">
        <f>AL36*E36</f>
        <v>150000</v>
      </c>
      <c r="AN36" s="230">
        <v>0</v>
      </c>
      <c r="AO36" s="231">
        <f>AN36*E36</f>
        <v>0</v>
      </c>
      <c r="AP36" s="230">
        <v>0</v>
      </c>
      <c r="AQ36" s="231">
        <f>AP36*E36</f>
        <v>0</v>
      </c>
      <c r="AR36" s="230">
        <v>100</v>
      </c>
      <c r="AS36" s="231">
        <v>1500000</v>
      </c>
      <c r="AT36" s="230">
        <v>0</v>
      </c>
      <c r="AU36" s="231">
        <v>30</v>
      </c>
      <c r="AV36" s="230">
        <v>10</v>
      </c>
      <c r="AW36" s="231">
        <f>AV36*E36</f>
        <v>150000</v>
      </c>
      <c r="AX36" s="231">
        <v>30</v>
      </c>
      <c r="AY36" s="231">
        <f>AX36*E36</f>
        <v>450000</v>
      </c>
      <c r="AZ36" s="230">
        <v>15</v>
      </c>
      <c r="BA36" s="231">
        <f>AZ36*E36</f>
        <v>225000</v>
      </c>
      <c r="BB36" s="230">
        <v>0</v>
      </c>
      <c r="BC36" s="231">
        <f>BB36*E36</f>
        <v>0</v>
      </c>
      <c r="BD36" s="230">
        <v>0</v>
      </c>
      <c r="BE36" s="231">
        <f>BD36*E36</f>
        <v>0</v>
      </c>
      <c r="BF36" s="230">
        <v>150</v>
      </c>
      <c r="BG36" s="231">
        <f>BF36*E36</f>
        <v>2250000</v>
      </c>
      <c r="BH36" s="230"/>
      <c r="BI36" s="231">
        <f>BH36*E36</f>
        <v>0</v>
      </c>
      <c r="BJ36" s="230">
        <f>BH36+BF36+BD36+BB36+AZ36+AX36+AV36+AT36+AR36+AP36+AN36+AL36+AJ36+AH36+AF36+AD36+AB36+Z36</f>
        <v>425</v>
      </c>
      <c r="BK36" s="230">
        <f t="shared" ref="BK36:BK38" si="42">BI36+BG36+BE36+BC36+BA36+AY36+AW36+AU36+AS36+AQ36+AO36+AM36+AK36+AI36+AG36+AE36+AC36+AA36</f>
        <v>6375030</v>
      </c>
      <c r="BL36" s="553" t="s">
        <v>277</v>
      </c>
      <c r="BM36" s="535"/>
      <c r="BN36" s="441">
        <f>G36</f>
        <v>6375030</v>
      </c>
      <c r="BO36" s="225"/>
      <c r="BP36" s="225"/>
      <c r="BQ36" s="225"/>
      <c r="BR36" s="225">
        <f>BN36+BO36+BP36+BQ36</f>
        <v>6375030</v>
      </c>
      <c r="BS36" s="225"/>
      <c r="BT36" s="225"/>
      <c r="BU36" s="225"/>
      <c r="BV36" s="530">
        <f>BR36+BU36</f>
        <v>6375030</v>
      </c>
    </row>
    <row r="37" spans="1:74" x14ac:dyDescent="0.25">
      <c r="A37" s="756"/>
      <c r="B37" s="181"/>
      <c r="C37" s="169" t="s">
        <v>262</v>
      </c>
      <c r="D37" s="169" t="s">
        <v>239</v>
      </c>
      <c r="E37" s="208">
        <v>15000</v>
      </c>
      <c r="F37" s="194">
        <f t="shared" si="41"/>
        <v>22</v>
      </c>
      <c r="G37" s="441">
        <f t="shared" si="41"/>
        <v>530000</v>
      </c>
      <c r="H37" s="441"/>
      <c r="I37" s="441"/>
      <c r="J37" s="441"/>
      <c r="K37" s="441"/>
      <c r="L37" s="441"/>
      <c r="M37" s="534">
        <f>G37</f>
        <v>530000</v>
      </c>
      <c r="N37" s="441"/>
      <c r="O37" s="441"/>
      <c r="P37" s="441"/>
      <c r="Q37" s="441"/>
      <c r="R37" s="230">
        <f>F37*0.35</f>
        <v>7.6999999999999993</v>
      </c>
      <c r="S37" s="230">
        <f>F37*0.1</f>
        <v>2.2000000000000002</v>
      </c>
      <c r="T37" s="230">
        <f>F37:F37*0.15</f>
        <v>3.3</v>
      </c>
      <c r="U37" s="230">
        <f>F37*0.4</f>
        <v>8.8000000000000007</v>
      </c>
      <c r="V37" s="231">
        <f>G37*0.2</f>
        <v>106000</v>
      </c>
      <c r="W37" s="231">
        <f>G37*0.45</f>
        <v>238500</v>
      </c>
      <c r="X37" s="231">
        <f>G37*0.25</f>
        <v>132500</v>
      </c>
      <c r="Y37" s="231">
        <f>G37*0.1</f>
        <v>53000</v>
      </c>
      <c r="Z37" s="230">
        <v>0</v>
      </c>
      <c r="AA37" s="231">
        <f>Z37*E37</f>
        <v>0</v>
      </c>
      <c r="AB37" s="230">
        <v>0</v>
      </c>
      <c r="AC37" s="231">
        <f>AB37*E37</f>
        <v>0</v>
      </c>
      <c r="AD37" s="230">
        <v>0</v>
      </c>
      <c r="AE37" s="231">
        <f>AD37*E37</f>
        <v>0</v>
      </c>
      <c r="AF37" s="230">
        <v>0</v>
      </c>
      <c r="AG37" s="231">
        <f>AF37*E37</f>
        <v>0</v>
      </c>
      <c r="AH37" s="230">
        <v>0</v>
      </c>
      <c r="AI37" s="231">
        <f>AH37*E37</f>
        <v>0</v>
      </c>
      <c r="AJ37" s="230">
        <v>0</v>
      </c>
      <c r="AK37" s="231">
        <f>AJ37*E37</f>
        <v>0</v>
      </c>
      <c r="AL37" s="230">
        <v>2</v>
      </c>
      <c r="AM37" s="231">
        <v>30000</v>
      </c>
      <c r="AN37" s="230">
        <v>0</v>
      </c>
      <c r="AO37" s="231">
        <f>AN37*E37</f>
        <v>0</v>
      </c>
      <c r="AP37" s="230">
        <v>0</v>
      </c>
      <c r="AQ37" s="231">
        <f>AP37*E37</f>
        <v>0</v>
      </c>
      <c r="AR37" s="230">
        <v>20</v>
      </c>
      <c r="AS37" s="231">
        <f>AR37*E37</f>
        <v>300000</v>
      </c>
      <c r="AT37" s="230">
        <v>0</v>
      </c>
      <c r="AU37" s="231">
        <f>AT37*E37</f>
        <v>0</v>
      </c>
      <c r="AV37" s="230">
        <v>0</v>
      </c>
      <c r="AW37" s="231">
        <f>AV37*E37</f>
        <v>0</v>
      </c>
      <c r="AX37" s="231">
        <v>0</v>
      </c>
      <c r="AY37" s="231">
        <f>AX37*E37</f>
        <v>0</v>
      </c>
      <c r="AZ37" s="230">
        <v>0</v>
      </c>
      <c r="BA37" s="231">
        <f>AZ37*E37</f>
        <v>0</v>
      </c>
      <c r="BB37" s="230">
        <v>0</v>
      </c>
      <c r="BC37" s="231">
        <f>BB37*E37</f>
        <v>0</v>
      </c>
      <c r="BD37" s="230">
        <v>0</v>
      </c>
      <c r="BE37" s="231">
        <f>BD37*E37+200000</f>
        <v>200000</v>
      </c>
      <c r="BF37" s="230">
        <v>0</v>
      </c>
      <c r="BG37" s="231">
        <f>BF37*E37</f>
        <v>0</v>
      </c>
      <c r="BH37" s="230"/>
      <c r="BI37" s="231">
        <f>BH37*E37</f>
        <v>0</v>
      </c>
      <c r="BJ37" s="230">
        <f>BH37+BF37+BD37+BB37+AZ37+AX37+AV37+AT37+AR37+AP37+AN37+AL37+AJ37+AH37+AF37+AD37+AB37+Z37</f>
        <v>22</v>
      </c>
      <c r="BK37" s="230">
        <f t="shared" si="42"/>
        <v>530000</v>
      </c>
      <c r="BL37" s="553" t="s">
        <v>277</v>
      </c>
      <c r="BM37" s="535"/>
      <c r="BN37" s="441">
        <f>G37</f>
        <v>530000</v>
      </c>
      <c r="BO37" s="225"/>
      <c r="BP37" s="225"/>
      <c r="BQ37" s="225"/>
      <c r="BR37" s="225">
        <f>BN37+BO37+BP37+BQ37</f>
        <v>530000</v>
      </c>
      <c r="BS37" s="225"/>
      <c r="BT37" s="225"/>
      <c r="BU37" s="225"/>
      <c r="BV37" s="530">
        <f>BR37+BU37</f>
        <v>530000</v>
      </c>
    </row>
    <row r="38" spans="1:74" ht="17.25" customHeight="1" x14ac:dyDescent="0.25">
      <c r="A38" s="756"/>
      <c r="B38" s="181"/>
      <c r="C38" s="169" t="s">
        <v>601</v>
      </c>
      <c r="D38" s="169" t="s">
        <v>239</v>
      </c>
      <c r="E38" s="208">
        <v>140000</v>
      </c>
      <c r="F38" s="194">
        <f t="shared" si="41"/>
        <v>0</v>
      </c>
      <c r="G38" s="441">
        <f t="shared" si="41"/>
        <v>0</v>
      </c>
      <c r="H38" s="441"/>
      <c r="I38" s="441"/>
      <c r="J38" s="441"/>
      <c r="K38" s="441"/>
      <c r="L38" s="441"/>
      <c r="M38" s="534"/>
      <c r="N38" s="441"/>
      <c r="O38" s="441"/>
      <c r="P38" s="441"/>
      <c r="Q38" s="441"/>
      <c r="R38" s="230"/>
      <c r="S38" s="230"/>
      <c r="T38" s="230"/>
      <c r="U38" s="230"/>
      <c r="V38" s="231"/>
      <c r="W38" s="231"/>
      <c r="X38" s="231"/>
      <c r="Y38" s="231"/>
      <c r="Z38" s="230"/>
      <c r="AA38" s="231"/>
      <c r="AB38" s="230">
        <v>0</v>
      </c>
      <c r="AC38" s="231"/>
      <c r="AD38" s="230"/>
      <c r="AE38" s="231"/>
      <c r="AF38" s="230">
        <v>0</v>
      </c>
      <c r="AG38" s="231"/>
      <c r="AH38" s="230">
        <v>0</v>
      </c>
      <c r="AI38" s="231"/>
      <c r="AJ38" s="230">
        <v>0</v>
      </c>
      <c r="AK38" s="231"/>
      <c r="AL38" s="230"/>
      <c r="AM38" s="231"/>
      <c r="AN38" s="230"/>
      <c r="AO38" s="231"/>
      <c r="AP38" s="230">
        <v>0</v>
      </c>
      <c r="AQ38" s="231"/>
      <c r="AR38" s="230"/>
      <c r="AS38" s="231"/>
      <c r="AT38" s="230"/>
      <c r="AU38" s="231"/>
      <c r="AV38" s="230"/>
      <c r="AW38" s="231"/>
      <c r="AX38" s="231">
        <v>0</v>
      </c>
      <c r="AY38" s="231"/>
      <c r="AZ38" s="230">
        <v>0</v>
      </c>
      <c r="BA38" s="231"/>
      <c r="BB38" s="230"/>
      <c r="BC38" s="231"/>
      <c r="BD38" s="230">
        <v>0</v>
      </c>
      <c r="BE38" s="231">
        <v>0</v>
      </c>
      <c r="BF38" s="230">
        <v>0</v>
      </c>
      <c r="BG38" s="231"/>
      <c r="BH38" s="230"/>
      <c r="BI38" s="231"/>
      <c r="BJ38" s="230">
        <f>BH38+BF38+BD38+BB38+AZ38+AX38+AV38+AT38+AR38+AP38+AN38+AL38+AJ38+AH38+AF38+AD38+AB38+Z38</f>
        <v>0</v>
      </c>
      <c r="BK38" s="230">
        <f t="shared" si="42"/>
        <v>0</v>
      </c>
      <c r="BL38" s="553"/>
      <c r="BM38" s="535"/>
      <c r="BN38" s="441"/>
      <c r="BO38" s="225"/>
      <c r="BP38" s="225"/>
      <c r="BQ38" s="225"/>
      <c r="BR38" s="225"/>
      <c r="BS38" s="225"/>
      <c r="BT38" s="225"/>
      <c r="BU38" s="225"/>
      <c r="BV38" s="530"/>
    </row>
    <row r="39" spans="1:74" x14ac:dyDescent="0.25">
      <c r="A39" s="756"/>
      <c r="B39" s="562"/>
      <c r="C39" s="556" t="s">
        <v>3</v>
      </c>
      <c r="D39" s="207"/>
      <c r="E39" s="210"/>
      <c r="F39" s="184">
        <f>SUM(F36:F37)</f>
        <v>447</v>
      </c>
      <c r="G39" s="184">
        <f t="shared" ref="G39:BR39" si="43">SUM(G36:G37)</f>
        <v>6905030</v>
      </c>
      <c r="H39" s="184">
        <f t="shared" si="43"/>
        <v>0</v>
      </c>
      <c r="I39" s="184">
        <f t="shared" si="43"/>
        <v>0</v>
      </c>
      <c r="J39" s="184">
        <f t="shared" si="43"/>
        <v>0</v>
      </c>
      <c r="K39" s="184">
        <f t="shared" si="43"/>
        <v>0</v>
      </c>
      <c r="L39" s="184">
        <f t="shared" si="43"/>
        <v>0</v>
      </c>
      <c r="M39" s="184">
        <f t="shared" si="43"/>
        <v>6905030</v>
      </c>
      <c r="N39" s="184">
        <f t="shared" si="43"/>
        <v>0</v>
      </c>
      <c r="O39" s="184">
        <f t="shared" si="43"/>
        <v>0</v>
      </c>
      <c r="P39" s="184">
        <f t="shared" si="43"/>
        <v>0</v>
      </c>
      <c r="Q39" s="184">
        <f t="shared" si="43"/>
        <v>0</v>
      </c>
      <c r="R39" s="184">
        <f t="shared" si="43"/>
        <v>156.44999999999999</v>
      </c>
      <c r="S39" s="184">
        <f t="shared" si="43"/>
        <v>44.7</v>
      </c>
      <c r="T39" s="184">
        <f t="shared" si="43"/>
        <v>67.05</v>
      </c>
      <c r="U39" s="184">
        <f t="shared" si="43"/>
        <v>178.8</v>
      </c>
      <c r="V39" s="184">
        <f t="shared" si="43"/>
        <v>1381006</v>
      </c>
      <c r="W39" s="184">
        <f t="shared" si="43"/>
        <v>3107263.5</v>
      </c>
      <c r="X39" s="184">
        <f t="shared" si="43"/>
        <v>1726257.5</v>
      </c>
      <c r="Y39" s="184">
        <f t="shared" si="43"/>
        <v>690503</v>
      </c>
      <c r="Z39" s="184">
        <f>SUM(Z36:Z38)</f>
        <v>10</v>
      </c>
      <c r="AA39" s="184">
        <f t="shared" ref="AA39:BK39" si="44">SUM(AA36:AA38)</f>
        <v>150000</v>
      </c>
      <c r="AB39" s="184">
        <f t="shared" si="44"/>
        <v>30</v>
      </c>
      <c r="AC39" s="184">
        <f t="shared" si="44"/>
        <v>450000</v>
      </c>
      <c r="AD39" s="184">
        <f t="shared" si="44"/>
        <v>20</v>
      </c>
      <c r="AE39" s="184">
        <f t="shared" si="44"/>
        <v>300000</v>
      </c>
      <c r="AF39" s="184">
        <f t="shared" si="44"/>
        <v>20</v>
      </c>
      <c r="AG39" s="184">
        <f t="shared" si="44"/>
        <v>300000</v>
      </c>
      <c r="AH39" s="184">
        <f t="shared" si="44"/>
        <v>30</v>
      </c>
      <c r="AI39" s="184">
        <f t="shared" si="44"/>
        <v>450000</v>
      </c>
      <c r="AJ39" s="184">
        <f t="shared" si="44"/>
        <v>0</v>
      </c>
      <c r="AK39" s="184">
        <f t="shared" si="44"/>
        <v>0</v>
      </c>
      <c r="AL39" s="184">
        <f t="shared" si="44"/>
        <v>12</v>
      </c>
      <c r="AM39" s="184">
        <f t="shared" si="44"/>
        <v>180000</v>
      </c>
      <c r="AN39" s="184">
        <f t="shared" si="44"/>
        <v>0</v>
      </c>
      <c r="AO39" s="184">
        <f t="shared" si="44"/>
        <v>0</v>
      </c>
      <c r="AP39" s="184">
        <f t="shared" si="44"/>
        <v>0</v>
      </c>
      <c r="AQ39" s="184">
        <f t="shared" si="44"/>
        <v>0</v>
      </c>
      <c r="AR39" s="184">
        <f t="shared" si="44"/>
        <v>120</v>
      </c>
      <c r="AS39" s="184">
        <f t="shared" si="44"/>
        <v>1800000</v>
      </c>
      <c r="AT39" s="184">
        <f t="shared" si="44"/>
        <v>0</v>
      </c>
      <c r="AU39" s="184">
        <f t="shared" si="44"/>
        <v>30</v>
      </c>
      <c r="AV39" s="184">
        <f t="shared" si="44"/>
        <v>10</v>
      </c>
      <c r="AW39" s="184">
        <f t="shared" si="44"/>
        <v>150000</v>
      </c>
      <c r="AX39" s="184">
        <f t="shared" si="44"/>
        <v>30</v>
      </c>
      <c r="AY39" s="184">
        <f t="shared" si="44"/>
        <v>450000</v>
      </c>
      <c r="AZ39" s="184">
        <f t="shared" si="44"/>
        <v>15</v>
      </c>
      <c r="BA39" s="184">
        <f t="shared" si="44"/>
        <v>225000</v>
      </c>
      <c r="BB39" s="184">
        <f t="shared" si="44"/>
        <v>0</v>
      </c>
      <c r="BC39" s="184">
        <f t="shared" si="44"/>
        <v>0</v>
      </c>
      <c r="BD39" s="184">
        <f t="shared" si="44"/>
        <v>0</v>
      </c>
      <c r="BE39" s="184">
        <f t="shared" si="44"/>
        <v>200000</v>
      </c>
      <c r="BF39" s="184">
        <f t="shared" si="44"/>
        <v>150</v>
      </c>
      <c r="BG39" s="184">
        <f t="shared" si="44"/>
        <v>2250000</v>
      </c>
      <c r="BH39" s="184">
        <f t="shared" si="44"/>
        <v>0</v>
      </c>
      <c r="BI39" s="184">
        <f t="shared" si="44"/>
        <v>0</v>
      </c>
      <c r="BJ39" s="184">
        <f t="shared" si="44"/>
        <v>447</v>
      </c>
      <c r="BK39" s="184">
        <f t="shared" si="44"/>
        <v>6905030</v>
      </c>
      <c r="BL39" s="184">
        <f t="shared" si="43"/>
        <v>0</v>
      </c>
      <c r="BM39" s="184">
        <f t="shared" si="43"/>
        <v>0</v>
      </c>
      <c r="BN39" s="184">
        <f t="shared" si="43"/>
        <v>6905030</v>
      </c>
      <c r="BO39" s="184">
        <f t="shared" si="43"/>
        <v>0</v>
      </c>
      <c r="BP39" s="184">
        <f t="shared" si="43"/>
        <v>0</v>
      </c>
      <c r="BQ39" s="184">
        <f t="shared" si="43"/>
        <v>0</v>
      </c>
      <c r="BR39" s="184">
        <f t="shared" si="43"/>
        <v>6905030</v>
      </c>
      <c r="BS39" s="184">
        <f>SUM(BS36:BS37)</f>
        <v>0</v>
      </c>
      <c r="BT39" s="184">
        <f>SUM(BT36:BT37)</f>
        <v>0</v>
      </c>
      <c r="BU39" s="184">
        <f>SUM(BU36:BU37)</f>
        <v>0</v>
      </c>
      <c r="BV39" s="184">
        <f>SUM(BV36:BV37)</f>
        <v>6905030</v>
      </c>
    </row>
    <row r="40" spans="1:74" x14ac:dyDescent="0.25">
      <c r="A40" s="756"/>
      <c r="B40" s="562"/>
      <c r="C40" s="556" t="s">
        <v>274</v>
      </c>
      <c r="D40" s="207"/>
      <c r="E40" s="210"/>
      <c r="F40" s="194">
        <f t="shared" ref="F40:G45" si="45">BJ40</f>
        <v>0</v>
      </c>
      <c r="G40" s="441">
        <f>F40*E40</f>
        <v>0</v>
      </c>
      <c r="H40" s="559"/>
      <c r="I40" s="559"/>
      <c r="J40" s="559"/>
      <c r="K40" s="559"/>
      <c r="L40" s="559"/>
      <c r="M40" s="559"/>
      <c r="N40" s="559"/>
      <c r="O40" s="559"/>
      <c r="P40" s="559"/>
      <c r="Q40" s="559"/>
      <c r="R40" s="230">
        <f t="shared" ref="R40:R45" si="46">F40*0.35</f>
        <v>0</v>
      </c>
      <c r="S40" s="230">
        <f t="shared" ref="S40:S45" si="47">F40*0.1</f>
        <v>0</v>
      </c>
      <c r="T40" s="230">
        <f t="shared" ref="T40:T45" si="48">F40:F40*0.15</f>
        <v>0</v>
      </c>
      <c r="U40" s="230">
        <f t="shared" ref="U40:U45" si="49">F40*0.4</f>
        <v>0</v>
      </c>
      <c r="V40" s="231">
        <f t="shared" ref="V40:V45" si="50">R40*E40</f>
        <v>0</v>
      </c>
      <c r="W40" s="231">
        <f t="shared" ref="W40:W45" si="51">S40*E40</f>
        <v>0</v>
      </c>
      <c r="X40" s="231">
        <f t="shared" ref="X40:X45" si="52">T40*E40</f>
        <v>0</v>
      </c>
      <c r="Y40" s="231">
        <f t="shared" ref="Y40:Y45" si="53">U40*E40</f>
        <v>0</v>
      </c>
      <c r="Z40" s="184"/>
      <c r="AA40" s="231">
        <f t="shared" ref="AA40:AA45" si="54">Z40*E40</f>
        <v>0</v>
      </c>
      <c r="AB40" s="184"/>
      <c r="AC40" s="231">
        <f t="shared" ref="AC40:AC51" si="55">AB40*E40</f>
        <v>0</v>
      </c>
      <c r="AD40" s="184"/>
      <c r="AE40" s="231">
        <f t="shared" ref="AE40:AE51" si="56">AD40*E40</f>
        <v>0</v>
      </c>
      <c r="AF40" s="184"/>
      <c r="AG40" s="231">
        <f t="shared" ref="AG40:AG51" si="57">AF40*E40</f>
        <v>0</v>
      </c>
      <c r="AH40" s="184"/>
      <c r="AI40" s="231">
        <f t="shared" ref="AI40:AI51" si="58">AH40*E40</f>
        <v>0</v>
      </c>
      <c r="AJ40" s="184"/>
      <c r="AK40" s="231">
        <f t="shared" ref="AK40:AK51" si="59">AJ40*E40</f>
        <v>0</v>
      </c>
      <c r="AL40" s="184"/>
      <c r="AM40" s="231">
        <f t="shared" ref="AM40:AM45" si="60">AL40*E40</f>
        <v>0</v>
      </c>
      <c r="AN40" s="184"/>
      <c r="AO40" s="231">
        <f t="shared" ref="AO40:AO51" si="61">AN40*E40</f>
        <v>0</v>
      </c>
      <c r="AP40" s="184"/>
      <c r="AQ40" s="231">
        <f t="shared" ref="AQ40:AQ47" si="62">AP40*E40</f>
        <v>0</v>
      </c>
      <c r="AR40" s="184"/>
      <c r="AS40" s="231">
        <f t="shared" ref="AS40:AS51" si="63">AR40*E40</f>
        <v>0</v>
      </c>
      <c r="AT40" s="184"/>
      <c r="AU40" s="231">
        <f t="shared" ref="AU40:AU47" si="64">AT40*E40</f>
        <v>0</v>
      </c>
      <c r="AV40" s="184"/>
      <c r="AW40" s="231">
        <f t="shared" ref="AW40:AW51" si="65">AV40*E40</f>
        <v>0</v>
      </c>
      <c r="AX40" s="552"/>
      <c r="AY40" s="231">
        <f t="shared" ref="AY40:AY51" si="66">AX40*E40</f>
        <v>0</v>
      </c>
      <c r="AZ40" s="184"/>
      <c r="BA40" s="231">
        <f t="shared" ref="BA40:BA51" si="67">AZ40*E40</f>
        <v>0</v>
      </c>
      <c r="BB40" s="184"/>
      <c r="BC40" s="231">
        <f t="shared" ref="BC40:BC51" si="68">BB40*E40</f>
        <v>0</v>
      </c>
      <c r="BD40" s="184"/>
      <c r="BE40" s="231">
        <f t="shared" ref="BE40:BE51" si="69">BD40*E40</f>
        <v>0</v>
      </c>
      <c r="BF40" s="184"/>
      <c r="BG40" s="231">
        <f t="shared" ref="BG40:BG50" si="70">BF40*E40</f>
        <v>0</v>
      </c>
      <c r="BH40" s="184"/>
      <c r="BI40" s="231">
        <f t="shared" ref="BI40:BI51" si="71">BH40*E40</f>
        <v>0</v>
      </c>
      <c r="BJ40" s="230">
        <f t="shared" ref="BJ40:BK51" si="72">BH40+BF40+BD40+BB40+AZ40+AX40+AV40+AT40+AR40+AP40+AN40+AL40+AJ40+AH40+AF40+AD40+AB40+Z40</f>
        <v>0</v>
      </c>
      <c r="BK40" s="231">
        <f>BJ40*E40</f>
        <v>0</v>
      </c>
      <c r="BL40" s="553" t="s">
        <v>277</v>
      </c>
      <c r="BM40" s="535"/>
      <c r="BN40" s="441"/>
      <c r="BO40" s="225"/>
      <c r="BP40" s="225"/>
      <c r="BQ40" s="225"/>
      <c r="BR40" s="225"/>
      <c r="BS40" s="225"/>
      <c r="BT40" s="225"/>
      <c r="BU40" s="225"/>
      <c r="BV40" s="530"/>
    </row>
    <row r="41" spans="1:74" x14ac:dyDescent="0.25">
      <c r="A41" s="756"/>
      <c r="B41" s="181"/>
      <c r="C41" s="169" t="s">
        <v>264</v>
      </c>
      <c r="D41" s="169" t="s">
        <v>239</v>
      </c>
      <c r="E41" s="208">
        <v>113000</v>
      </c>
      <c r="F41" s="194">
        <f t="shared" si="45"/>
        <v>70</v>
      </c>
      <c r="G41" s="194">
        <f t="shared" si="45"/>
        <v>7910000</v>
      </c>
      <c r="H41" s="441"/>
      <c r="I41" s="441"/>
      <c r="J41" s="441"/>
      <c r="K41" s="441"/>
      <c r="L41" s="441"/>
      <c r="M41" s="534">
        <f>G41</f>
        <v>7910000</v>
      </c>
      <c r="N41" s="441"/>
      <c r="O41" s="441"/>
      <c r="P41" s="441"/>
      <c r="Q41" s="441"/>
      <c r="R41" s="230">
        <f t="shared" si="46"/>
        <v>24.5</v>
      </c>
      <c r="S41" s="230">
        <f t="shared" si="47"/>
        <v>7</v>
      </c>
      <c r="T41" s="230">
        <f t="shared" si="48"/>
        <v>10.5</v>
      </c>
      <c r="U41" s="230">
        <f t="shared" si="49"/>
        <v>28</v>
      </c>
      <c r="V41" s="231">
        <f t="shared" si="50"/>
        <v>2768500</v>
      </c>
      <c r="W41" s="231">
        <f t="shared" si="51"/>
        <v>791000</v>
      </c>
      <c r="X41" s="231">
        <f t="shared" si="52"/>
        <v>1186500</v>
      </c>
      <c r="Y41" s="231">
        <f t="shared" si="53"/>
        <v>3164000</v>
      </c>
      <c r="Z41" s="230">
        <v>30</v>
      </c>
      <c r="AA41" s="231">
        <f>Z41*E41</f>
        <v>3390000</v>
      </c>
      <c r="AB41" s="194">
        <v>0</v>
      </c>
      <c r="AC41" s="231">
        <f t="shared" si="55"/>
        <v>0</v>
      </c>
      <c r="AD41" s="230">
        <v>0</v>
      </c>
      <c r="AE41" s="231">
        <f t="shared" si="56"/>
        <v>0</v>
      </c>
      <c r="AF41" s="230">
        <v>5</v>
      </c>
      <c r="AG41" s="231">
        <f t="shared" si="57"/>
        <v>565000</v>
      </c>
      <c r="AH41" s="230">
        <v>20</v>
      </c>
      <c r="AI41" s="231">
        <f>AH41*E41</f>
        <v>2260000</v>
      </c>
      <c r="AJ41" s="230">
        <v>5</v>
      </c>
      <c r="AK41" s="231">
        <f t="shared" si="59"/>
        <v>565000</v>
      </c>
      <c r="AL41" s="230">
        <v>0</v>
      </c>
      <c r="AM41" s="231">
        <f t="shared" si="60"/>
        <v>0</v>
      </c>
      <c r="AN41" s="230">
        <v>0</v>
      </c>
      <c r="AO41" s="231">
        <f t="shared" si="61"/>
        <v>0</v>
      </c>
      <c r="AP41" s="230"/>
      <c r="AQ41" s="231">
        <f t="shared" si="62"/>
        <v>0</v>
      </c>
      <c r="AR41" s="230">
        <v>0</v>
      </c>
      <c r="AS41" s="231">
        <f t="shared" si="63"/>
        <v>0</v>
      </c>
      <c r="AT41" s="230">
        <v>0</v>
      </c>
      <c r="AU41" s="231">
        <f t="shared" si="64"/>
        <v>0</v>
      </c>
      <c r="AV41" s="230">
        <v>10</v>
      </c>
      <c r="AW41" s="231">
        <f t="shared" si="65"/>
        <v>1130000</v>
      </c>
      <c r="AX41" s="231">
        <v>0</v>
      </c>
      <c r="AY41" s="231">
        <f t="shared" si="66"/>
        <v>0</v>
      </c>
      <c r="AZ41" s="230">
        <v>0</v>
      </c>
      <c r="BA41" s="231">
        <f t="shared" si="67"/>
        <v>0</v>
      </c>
      <c r="BB41" s="230">
        <v>0</v>
      </c>
      <c r="BC41" s="231">
        <f t="shared" si="68"/>
        <v>0</v>
      </c>
      <c r="BD41" s="230">
        <v>0</v>
      </c>
      <c r="BE41" s="231">
        <f t="shared" si="69"/>
        <v>0</v>
      </c>
      <c r="BF41" s="230">
        <v>0</v>
      </c>
      <c r="BG41" s="231">
        <f t="shared" si="70"/>
        <v>0</v>
      </c>
      <c r="BH41" s="230"/>
      <c r="BI41" s="231">
        <f t="shared" si="71"/>
        <v>0</v>
      </c>
      <c r="BJ41" s="230">
        <f t="shared" si="72"/>
        <v>70</v>
      </c>
      <c r="BK41" s="230">
        <f t="shared" si="72"/>
        <v>7910000</v>
      </c>
      <c r="BL41" s="553" t="s">
        <v>277</v>
      </c>
      <c r="BM41" s="535"/>
      <c r="BN41" s="441">
        <f>G41</f>
        <v>7910000</v>
      </c>
      <c r="BO41" s="225"/>
      <c r="BP41" s="225"/>
      <c r="BQ41" s="225"/>
      <c r="BR41" s="225">
        <f>BN41+BO41+BP41+BQ41</f>
        <v>7910000</v>
      </c>
      <c r="BS41" s="225"/>
      <c r="BT41" s="225"/>
      <c r="BU41" s="225"/>
      <c r="BV41" s="530">
        <f>BR41+BU41</f>
        <v>7910000</v>
      </c>
    </row>
    <row r="42" spans="1:74" x14ac:dyDescent="0.25">
      <c r="A42" s="756"/>
      <c r="B42" s="181"/>
      <c r="C42" s="169" t="s">
        <v>268</v>
      </c>
      <c r="D42" s="169" t="s">
        <v>239</v>
      </c>
      <c r="E42" s="208">
        <v>44000</v>
      </c>
      <c r="F42" s="194">
        <f t="shared" si="45"/>
        <v>91</v>
      </c>
      <c r="G42" s="441">
        <f>F42*E42</f>
        <v>4004000</v>
      </c>
      <c r="H42" s="441"/>
      <c r="I42" s="441"/>
      <c r="J42" s="441"/>
      <c r="K42" s="441"/>
      <c r="L42" s="441"/>
      <c r="M42" s="534">
        <f>G42</f>
        <v>4004000</v>
      </c>
      <c r="N42" s="441"/>
      <c r="O42" s="441"/>
      <c r="P42" s="441"/>
      <c r="Q42" s="441"/>
      <c r="R42" s="230">
        <f t="shared" si="46"/>
        <v>31.849999999999998</v>
      </c>
      <c r="S42" s="230">
        <f t="shared" si="47"/>
        <v>9.1</v>
      </c>
      <c r="T42" s="230">
        <f t="shared" si="48"/>
        <v>13.65</v>
      </c>
      <c r="U42" s="230">
        <f t="shared" si="49"/>
        <v>36.4</v>
      </c>
      <c r="V42" s="231">
        <f t="shared" si="50"/>
        <v>1401400</v>
      </c>
      <c r="W42" s="231">
        <f t="shared" si="51"/>
        <v>400400</v>
      </c>
      <c r="X42" s="231">
        <f t="shared" si="52"/>
        <v>600600</v>
      </c>
      <c r="Y42" s="231">
        <f t="shared" si="53"/>
        <v>1601600</v>
      </c>
      <c r="Z42" s="230">
        <v>0</v>
      </c>
      <c r="AA42" s="231">
        <f t="shared" si="54"/>
        <v>0</v>
      </c>
      <c r="AB42" s="194">
        <v>6</v>
      </c>
      <c r="AC42" s="231">
        <f t="shared" si="55"/>
        <v>264000</v>
      </c>
      <c r="AD42" s="230">
        <v>0</v>
      </c>
      <c r="AE42" s="231">
        <f t="shared" si="56"/>
        <v>0</v>
      </c>
      <c r="AF42" s="230">
        <v>10</v>
      </c>
      <c r="AG42" s="231">
        <f t="shared" si="57"/>
        <v>440000</v>
      </c>
      <c r="AH42" s="230">
        <v>0</v>
      </c>
      <c r="AI42" s="231">
        <f t="shared" si="58"/>
        <v>0</v>
      </c>
      <c r="AJ42" s="230">
        <v>10</v>
      </c>
      <c r="AK42" s="231">
        <f t="shared" si="59"/>
        <v>440000</v>
      </c>
      <c r="AL42" s="230">
        <v>0</v>
      </c>
      <c r="AM42" s="231">
        <f t="shared" si="60"/>
        <v>0</v>
      </c>
      <c r="AN42" s="230">
        <v>10</v>
      </c>
      <c r="AO42" s="231">
        <f t="shared" si="61"/>
        <v>440000</v>
      </c>
      <c r="AP42" s="230"/>
      <c r="AQ42" s="231">
        <f t="shared" si="62"/>
        <v>0</v>
      </c>
      <c r="AR42" s="230">
        <v>20</v>
      </c>
      <c r="AS42" s="231">
        <f t="shared" si="63"/>
        <v>880000</v>
      </c>
      <c r="AT42" s="230">
        <v>0</v>
      </c>
      <c r="AU42" s="231">
        <f t="shared" si="64"/>
        <v>0</v>
      </c>
      <c r="AV42" s="230">
        <v>15</v>
      </c>
      <c r="AW42" s="231">
        <f t="shared" si="65"/>
        <v>660000</v>
      </c>
      <c r="AX42" s="231">
        <v>20</v>
      </c>
      <c r="AY42" s="231">
        <f t="shared" si="66"/>
        <v>880000</v>
      </c>
      <c r="AZ42" s="230">
        <v>0</v>
      </c>
      <c r="BA42" s="231">
        <f t="shared" si="67"/>
        <v>0</v>
      </c>
      <c r="BB42" s="230">
        <v>0</v>
      </c>
      <c r="BC42" s="231">
        <f t="shared" si="68"/>
        <v>0</v>
      </c>
      <c r="BD42" s="230">
        <v>0</v>
      </c>
      <c r="BE42" s="231">
        <f t="shared" si="69"/>
        <v>0</v>
      </c>
      <c r="BF42" s="230">
        <v>0</v>
      </c>
      <c r="BG42" s="231">
        <f t="shared" si="70"/>
        <v>0</v>
      </c>
      <c r="BH42" s="230"/>
      <c r="BI42" s="231">
        <f t="shared" si="71"/>
        <v>0</v>
      </c>
      <c r="BJ42" s="230">
        <f t="shared" si="72"/>
        <v>91</v>
      </c>
      <c r="BK42" s="230">
        <f t="shared" si="72"/>
        <v>4004000</v>
      </c>
      <c r="BL42" s="553" t="s">
        <v>277</v>
      </c>
      <c r="BM42" s="535"/>
      <c r="BN42" s="441">
        <f>G42</f>
        <v>4004000</v>
      </c>
      <c r="BO42" s="225"/>
      <c r="BP42" s="225"/>
      <c r="BQ42" s="225"/>
      <c r="BR42" s="225">
        <f>BN42+BO42+BP42+BQ42</f>
        <v>4004000</v>
      </c>
      <c r="BS42" s="225"/>
      <c r="BT42" s="225"/>
      <c r="BU42" s="225"/>
      <c r="BV42" s="530">
        <f>BR42+BU42</f>
        <v>4004000</v>
      </c>
    </row>
    <row r="43" spans="1:74" x14ac:dyDescent="0.25">
      <c r="A43" s="756"/>
      <c r="B43" s="181"/>
      <c r="C43" s="169" t="s">
        <v>265</v>
      </c>
      <c r="D43" s="169" t="s">
        <v>266</v>
      </c>
      <c r="E43" s="208">
        <v>182</v>
      </c>
      <c r="F43" s="194">
        <f t="shared" si="45"/>
        <v>9</v>
      </c>
      <c r="G43" s="441">
        <f>F43*E43</f>
        <v>1638</v>
      </c>
      <c r="H43" s="441"/>
      <c r="I43" s="441"/>
      <c r="J43" s="441"/>
      <c r="K43" s="441"/>
      <c r="L43" s="441"/>
      <c r="M43" s="534">
        <f>G43</f>
        <v>1638</v>
      </c>
      <c r="N43" s="441"/>
      <c r="O43" s="441"/>
      <c r="P43" s="441"/>
      <c r="Q43" s="441"/>
      <c r="R43" s="230">
        <f t="shared" si="46"/>
        <v>3.15</v>
      </c>
      <c r="S43" s="230">
        <f t="shared" si="47"/>
        <v>0.9</v>
      </c>
      <c r="T43" s="230">
        <f t="shared" si="48"/>
        <v>1.3499999999999999</v>
      </c>
      <c r="U43" s="230">
        <f t="shared" si="49"/>
        <v>3.6</v>
      </c>
      <c r="V43" s="231">
        <f t="shared" si="50"/>
        <v>573.29999999999995</v>
      </c>
      <c r="W43" s="231">
        <f t="shared" si="51"/>
        <v>163.80000000000001</v>
      </c>
      <c r="X43" s="231">
        <f t="shared" si="52"/>
        <v>245.7</v>
      </c>
      <c r="Y43" s="231">
        <f t="shared" si="53"/>
        <v>655.20000000000005</v>
      </c>
      <c r="Z43" s="230">
        <v>0</v>
      </c>
      <c r="AA43" s="231">
        <f t="shared" si="54"/>
        <v>0</v>
      </c>
      <c r="AB43" s="194">
        <v>9</v>
      </c>
      <c r="AC43" s="231">
        <f t="shared" si="55"/>
        <v>1638</v>
      </c>
      <c r="AD43" s="230">
        <v>0</v>
      </c>
      <c r="AE43" s="231">
        <f t="shared" si="56"/>
        <v>0</v>
      </c>
      <c r="AF43" s="230">
        <v>0</v>
      </c>
      <c r="AG43" s="231">
        <f t="shared" si="57"/>
        <v>0</v>
      </c>
      <c r="AH43" s="230">
        <v>0</v>
      </c>
      <c r="AI43" s="231">
        <f t="shared" si="58"/>
        <v>0</v>
      </c>
      <c r="AJ43" s="230">
        <v>0</v>
      </c>
      <c r="AK43" s="231">
        <f t="shared" si="59"/>
        <v>0</v>
      </c>
      <c r="AL43" s="230">
        <v>0</v>
      </c>
      <c r="AM43" s="231">
        <f t="shared" si="60"/>
        <v>0</v>
      </c>
      <c r="AN43" s="230">
        <v>0</v>
      </c>
      <c r="AO43" s="231">
        <f t="shared" si="61"/>
        <v>0</v>
      </c>
      <c r="AP43" s="230">
        <v>0</v>
      </c>
      <c r="AQ43" s="231">
        <f t="shared" si="62"/>
        <v>0</v>
      </c>
      <c r="AR43" s="230">
        <v>0</v>
      </c>
      <c r="AS43" s="231">
        <f t="shared" si="63"/>
        <v>0</v>
      </c>
      <c r="AT43" s="230">
        <v>0</v>
      </c>
      <c r="AU43" s="231">
        <f t="shared" si="64"/>
        <v>0</v>
      </c>
      <c r="AV43" s="230">
        <v>0</v>
      </c>
      <c r="AW43" s="231">
        <f t="shared" si="65"/>
        <v>0</v>
      </c>
      <c r="AX43" s="231">
        <v>0</v>
      </c>
      <c r="AY43" s="231">
        <f t="shared" si="66"/>
        <v>0</v>
      </c>
      <c r="AZ43" s="230">
        <v>0</v>
      </c>
      <c r="BA43" s="231">
        <f t="shared" si="67"/>
        <v>0</v>
      </c>
      <c r="BB43" s="230">
        <v>0</v>
      </c>
      <c r="BC43" s="231">
        <f t="shared" si="68"/>
        <v>0</v>
      </c>
      <c r="BD43" s="230">
        <v>0</v>
      </c>
      <c r="BE43" s="231">
        <f t="shared" si="69"/>
        <v>0</v>
      </c>
      <c r="BF43" s="230">
        <v>0</v>
      </c>
      <c r="BG43" s="231">
        <f t="shared" si="70"/>
        <v>0</v>
      </c>
      <c r="BH43" s="230"/>
      <c r="BI43" s="231">
        <f t="shared" si="71"/>
        <v>0</v>
      </c>
      <c r="BJ43" s="230">
        <f t="shared" si="72"/>
        <v>9</v>
      </c>
      <c r="BK43" s="230">
        <f t="shared" si="72"/>
        <v>1638</v>
      </c>
      <c r="BL43" s="553" t="s">
        <v>277</v>
      </c>
      <c r="BM43" s="535"/>
      <c r="BN43" s="441">
        <f>G43</f>
        <v>1638</v>
      </c>
      <c r="BO43" s="225"/>
      <c r="BP43" s="225"/>
      <c r="BQ43" s="225"/>
      <c r="BR43" s="225">
        <f>BN43+BO43+BP43+BQ43</f>
        <v>1638</v>
      </c>
      <c r="BS43" s="225"/>
      <c r="BT43" s="225"/>
      <c r="BU43" s="225"/>
      <c r="BV43" s="530">
        <f>BR43+BU43</f>
        <v>1638</v>
      </c>
    </row>
    <row r="44" spans="1:74" x14ac:dyDescent="0.25">
      <c r="A44" s="756"/>
      <c r="B44" s="181"/>
      <c r="C44" s="169" t="s">
        <v>276</v>
      </c>
      <c r="D44" s="169" t="s">
        <v>239</v>
      </c>
      <c r="E44" s="208">
        <v>17000</v>
      </c>
      <c r="F44" s="194">
        <f t="shared" si="45"/>
        <v>90</v>
      </c>
      <c r="G44" s="441">
        <f>F44*E44</f>
        <v>1530000</v>
      </c>
      <c r="H44" s="441"/>
      <c r="I44" s="441"/>
      <c r="J44" s="441"/>
      <c r="K44" s="441"/>
      <c r="L44" s="441"/>
      <c r="M44" s="534">
        <f>G44</f>
        <v>1530000</v>
      </c>
      <c r="N44" s="441"/>
      <c r="O44" s="441"/>
      <c r="P44" s="441"/>
      <c r="Q44" s="441"/>
      <c r="R44" s="230">
        <f t="shared" si="46"/>
        <v>31.499999999999996</v>
      </c>
      <c r="S44" s="230">
        <f t="shared" si="47"/>
        <v>9</v>
      </c>
      <c r="T44" s="230">
        <f t="shared" si="48"/>
        <v>13.5</v>
      </c>
      <c r="U44" s="230">
        <f t="shared" si="49"/>
        <v>36</v>
      </c>
      <c r="V44" s="231">
        <f t="shared" si="50"/>
        <v>535499.99999999988</v>
      </c>
      <c r="W44" s="231">
        <f t="shared" si="51"/>
        <v>153000</v>
      </c>
      <c r="X44" s="231">
        <f t="shared" si="52"/>
        <v>229500</v>
      </c>
      <c r="Y44" s="231">
        <f t="shared" si="53"/>
        <v>612000</v>
      </c>
      <c r="Z44" s="230">
        <v>0</v>
      </c>
      <c r="AA44" s="231">
        <f t="shared" si="54"/>
        <v>0</v>
      </c>
      <c r="AB44" s="194">
        <v>30</v>
      </c>
      <c r="AC44" s="231">
        <f t="shared" si="55"/>
        <v>510000</v>
      </c>
      <c r="AD44" s="230">
        <v>0</v>
      </c>
      <c r="AE44" s="231">
        <f t="shared" si="56"/>
        <v>0</v>
      </c>
      <c r="AF44" s="230">
        <v>0</v>
      </c>
      <c r="AG44" s="231">
        <f t="shared" si="57"/>
        <v>0</v>
      </c>
      <c r="AH44" s="230">
        <v>0</v>
      </c>
      <c r="AI44" s="231">
        <f t="shared" si="58"/>
        <v>0</v>
      </c>
      <c r="AJ44" s="230"/>
      <c r="AK44" s="231">
        <f t="shared" si="59"/>
        <v>0</v>
      </c>
      <c r="AL44" s="230">
        <v>0</v>
      </c>
      <c r="AM44" s="231">
        <f t="shared" si="60"/>
        <v>0</v>
      </c>
      <c r="AN44" s="230">
        <v>10</v>
      </c>
      <c r="AO44" s="231">
        <f t="shared" si="61"/>
        <v>170000</v>
      </c>
      <c r="AP44" s="230">
        <v>0</v>
      </c>
      <c r="AQ44" s="231">
        <f t="shared" si="62"/>
        <v>0</v>
      </c>
      <c r="AR44" s="230">
        <v>20</v>
      </c>
      <c r="AS44" s="231">
        <f t="shared" si="63"/>
        <v>340000</v>
      </c>
      <c r="AT44" s="230">
        <v>0</v>
      </c>
      <c r="AU44" s="231">
        <f t="shared" si="64"/>
        <v>0</v>
      </c>
      <c r="AV44" s="230">
        <v>0</v>
      </c>
      <c r="AW44" s="231">
        <f t="shared" si="65"/>
        <v>0</v>
      </c>
      <c r="AX44" s="231">
        <v>0</v>
      </c>
      <c r="AY44" s="231">
        <f t="shared" si="66"/>
        <v>0</v>
      </c>
      <c r="AZ44" s="230">
        <v>0</v>
      </c>
      <c r="BA44" s="231">
        <f t="shared" si="67"/>
        <v>0</v>
      </c>
      <c r="BB44" s="230">
        <v>30</v>
      </c>
      <c r="BC44" s="231">
        <f t="shared" si="68"/>
        <v>510000</v>
      </c>
      <c r="BD44" s="230">
        <v>0</v>
      </c>
      <c r="BE44" s="231">
        <f t="shared" si="69"/>
        <v>0</v>
      </c>
      <c r="BF44" s="230">
        <v>0</v>
      </c>
      <c r="BG44" s="231">
        <f t="shared" si="70"/>
        <v>0</v>
      </c>
      <c r="BH44" s="230"/>
      <c r="BI44" s="231">
        <f t="shared" si="71"/>
        <v>0</v>
      </c>
      <c r="BJ44" s="230">
        <f t="shared" si="72"/>
        <v>90</v>
      </c>
      <c r="BK44" s="230">
        <f t="shared" si="72"/>
        <v>1530000</v>
      </c>
      <c r="BL44" s="553" t="s">
        <v>277</v>
      </c>
      <c r="BM44" s="535"/>
      <c r="BN44" s="441">
        <f>G44</f>
        <v>1530000</v>
      </c>
      <c r="BO44" s="225"/>
      <c r="BP44" s="225"/>
      <c r="BQ44" s="225"/>
      <c r="BR44" s="225">
        <f>BN44+BO44+BP44+BQ44</f>
        <v>1530000</v>
      </c>
      <c r="BS44" s="225"/>
      <c r="BT44" s="225"/>
      <c r="BU44" s="225"/>
      <c r="BV44" s="530">
        <f>BR44+BU44</f>
        <v>1530000</v>
      </c>
    </row>
    <row r="45" spans="1:74" x14ac:dyDescent="0.25">
      <c r="A45" s="756"/>
      <c r="B45" s="181"/>
      <c r="C45" s="169" t="s">
        <v>282</v>
      </c>
      <c r="D45" s="169" t="s">
        <v>239</v>
      </c>
      <c r="E45" s="208">
        <v>20000</v>
      </c>
      <c r="F45" s="194">
        <f t="shared" si="45"/>
        <v>70</v>
      </c>
      <c r="G45" s="194">
        <f t="shared" si="45"/>
        <v>1400000</v>
      </c>
      <c r="H45" s="441"/>
      <c r="I45" s="441"/>
      <c r="J45" s="441"/>
      <c r="K45" s="441"/>
      <c r="L45" s="441"/>
      <c r="M45" s="534">
        <f>G45</f>
        <v>1400000</v>
      </c>
      <c r="N45" s="441"/>
      <c r="O45" s="441"/>
      <c r="P45" s="441"/>
      <c r="Q45" s="441"/>
      <c r="R45" s="230">
        <f t="shared" si="46"/>
        <v>24.5</v>
      </c>
      <c r="S45" s="230">
        <f t="shared" si="47"/>
        <v>7</v>
      </c>
      <c r="T45" s="230">
        <f t="shared" si="48"/>
        <v>10.5</v>
      </c>
      <c r="U45" s="230">
        <f t="shared" si="49"/>
        <v>28</v>
      </c>
      <c r="V45" s="231">
        <f t="shared" si="50"/>
        <v>490000</v>
      </c>
      <c r="W45" s="231">
        <f t="shared" si="51"/>
        <v>140000</v>
      </c>
      <c r="X45" s="231">
        <f t="shared" si="52"/>
        <v>210000</v>
      </c>
      <c r="Y45" s="231">
        <f t="shared" si="53"/>
        <v>560000</v>
      </c>
      <c r="Z45" s="230">
        <v>0</v>
      </c>
      <c r="AA45" s="231">
        <f t="shared" si="54"/>
        <v>0</v>
      </c>
      <c r="AB45" s="194">
        <v>30</v>
      </c>
      <c r="AC45" s="231">
        <f t="shared" si="55"/>
        <v>600000</v>
      </c>
      <c r="AD45" s="230">
        <v>0</v>
      </c>
      <c r="AE45" s="231">
        <f t="shared" si="56"/>
        <v>0</v>
      </c>
      <c r="AF45" s="230">
        <v>5</v>
      </c>
      <c r="AG45" s="231">
        <f t="shared" si="57"/>
        <v>100000</v>
      </c>
      <c r="AH45" s="230">
        <v>0</v>
      </c>
      <c r="AI45" s="231">
        <f t="shared" si="58"/>
        <v>0</v>
      </c>
      <c r="AJ45" s="230">
        <v>15</v>
      </c>
      <c r="AK45" s="231">
        <f t="shared" si="59"/>
        <v>300000</v>
      </c>
      <c r="AL45" s="230">
        <v>0</v>
      </c>
      <c r="AM45" s="231">
        <f t="shared" si="60"/>
        <v>0</v>
      </c>
      <c r="AN45" s="230">
        <v>20</v>
      </c>
      <c r="AO45" s="231">
        <f t="shared" si="61"/>
        <v>400000</v>
      </c>
      <c r="AP45" s="230">
        <v>0</v>
      </c>
      <c r="AQ45" s="231">
        <f t="shared" si="62"/>
        <v>0</v>
      </c>
      <c r="AR45" s="230">
        <v>0</v>
      </c>
      <c r="AS45" s="231">
        <f t="shared" si="63"/>
        <v>0</v>
      </c>
      <c r="AT45" s="230">
        <v>0</v>
      </c>
      <c r="AU45" s="231">
        <f t="shared" si="64"/>
        <v>0</v>
      </c>
      <c r="AV45" s="230">
        <v>0</v>
      </c>
      <c r="AW45" s="231">
        <f t="shared" si="65"/>
        <v>0</v>
      </c>
      <c r="AX45" s="231">
        <v>0</v>
      </c>
      <c r="AY45" s="231">
        <f t="shared" si="66"/>
        <v>0</v>
      </c>
      <c r="AZ45" s="230">
        <v>0</v>
      </c>
      <c r="BA45" s="231">
        <f t="shared" si="67"/>
        <v>0</v>
      </c>
      <c r="BB45" s="230">
        <v>0</v>
      </c>
      <c r="BC45" s="231">
        <f t="shared" si="68"/>
        <v>0</v>
      </c>
      <c r="BD45" s="230">
        <v>0</v>
      </c>
      <c r="BE45" s="231">
        <f t="shared" si="69"/>
        <v>0</v>
      </c>
      <c r="BF45" s="230">
        <v>0</v>
      </c>
      <c r="BG45" s="231">
        <f t="shared" si="70"/>
        <v>0</v>
      </c>
      <c r="BH45" s="230"/>
      <c r="BI45" s="231">
        <f t="shared" si="71"/>
        <v>0</v>
      </c>
      <c r="BJ45" s="230">
        <f t="shared" si="72"/>
        <v>70</v>
      </c>
      <c r="BK45" s="230">
        <f t="shared" si="72"/>
        <v>1400000</v>
      </c>
      <c r="BL45" s="553" t="s">
        <v>277</v>
      </c>
      <c r="BM45" s="535"/>
      <c r="BN45" s="441">
        <f>G45</f>
        <v>1400000</v>
      </c>
      <c r="BO45" s="225"/>
      <c r="BP45" s="225"/>
      <c r="BQ45" s="225"/>
      <c r="BR45" s="225">
        <f>BN45+BO45+BP45+BQ45</f>
        <v>1400000</v>
      </c>
      <c r="BS45" s="225"/>
      <c r="BT45" s="225"/>
      <c r="BU45" s="225"/>
      <c r="BV45" s="530">
        <f>BR45+BU45</f>
        <v>1400000</v>
      </c>
    </row>
    <row r="46" spans="1:74" x14ac:dyDescent="0.25">
      <c r="A46" s="756"/>
      <c r="B46" s="181"/>
      <c r="C46" s="169" t="s">
        <v>594</v>
      </c>
      <c r="D46" s="169" t="s">
        <v>596</v>
      </c>
      <c r="E46" s="208">
        <v>200000</v>
      </c>
      <c r="F46" s="194">
        <f t="shared" ref="F46:F51" si="73">BJ46</f>
        <v>21</v>
      </c>
      <c r="G46" s="194">
        <f t="shared" ref="G46:G51" si="74">BK46</f>
        <v>7700000</v>
      </c>
      <c r="H46" s="441"/>
      <c r="I46" s="441"/>
      <c r="J46" s="441"/>
      <c r="K46" s="441"/>
      <c r="L46" s="441"/>
      <c r="M46" s="534">
        <f t="shared" ref="M46:M51" si="75">G46</f>
        <v>7700000</v>
      </c>
      <c r="N46" s="441"/>
      <c r="O46" s="441"/>
      <c r="P46" s="441"/>
      <c r="Q46" s="441"/>
      <c r="R46" s="230">
        <f t="shared" ref="R46:R51" si="76">F46*0.35</f>
        <v>7.35</v>
      </c>
      <c r="S46" s="230">
        <f t="shared" ref="S46:S51" si="77">F46*0.1</f>
        <v>2.1</v>
      </c>
      <c r="T46" s="230">
        <f t="shared" ref="T46:T51" si="78">F46:F46*0.15</f>
        <v>3.15</v>
      </c>
      <c r="U46" s="230">
        <f t="shared" ref="U46:U51" si="79">F46*0.4</f>
        <v>8.4</v>
      </c>
      <c r="V46" s="231">
        <f t="shared" ref="V46:V51" si="80">R46*E46</f>
        <v>1470000</v>
      </c>
      <c r="W46" s="231">
        <f t="shared" ref="W46:W51" si="81">S46*E46</f>
        <v>420000</v>
      </c>
      <c r="X46" s="231">
        <f t="shared" ref="X46:X51" si="82">T46*E46</f>
        <v>630000</v>
      </c>
      <c r="Y46" s="231">
        <f t="shared" ref="Y46:Y51" si="83">U46*E46</f>
        <v>1680000</v>
      </c>
      <c r="Z46" s="230">
        <v>1</v>
      </c>
      <c r="AA46" s="231">
        <f>Z46*E46+3500000</f>
        <v>3700000</v>
      </c>
      <c r="AB46" s="194">
        <v>5</v>
      </c>
      <c r="AC46" s="231">
        <f t="shared" si="55"/>
        <v>1000000</v>
      </c>
      <c r="AD46" s="230">
        <v>0</v>
      </c>
      <c r="AE46" s="231">
        <f t="shared" si="56"/>
        <v>0</v>
      </c>
      <c r="AF46" s="230">
        <v>0</v>
      </c>
      <c r="AG46" s="231">
        <f t="shared" si="57"/>
        <v>0</v>
      </c>
      <c r="AH46" s="230"/>
      <c r="AI46" s="231">
        <f t="shared" si="58"/>
        <v>0</v>
      </c>
      <c r="AJ46" s="230">
        <v>10</v>
      </c>
      <c r="AK46" s="231">
        <f t="shared" si="59"/>
        <v>2000000</v>
      </c>
      <c r="AL46" s="230"/>
      <c r="AM46" s="231"/>
      <c r="AN46" s="230">
        <v>3</v>
      </c>
      <c r="AO46" s="231">
        <f t="shared" si="61"/>
        <v>600000</v>
      </c>
      <c r="AP46" s="230">
        <v>0</v>
      </c>
      <c r="AQ46" s="231">
        <f t="shared" si="62"/>
        <v>0</v>
      </c>
      <c r="AR46" s="230"/>
      <c r="AS46" s="231">
        <f t="shared" si="63"/>
        <v>0</v>
      </c>
      <c r="AT46" s="230">
        <v>0</v>
      </c>
      <c r="AU46" s="231">
        <f t="shared" si="64"/>
        <v>0</v>
      </c>
      <c r="AV46" s="230">
        <v>0</v>
      </c>
      <c r="AW46" s="231">
        <f t="shared" si="65"/>
        <v>0</v>
      </c>
      <c r="AX46" s="231">
        <v>0</v>
      </c>
      <c r="AY46" s="231">
        <f t="shared" si="66"/>
        <v>0</v>
      </c>
      <c r="AZ46" s="230">
        <v>0</v>
      </c>
      <c r="BA46" s="231">
        <f t="shared" si="67"/>
        <v>0</v>
      </c>
      <c r="BB46" s="230"/>
      <c r="BC46" s="231">
        <f t="shared" si="68"/>
        <v>0</v>
      </c>
      <c r="BD46" s="230">
        <v>0</v>
      </c>
      <c r="BE46" s="231">
        <f t="shared" si="69"/>
        <v>0</v>
      </c>
      <c r="BF46" s="230">
        <v>2</v>
      </c>
      <c r="BG46" s="231">
        <f t="shared" si="70"/>
        <v>400000</v>
      </c>
      <c r="BH46" s="230"/>
      <c r="BI46" s="231">
        <f t="shared" si="71"/>
        <v>0</v>
      </c>
      <c r="BJ46" s="230">
        <f t="shared" ref="BJ46:BJ51" si="84">BH46+BF46+BD46+BB46+AZ46+AX46+AV46+AT46+AR46+AP46+AN46+AL46+AJ46+AH46+AF46+AD46+AB46+Z46</f>
        <v>21</v>
      </c>
      <c r="BK46" s="230">
        <f t="shared" si="72"/>
        <v>7700000</v>
      </c>
      <c r="BL46" s="553" t="s">
        <v>277</v>
      </c>
      <c r="BM46" s="535"/>
      <c r="BN46" s="441"/>
      <c r="BO46" s="225"/>
      <c r="BP46" s="225"/>
      <c r="BQ46" s="225"/>
      <c r="BR46" s="225"/>
      <c r="BS46" s="225"/>
      <c r="BT46" s="225"/>
      <c r="BU46" s="225"/>
      <c r="BV46" s="530"/>
    </row>
    <row r="47" spans="1:74" x14ac:dyDescent="0.25">
      <c r="A47" s="756"/>
      <c r="B47" s="181"/>
      <c r="C47" s="169" t="s">
        <v>595</v>
      </c>
      <c r="D47" s="169" t="s">
        <v>596</v>
      </c>
      <c r="E47" s="208">
        <v>400000</v>
      </c>
      <c r="F47" s="194">
        <f t="shared" si="73"/>
        <v>10</v>
      </c>
      <c r="G47" s="194">
        <f t="shared" si="74"/>
        <v>4000000</v>
      </c>
      <c r="H47" s="441"/>
      <c r="I47" s="441"/>
      <c r="J47" s="441"/>
      <c r="K47" s="441"/>
      <c r="L47" s="441"/>
      <c r="M47" s="534">
        <f t="shared" si="75"/>
        <v>4000000</v>
      </c>
      <c r="N47" s="441"/>
      <c r="O47" s="441"/>
      <c r="P47" s="441"/>
      <c r="Q47" s="441"/>
      <c r="R47" s="230">
        <f t="shared" si="76"/>
        <v>3.5</v>
      </c>
      <c r="S47" s="230">
        <f t="shared" si="77"/>
        <v>1</v>
      </c>
      <c r="T47" s="230">
        <f t="shared" si="78"/>
        <v>1.5</v>
      </c>
      <c r="U47" s="230">
        <f t="shared" si="79"/>
        <v>4</v>
      </c>
      <c r="V47" s="231">
        <f t="shared" si="80"/>
        <v>1400000</v>
      </c>
      <c r="W47" s="231">
        <f t="shared" si="81"/>
        <v>400000</v>
      </c>
      <c r="X47" s="231">
        <f t="shared" si="82"/>
        <v>600000</v>
      </c>
      <c r="Y47" s="231">
        <f t="shared" si="83"/>
        <v>1600000</v>
      </c>
      <c r="Z47" s="230"/>
      <c r="AA47" s="231">
        <v>0</v>
      </c>
      <c r="AB47" s="194">
        <v>4</v>
      </c>
      <c r="AC47" s="231">
        <f t="shared" si="55"/>
        <v>1600000</v>
      </c>
      <c r="AD47" s="230">
        <v>0</v>
      </c>
      <c r="AE47" s="231">
        <f>AD47*E47</f>
        <v>0</v>
      </c>
      <c r="AF47" s="230">
        <v>5</v>
      </c>
      <c r="AG47" s="231">
        <f t="shared" si="57"/>
        <v>2000000</v>
      </c>
      <c r="AH47" s="230">
        <v>0</v>
      </c>
      <c r="AI47" s="231">
        <f t="shared" si="58"/>
        <v>0</v>
      </c>
      <c r="AJ47" s="230">
        <v>1</v>
      </c>
      <c r="AK47" s="231">
        <f t="shared" si="59"/>
        <v>400000</v>
      </c>
      <c r="AL47" s="230"/>
      <c r="AM47" s="231"/>
      <c r="AN47" s="230"/>
      <c r="AO47" s="231">
        <f t="shared" si="61"/>
        <v>0</v>
      </c>
      <c r="AP47" s="230">
        <v>0</v>
      </c>
      <c r="AQ47" s="231">
        <f t="shared" si="62"/>
        <v>0</v>
      </c>
      <c r="AR47" s="230">
        <v>0</v>
      </c>
      <c r="AS47" s="231">
        <f t="shared" si="63"/>
        <v>0</v>
      </c>
      <c r="AT47" s="230">
        <v>0</v>
      </c>
      <c r="AU47" s="231">
        <f t="shared" si="64"/>
        <v>0</v>
      </c>
      <c r="AV47" s="230">
        <v>0</v>
      </c>
      <c r="AW47" s="231">
        <f t="shared" si="65"/>
        <v>0</v>
      </c>
      <c r="AX47" s="231">
        <v>0</v>
      </c>
      <c r="AY47" s="231">
        <f t="shared" si="66"/>
        <v>0</v>
      </c>
      <c r="AZ47" s="230">
        <v>0</v>
      </c>
      <c r="BA47" s="231">
        <f t="shared" si="67"/>
        <v>0</v>
      </c>
      <c r="BB47" s="230"/>
      <c r="BC47" s="231">
        <f t="shared" si="68"/>
        <v>0</v>
      </c>
      <c r="BD47" s="230">
        <v>0</v>
      </c>
      <c r="BE47" s="231">
        <f t="shared" si="69"/>
        <v>0</v>
      </c>
      <c r="BF47" s="230">
        <v>0</v>
      </c>
      <c r="BG47" s="231">
        <f t="shared" si="70"/>
        <v>0</v>
      </c>
      <c r="BH47" s="230"/>
      <c r="BI47" s="231">
        <f t="shared" si="71"/>
        <v>0</v>
      </c>
      <c r="BJ47" s="230">
        <f t="shared" si="84"/>
        <v>10</v>
      </c>
      <c r="BK47" s="230">
        <f t="shared" si="72"/>
        <v>4000000</v>
      </c>
      <c r="BL47" s="553" t="s">
        <v>277</v>
      </c>
      <c r="BM47" s="535"/>
      <c r="BN47" s="441"/>
      <c r="BO47" s="225"/>
      <c r="BP47" s="225"/>
      <c r="BQ47" s="225"/>
      <c r="BR47" s="225"/>
      <c r="BS47" s="225"/>
      <c r="BT47" s="225"/>
      <c r="BU47" s="225"/>
      <c r="BV47" s="530"/>
    </row>
    <row r="48" spans="1:74" x14ac:dyDescent="0.25">
      <c r="A48" s="756"/>
      <c r="B48" s="181"/>
      <c r="C48" s="169" t="s">
        <v>598</v>
      </c>
      <c r="D48" s="169"/>
      <c r="E48" s="208">
        <v>10700</v>
      </c>
      <c r="F48" s="194">
        <f t="shared" si="73"/>
        <v>430</v>
      </c>
      <c r="G48" s="194">
        <f t="shared" si="74"/>
        <v>4601000</v>
      </c>
      <c r="H48" s="441"/>
      <c r="I48" s="441"/>
      <c r="J48" s="441"/>
      <c r="K48" s="441"/>
      <c r="L48" s="441"/>
      <c r="M48" s="534">
        <f t="shared" si="75"/>
        <v>4601000</v>
      </c>
      <c r="N48" s="441"/>
      <c r="O48" s="441"/>
      <c r="P48" s="441"/>
      <c r="Q48" s="441"/>
      <c r="R48" s="230">
        <f t="shared" si="76"/>
        <v>150.5</v>
      </c>
      <c r="S48" s="230">
        <f t="shared" si="77"/>
        <v>43</v>
      </c>
      <c r="T48" s="230">
        <f t="shared" si="78"/>
        <v>64.5</v>
      </c>
      <c r="U48" s="230">
        <f t="shared" si="79"/>
        <v>172</v>
      </c>
      <c r="V48" s="231">
        <f t="shared" si="80"/>
        <v>1610350</v>
      </c>
      <c r="W48" s="231">
        <f t="shared" si="81"/>
        <v>460100</v>
      </c>
      <c r="X48" s="231">
        <f t="shared" si="82"/>
        <v>690150</v>
      </c>
      <c r="Y48" s="231">
        <f t="shared" si="83"/>
        <v>1840400</v>
      </c>
      <c r="Z48" s="230">
        <v>0</v>
      </c>
      <c r="AA48" s="231">
        <f>Z48*E48</f>
        <v>0</v>
      </c>
      <c r="AB48" s="194">
        <v>50</v>
      </c>
      <c r="AC48" s="231">
        <f t="shared" si="55"/>
        <v>535000</v>
      </c>
      <c r="AD48" s="230">
        <v>0</v>
      </c>
      <c r="AE48" s="231">
        <f t="shared" si="56"/>
        <v>0</v>
      </c>
      <c r="AF48" s="230">
        <v>0</v>
      </c>
      <c r="AG48" s="231">
        <f t="shared" si="57"/>
        <v>0</v>
      </c>
      <c r="AH48" s="230"/>
      <c r="AI48" s="231">
        <f t="shared" si="58"/>
        <v>0</v>
      </c>
      <c r="AJ48" s="230">
        <v>0</v>
      </c>
      <c r="AK48" s="231">
        <f t="shared" si="59"/>
        <v>0</v>
      </c>
      <c r="AL48" s="230"/>
      <c r="AM48" s="231"/>
      <c r="AN48" s="230"/>
      <c r="AO48" s="231">
        <f t="shared" si="61"/>
        <v>0</v>
      </c>
      <c r="AP48" s="230">
        <v>0</v>
      </c>
      <c r="AQ48" s="231"/>
      <c r="AR48" s="230">
        <v>130</v>
      </c>
      <c r="AS48" s="231">
        <f t="shared" si="63"/>
        <v>1391000</v>
      </c>
      <c r="AT48" s="230"/>
      <c r="AU48" s="231"/>
      <c r="AV48" s="230">
        <v>0</v>
      </c>
      <c r="AW48" s="231">
        <f t="shared" si="65"/>
        <v>0</v>
      </c>
      <c r="AX48" s="231">
        <v>0</v>
      </c>
      <c r="AY48" s="231">
        <f t="shared" si="66"/>
        <v>0</v>
      </c>
      <c r="AZ48" s="230">
        <v>50</v>
      </c>
      <c r="BA48" s="231">
        <f t="shared" si="67"/>
        <v>535000</v>
      </c>
      <c r="BB48" s="230">
        <v>200</v>
      </c>
      <c r="BC48" s="231">
        <f t="shared" si="68"/>
        <v>2140000</v>
      </c>
      <c r="BD48" s="230"/>
      <c r="BE48" s="231">
        <f t="shared" si="69"/>
        <v>0</v>
      </c>
      <c r="BF48" s="230">
        <v>0</v>
      </c>
      <c r="BG48" s="231">
        <f t="shared" si="70"/>
        <v>0</v>
      </c>
      <c r="BH48" s="230"/>
      <c r="BI48" s="231">
        <f t="shared" si="71"/>
        <v>0</v>
      </c>
      <c r="BJ48" s="230">
        <f t="shared" si="84"/>
        <v>430</v>
      </c>
      <c r="BK48" s="230">
        <f t="shared" si="72"/>
        <v>4601000</v>
      </c>
      <c r="BL48" s="553" t="s">
        <v>277</v>
      </c>
      <c r="BM48" s="535"/>
      <c r="BN48" s="441"/>
      <c r="BO48" s="225"/>
      <c r="BP48" s="225"/>
      <c r="BQ48" s="225"/>
      <c r="BR48" s="225"/>
      <c r="BS48" s="225"/>
      <c r="BT48" s="225"/>
      <c r="BU48" s="225"/>
      <c r="BV48" s="530"/>
    </row>
    <row r="49" spans="1:74" x14ac:dyDescent="0.25">
      <c r="A49" s="756"/>
      <c r="B49" s="181"/>
      <c r="C49" s="169" t="s">
        <v>599</v>
      </c>
      <c r="D49" s="169" t="s">
        <v>240</v>
      </c>
      <c r="E49" s="208">
        <v>443</v>
      </c>
      <c r="F49" s="194">
        <f t="shared" si="73"/>
        <v>4200</v>
      </c>
      <c r="G49" s="194">
        <f t="shared" si="74"/>
        <v>2772000</v>
      </c>
      <c r="H49" s="441"/>
      <c r="I49" s="441"/>
      <c r="J49" s="441"/>
      <c r="K49" s="441"/>
      <c r="L49" s="441"/>
      <c r="M49" s="534">
        <f t="shared" si="75"/>
        <v>2772000</v>
      </c>
      <c r="N49" s="441"/>
      <c r="O49" s="441"/>
      <c r="P49" s="441"/>
      <c r="Q49" s="441"/>
      <c r="R49" s="230">
        <f t="shared" si="76"/>
        <v>1470</v>
      </c>
      <c r="S49" s="230">
        <f t="shared" si="77"/>
        <v>420</v>
      </c>
      <c r="T49" s="230">
        <f t="shared" si="78"/>
        <v>630</v>
      </c>
      <c r="U49" s="230">
        <f t="shared" si="79"/>
        <v>1680</v>
      </c>
      <c r="V49" s="231">
        <f t="shared" si="80"/>
        <v>651210</v>
      </c>
      <c r="W49" s="231">
        <f t="shared" si="81"/>
        <v>186060</v>
      </c>
      <c r="X49" s="231">
        <f t="shared" si="82"/>
        <v>279090</v>
      </c>
      <c r="Y49" s="231">
        <f t="shared" si="83"/>
        <v>744240</v>
      </c>
      <c r="Z49" s="230"/>
      <c r="AA49" s="231">
        <f>Z49*E49</f>
        <v>0</v>
      </c>
      <c r="AB49" s="194">
        <v>500</v>
      </c>
      <c r="AC49" s="231">
        <f t="shared" si="55"/>
        <v>221500</v>
      </c>
      <c r="AD49" s="230">
        <v>0</v>
      </c>
      <c r="AE49" s="231">
        <f t="shared" si="56"/>
        <v>0</v>
      </c>
      <c r="AF49" s="230">
        <v>1000</v>
      </c>
      <c r="AG49" s="231">
        <f t="shared" si="57"/>
        <v>443000</v>
      </c>
      <c r="AH49" s="230"/>
      <c r="AI49" s="231">
        <f t="shared" si="58"/>
        <v>0</v>
      </c>
      <c r="AJ49" s="230">
        <v>0</v>
      </c>
      <c r="AK49" s="231">
        <f t="shared" si="59"/>
        <v>0</v>
      </c>
      <c r="AL49" s="230">
        <v>200</v>
      </c>
      <c r="AM49" s="231">
        <v>221500</v>
      </c>
      <c r="AN49" s="230">
        <v>500</v>
      </c>
      <c r="AO49" s="231">
        <v>1000000</v>
      </c>
      <c r="AP49" s="230"/>
      <c r="AQ49" s="231"/>
      <c r="AR49" s="230">
        <v>2000</v>
      </c>
      <c r="AS49" s="231">
        <f t="shared" si="63"/>
        <v>886000</v>
      </c>
      <c r="AT49" s="230"/>
      <c r="AU49" s="231"/>
      <c r="AV49" s="230">
        <v>0</v>
      </c>
      <c r="AW49" s="231">
        <f t="shared" si="65"/>
        <v>0</v>
      </c>
      <c r="AX49" s="231">
        <v>0</v>
      </c>
      <c r="AY49" s="231">
        <f t="shared" si="66"/>
        <v>0</v>
      </c>
      <c r="AZ49" s="230">
        <v>0</v>
      </c>
      <c r="BA49" s="231">
        <f t="shared" si="67"/>
        <v>0</v>
      </c>
      <c r="BB49" s="230"/>
      <c r="BC49" s="231">
        <f t="shared" si="68"/>
        <v>0</v>
      </c>
      <c r="BD49" s="230">
        <v>0</v>
      </c>
      <c r="BE49" s="231">
        <f t="shared" si="69"/>
        <v>0</v>
      </c>
      <c r="BF49" s="230">
        <v>0</v>
      </c>
      <c r="BG49" s="231">
        <f t="shared" si="70"/>
        <v>0</v>
      </c>
      <c r="BH49" s="230"/>
      <c r="BI49" s="231">
        <f t="shared" si="71"/>
        <v>0</v>
      </c>
      <c r="BJ49" s="230">
        <f t="shared" si="84"/>
        <v>4200</v>
      </c>
      <c r="BK49" s="230">
        <f t="shared" si="72"/>
        <v>2772000</v>
      </c>
      <c r="BL49" s="553" t="s">
        <v>277</v>
      </c>
      <c r="BM49" s="535"/>
      <c r="BN49" s="441"/>
      <c r="BO49" s="225"/>
      <c r="BP49" s="225"/>
      <c r="BQ49" s="225"/>
      <c r="BR49" s="225"/>
      <c r="BS49" s="225"/>
      <c r="BT49" s="225"/>
      <c r="BU49" s="225"/>
      <c r="BV49" s="530"/>
    </row>
    <row r="50" spans="1:74" x14ac:dyDescent="0.25">
      <c r="A50" s="756"/>
      <c r="B50" s="181"/>
      <c r="C50" s="169" t="s">
        <v>600</v>
      </c>
      <c r="D50" s="169" t="s">
        <v>240</v>
      </c>
      <c r="E50" s="208">
        <v>354</v>
      </c>
      <c r="F50" s="194">
        <f t="shared" si="73"/>
        <v>1700</v>
      </c>
      <c r="G50" s="194">
        <f t="shared" si="74"/>
        <v>708000</v>
      </c>
      <c r="H50" s="441"/>
      <c r="I50" s="441"/>
      <c r="J50" s="441"/>
      <c r="K50" s="441"/>
      <c r="L50" s="441"/>
      <c r="M50" s="534">
        <f t="shared" si="75"/>
        <v>708000</v>
      </c>
      <c r="N50" s="441"/>
      <c r="O50" s="441"/>
      <c r="P50" s="441"/>
      <c r="Q50" s="441"/>
      <c r="R50" s="230">
        <f t="shared" si="76"/>
        <v>595</v>
      </c>
      <c r="S50" s="230">
        <f t="shared" si="77"/>
        <v>170</v>
      </c>
      <c r="T50" s="230">
        <f t="shared" si="78"/>
        <v>255</v>
      </c>
      <c r="U50" s="230">
        <f t="shared" si="79"/>
        <v>680</v>
      </c>
      <c r="V50" s="231">
        <f t="shared" si="80"/>
        <v>210630</v>
      </c>
      <c r="W50" s="231">
        <f t="shared" si="81"/>
        <v>60180</v>
      </c>
      <c r="X50" s="231">
        <f t="shared" si="82"/>
        <v>90270</v>
      </c>
      <c r="Y50" s="231">
        <f t="shared" si="83"/>
        <v>240720</v>
      </c>
      <c r="Z50" s="230"/>
      <c r="AA50" s="231">
        <f>Z50*E50</f>
        <v>0</v>
      </c>
      <c r="AB50" s="194">
        <v>0</v>
      </c>
      <c r="AC50" s="231">
        <f t="shared" si="55"/>
        <v>0</v>
      </c>
      <c r="AD50" s="230">
        <v>0</v>
      </c>
      <c r="AE50" s="231">
        <f t="shared" si="56"/>
        <v>0</v>
      </c>
      <c r="AF50" s="230">
        <v>0</v>
      </c>
      <c r="AG50" s="231">
        <f t="shared" si="57"/>
        <v>0</v>
      </c>
      <c r="AH50" s="230"/>
      <c r="AI50" s="231">
        <f t="shared" si="58"/>
        <v>0</v>
      </c>
      <c r="AJ50" s="230">
        <v>0</v>
      </c>
      <c r="AK50" s="231">
        <f t="shared" si="59"/>
        <v>0</v>
      </c>
      <c r="AL50" s="218">
        <v>200</v>
      </c>
      <c r="AM50" s="228">
        <v>177000</v>
      </c>
      <c r="AN50" s="230"/>
      <c r="AO50" s="231">
        <f t="shared" si="61"/>
        <v>0</v>
      </c>
      <c r="AP50" s="230"/>
      <c r="AQ50" s="231"/>
      <c r="AR50" s="230">
        <v>1500</v>
      </c>
      <c r="AS50" s="231">
        <f t="shared" si="63"/>
        <v>531000</v>
      </c>
      <c r="AT50" s="230"/>
      <c r="AU50" s="231"/>
      <c r="AV50" s="230">
        <v>0</v>
      </c>
      <c r="AW50" s="231">
        <f t="shared" si="65"/>
        <v>0</v>
      </c>
      <c r="AX50" s="231">
        <v>0</v>
      </c>
      <c r="AY50" s="231">
        <f t="shared" si="66"/>
        <v>0</v>
      </c>
      <c r="AZ50" s="230">
        <v>0</v>
      </c>
      <c r="BA50" s="231">
        <f t="shared" si="67"/>
        <v>0</v>
      </c>
      <c r="BB50" s="230"/>
      <c r="BC50" s="231">
        <f t="shared" si="68"/>
        <v>0</v>
      </c>
      <c r="BD50" s="230">
        <v>0</v>
      </c>
      <c r="BE50" s="231">
        <f t="shared" si="69"/>
        <v>0</v>
      </c>
      <c r="BF50" s="230">
        <v>0</v>
      </c>
      <c r="BG50" s="231">
        <f t="shared" si="70"/>
        <v>0</v>
      </c>
      <c r="BH50" s="230"/>
      <c r="BI50" s="231">
        <f t="shared" si="71"/>
        <v>0</v>
      </c>
      <c r="BJ50" s="230">
        <f t="shared" si="84"/>
        <v>1700</v>
      </c>
      <c r="BK50" s="230">
        <f t="shared" si="72"/>
        <v>708000</v>
      </c>
      <c r="BL50" s="553" t="s">
        <v>277</v>
      </c>
      <c r="BM50" s="535"/>
      <c r="BN50" s="441"/>
      <c r="BO50" s="225"/>
      <c r="BP50" s="225"/>
      <c r="BQ50" s="225"/>
      <c r="BR50" s="225"/>
      <c r="BS50" s="225"/>
      <c r="BT50" s="225"/>
      <c r="BU50" s="225"/>
      <c r="BV50" s="530"/>
    </row>
    <row r="51" spans="1:74" x14ac:dyDescent="0.25">
      <c r="A51" s="756"/>
      <c r="B51" s="181"/>
      <c r="C51" s="169" t="s">
        <v>602</v>
      </c>
      <c r="D51" s="169" t="s">
        <v>596</v>
      </c>
      <c r="E51" s="208">
        <v>300000</v>
      </c>
      <c r="F51" s="194">
        <f t="shared" si="73"/>
        <v>25</v>
      </c>
      <c r="G51" s="194">
        <f t="shared" si="74"/>
        <v>7500000</v>
      </c>
      <c r="H51" s="441"/>
      <c r="I51" s="441"/>
      <c r="J51" s="441"/>
      <c r="K51" s="441"/>
      <c r="L51" s="441"/>
      <c r="M51" s="534">
        <f t="shared" si="75"/>
        <v>7500000</v>
      </c>
      <c r="N51" s="441"/>
      <c r="O51" s="441"/>
      <c r="P51" s="441"/>
      <c r="Q51" s="441"/>
      <c r="R51" s="230">
        <f t="shared" si="76"/>
        <v>8.75</v>
      </c>
      <c r="S51" s="230">
        <f t="shared" si="77"/>
        <v>2.5</v>
      </c>
      <c r="T51" s="230">
        <f t="shared" si="78"/>
        <v>3.75</v>
      </c>
      <c r="U51" s="230">
        <f t="shared" si="79"/>
        <v>10</v>
      </c>
      <c r="V51" s="231">
        <f t="shared" si="80"/>
        <v>2625000</v>
      </c>
      <c r="W51" s="231">
        <f t="shared" si="81"/>
        <v>750000</v>
      </c>
      <c r="X51" s="231">
        <f t="shared" si="82"/>
        <v>1125000</v>
      </c>
      <c r="Y51" s="231">
        <f t="shared" si="83"/>
        <v>3000000</v>
      </c>
      <c r="Z51" s="230">
        <v>2</v>
      </c>
      <c r="AA51" s="231">
        <f>Z51*E51</f>
        <v>600000</v>
      </c>
      <c r="AB51" s="194">
        <v>6</v>
      </c>
      <c r="AC51" s="231">
        <f t="shared" si="55"/>
        <v>1800000</v>
      </c>
      <c r="AD51" s="230">
        <v>0</v>
      </c>
      <c r="AE51" s="231">
        <f t="shared" si="56"/>
        <v>0</v>
      </c>
      <c r="AF51" s="230">
        <v>5</v>
      </c>
      <c r="AG51" s="231">
        <f t="shared" si="57"/>
        <v>1500000</v>
      </c>
      <c r="AH51" s="230">
        <v>3</v>
      </c>
      <c r="AI51" s="231">
        <f t="shared" si="58"/>
        <v>900000</v>
      </c>
      <c r="AJ51" s="230">
        <v>0</v>
      </c>
      <c r="AK51" s="231">
        <f t="shared" si="59"/>
        <v>0</v>
      </c>
      <c r="AL51" s="230"/>
      <c r="AM51" s="231"/>
      <c r="AN51" s="230">
        <v>2</v>
      </c>
      <c r="AO51" s="231">
        <f t="shared" si="61"/>
        <v>600000</v>
      </c>
      <c r="AP51" s="230"/>
      <c r="AQ51" s="231"/>
      <c r="AR51" s="230">
        <v>1</v>
      </c>
      <c r="AS51" s="231">
        <f t="shared" si="63"/>
        <v>300000</v>
      </c>
      <c r="AT51" s="230">
        <v>6</v>
      </c>
      <c r="AU51" s="231">
        <v>1800000</v>
      </c>
      <c r="AV51" s="230">
        <v>0</v>
      </c>
      <c r="AW51" s="231">
        <f t="shared" si="65"/>
        <v>0</v>
      </c>
      <c r="AX51" s="231">
        <v>0</v>
      </c>
      <c r="AY51" s="231">
        <f t="shared" si="66"/>
        <v>0</v>
      </c>
      <c r="AZ51" s="230">
        <v>0</v>
      </c>
      <c r="BA51" s="231">
        <f t="shared" si="67"/>
        <v>0</v>
      </c>
      <c r="BB51" s="230">
        <v>0</v>
      </c>
      <c r="BC51" s="231">
        <f t="shared" si="68"/>
        <v>0</v>
      </c>
      <c r="BD51" s="231">
        <v>0</v>
      </c>
      <c r="BE51" s="231">
        <f t="shared" si="69"/>
        <v>0</v>
      </c>
      <c r="BF51" s="230">
        <v>0</v>
      </c>
      <c r="BG51" s="231">
        <f>BF51*E51</f>
        <v>0</v>
      </c>
      <c r="BH51" s="230"/>
      <c r="BI51" s="231">
        <f t="shared" si="71"/>
        <v>0</v>
      </c>
      <c r="BJ51" s="230">
        <f t="shared" si="84"/>
        <v>25</v>
      </c>
      <c r="BK51" s="230">
        <f t="shared" si="72"/>
        <v>7500000</v>
      </c>
      <c r="BL51" s="553" t="s">
        <v>277</v>
      </c>
      <c r="BM51" s="535"/>
      <c r="BN51" s="441"/>
      <c r="BO51" s="225"/>
      <c r="BP51" s="225"/>
      <c r="BQ51" s="225"/>
      <c r="BR51" s="225"/>
      <c r="BS51" s="225"/>
      <c r="BT51" s="225"/>
      <c r="BU51" s="225"/>
      <c r="BV51" s="530"/>
    </row>
    <row r="52" spans="1:74" x14ac:dyDescent="0.25">
      <c r="A52" s="756"/>
      <c r="B52" s="562"/>
      <c r="C52" s="556" t="s">
        <v>3</v>
      </c>
      <c r="D52" s="207"/>
      <c r="E52" s="210"/>
      <c r="F52" s="184">
        <f>SUM(F41:F51)</f>
        <v>6716</v>
      </c>
      <c r="G52" s="184">
        <f>SUM(G41:G51)</f>
        <v>42126638</v>
      </c>
      <c r="H52" s="184">
        <f t="shared" ref="H52:BK52" si="85">SUM(H41:H51)</f>
        <v>0</v>
      </c>
      <c r="I52" s="184">
        <f t="shared" si="85"/>
        <v>0</v>
      </c>
      <c r="J52" s="184">
        <f t="shared" si="85"/>
        <v>0</v>
      </c>
      <c r="K52" s="184">
        <f t="shared" si="85"/>
        <v>0</v>
      </c>
      <c r="L52" s="184">
        <f t="shared" si="85"/>
        <v>0</v>
      </c>
      <c r="M52" s="184">
        <f t="shared" si="85"/>
        <v>42126638</v>
      </c>
      <c r="N52" s="184">
        <f t="shared" si="85"/>
        <v>0</v>
      </c>
      <c r="O52" s="184">
        <f t="shared" si="85"/>
        <v>0</v>
      </c>
      <c r="P52" s="184">
        <f t="shared" si="85"/>
        <v>0</v>
      </c>
      <c r="Q52" s="184">
        <f t="shared" si="85"/>
        <v>0</v>
      </c>
      <c r="R52" s="184">
        <f t="shared" si="85"/>
        <v>2350.6</v>
      </c>
      <c r="S52" s="184">
        <f t="shared" si="85"/>
        <v>671.6</v>
      </c>
      <c r="T52" s="184">
        <f t="shared" si="85"/>
        <v>1007.4</v>
      </c>
      <c r="U52" s="184">
        <f t="shared" si="85"/>
        <v>2686.4</v>
      </c>
      <c r="V52" s="184">
        <f t="shared" si="85"/>
        <v>13163163.300000001</v>
      </c>
      <c r="W52" s="184">
        <f t="shared" si="85"/>
        <v>3760903.8</v>
      </c>
      <c r="X52" s="184">
        <f t="shared" si="85"/>
        <v>5641355.7000000002</v>
      </c>
      <c r="Y52" s="184">
        <f t="shared" si="85"/>
        <v>15043615.199999999</v>
      </c>
      <c r="Z52" s="184">
        <f t="shared" si="85"/>
        <v>33</v>
      </c>
      <c r="AA52" s="184">
        <f t="shared" si="85"/>
        <v>7690000</v>
      </c>
      <c r="AB52" s="184">
        <f t="shared" si="85"/>
        <v>640</v>
      </c>
      <c r="AC52" s="184">
        <f t="shared" si="85"/>
        <v>6532138</v>
      </c>
      <c r="AD52" s="184">
        <f t="shared" si="85"/>
        <v>0</v>
      </c>
      <c r="AE52" s="184">
        <f t="shared" si="85"/>
        <v>0</v>
      </c>
      <c r="AF52" s="184">
        <f t="shared" si="85"/>
        <v>1030</v>
      </c>
      <c r="AG52" s="184">
        <f t="shared" si="85"/>
        <v>5048000</v>
      </c>
      <c r="AH52" s="184">
        <f t="shared" si="85"/>
        <v>23</v>
      </c>
      <c r="AI52" s="184">
        <f t="shared" si="85"/>
        <v>3160000</v>
      </c>
      <c r="AJ52" s="184">
        <f t="shared" si="85"/>
        <v>41</v>
      </c>
      <c r="AK52" s="184">
        <f t="shared" si="85"/>
        <v>3705000</v>
      </c>
      <c r="AL52" s="184">
        <f t="shared" si="85"/>
        <v>400</v>
      </c>
      <c r="AM52" s="184">
        <f t="shared" si="85"/>
        <v>398500</v>
      </c>
      <c r="AN52" s="184">
        <f t="shared" si="85"/>
        <v>545</v>
      </c>
      <c r="AO52" s="184">
        <f t="shared" si="85"/>
        <v>3210000</v>
      </c>
      <c r="AP52" s="184">
        <f t="shared" si="85"/>
        <v>0</v>
      </c>
      <c r="AQ52" s="184">
        <f t="shared" si="85"/>
        <v>0</v>
      </c>
      <c r="AR52" s="184">
        <f t="shared" si="85"/>
        <v>3671</v>
      </c>
      <c r="AS52" s="184">
        <f t="shared" si="85"/>
        <v>4328000</v>
      </c>
      <c r="AT52" s="184">
        <f t="shared" si="85"/>
        <v>6</v>
      </c>
      <c r="AU52" s="184">
        <f t="shared" si="85"/>
        <v>1800000</v>
      </c>
      <c r="AV52" s="184">
        <f t="shared" si="85"/>
        <v>25</v>
      </c>
      <c r="AW52" s="184">
        <f t="shared" si="85"/>
        <v>1790000</v>
      </c>
      <c r="AX52" s="184">
        <f t="shared" si="85"/>
        <v>20</v>
      </c>
      <c r="AY52" s="184">
        <f t="shared" si="85"/>
        <v>880000</v>
      </c>
      <c r="AZ52" s="184">
        <f t="shared" si="85"/>
        <v>50</v>
      </c>
      <c r="BA52" s="184">
        <f t="shared" si="85"/>
        <v>535000</v>
      </c>
      <c r="BB52" s="184">
        <f t="shared" si="85"/>
        <v>230</v>
      </c>
      <c r="BC52" s="184">
        <f t="shared" si="85"/>
        <v>2650000</v>
      </c>
      <c r="BD52" s="184">
        <f t="shared" si="85"/>
        <v>0</v>
      </c>
      <c r="BE52" s="184">
        <f t="shared" si="85"/>
        <v>0</v>
      </c>
      <c r="BF52" s="184">
        <f t="shared" si="85"/>
        <v>2</v>
      </c>
      <c r="BG52" s="184">
        <f t="shared" si="85"/>
        <v>400000</v>
      </c>
      <c r="BH52" s="184">
        <f t="shared" si="85"/>
        <v>0</v>
      </c>
      <c r="BI52" s="184">
        <f t="shared" si="85"/>
        <v>0</v>
      </c>
      <c r="BJ52" s="184">
        <f t="shared" si="85"/>
        <v>6716</v>
      </c>
      <c r="BK52" s="184">
        <f t="shared" si="85"/>
        <v>42126638</v>
      </c>
      <c r="BL52" s="184">
        <f t="shared" ref="BL52:BV52" si="86">SUM(BL41:BL45)</f>
        <v>0</v>
      </c>
      <c r="BM52" s="184">
        <f t="shared" si="86"/>
        <v>0</v>
      </c>
      <c r="BN52" s="184">
        <f t="shared" si="86"/>
        <v>14845638</v>
      </c>
      <c r="BO52" s="184">
        <f t="shared" si="86"/>
        <v>0</v>
      </c>
      <c r="BP52" s="184">
        <f t="shared" si="86"/>
        <v>0</v>
      </c>
      <c r="BQ52" s="184">
        <f t="shared" si="86"/>
        <v>0</v>
      </c>
      <c r="BR52" s="184">
        <f t="shared" si="86"/>
        <v>14845638</v>
      </c>
      <c r="BS52" s="184">
        <f t="shared" si="86"/>
        <v>0</v>
      </c>
      <c r="BT52" s="184">
        <f t="shared" si="86"/>
        <v>0</v>
      </c>
      <c r="BU52" s="184">
        <f t="shared" si="86"/>
        <v>0</v>
      </c>
      <c r="BV52" s="184">
        <f t="shared" si="86"/>
        <v>14845638</v>
      </c>
    </row>
    <row r="53" spans="1:74" s="237" customFormat="1" x14ac:dyDescent="0.25">
      <c r="A53" s="756"/>
      <c r="B53" s="181"/>
      <c r="C53" s="207" t="s">
        <v>76</v>
      </c>
      <c r="D53" s="169"/>
      <c r="E53" s="208"/>
      <c r="F53" s="194"/>
      <c r="G53" s="441"/>
      <c r="H53" s="441"/>
      <c r="I53" s="441"/>
      <c r="J53" s="441"/>
      <c r="K53" s="441"/>
      <c r="L53" s="441"/>
      <c r="M53" s="441"/>
      <c r="N53" s="441"/>
      <c r="O53" s="441"/>
      <c r="P53" s="441"/>
      <c r="Q53" s="441"/>
      <c r="R53" s="230"/>
      <c r="S53" s="230"/>
      <c r="T53" s="230"/>
      <c r="U53" s="230"/>
      <c r="V53" s="231"/>
      <c r="W53" s="231"/>
      <c r="X53" s="231"/>
      <c r="Y53" s="231"/>
      <c r="Z53" s="230"/>
      <c r="AA53" s="231">
        <f>Z53*E53</f>
        <v>0</v>
      </c>
      <c r="AB53" s="230"/>
      <c r="AC53" s="231">
        <f t="shared" ref="AC53:AC75" si="87">AB53*E53</f>
        <v>0</v>
      </c>
      <c r="AD53" s="230"/>
      <c r="AE53" s="231">
        <f t="shared" ref="AE53:AE75" si="88">AD53*E53</f>
        <v>0</v>
      </c>
      <c r="AF53" s="230"/>
      <c r="AG53" s="231">
        <f t="shared" ref="AG53:AG75" si="89">AF53*E53</f>
        <v>0</v>
      </c>
      <c r="AH53" s="230"/>
      <c r="AI53" s="231">
        <f t="shared" ref="AI53:AI75" si="90">AH53*E53</f>
        <v>0</v>
      </c>
      <c r="AJ53" s="230"/>
      <c r="AK53" s="231">
        <f>AJ53*E53</f>
        <v>0</v>
      </c>
      <c r="AL53" s="230"/>
      <c r="AM53" s="231">
        <f>AL53*E53</f>
        <v>0</v>
      </c>
      <c r="AN53" s="230"/>
      <c r="AO53" s="231">
        <f t="shared" ref="AO53:AO65" si="91">AN53*E53</f>
        <v>0</v>
      </c>
      <c r="AP53" s="230"/>
      <c r="AQ53" s="231">
        <f t="shared" ref="AQ53:AQ75" si="92">AP53*E53</f>
        <v>0</v>
      </c>
      <c r="AR53" s="230"/>
      <c r="AS53" s="231">
        <f t="shared" ref="AS53:AS75" si="93">AR53*E53</f>
        <v>0</v>
      </c>
      <c r="AT53" s="230"/>
      <c r="AU53" s="231">
        <f t="shared" ref="AU53:AU75" si="94">AT53*E53</f>
        <v>0</v>
      </c>
      <c r="AV53" s="230"/>
      <c r="AW53" s="231">
        <f t="shared" ref="AW53:AW75" si="95">AV53*E53</f>
        <v>0</v>
      </c>
      <c r="AX53" s="231"/>
      <c r="AY53" s="231">
        <f t="shared" ref="AY53:AY75" si="96">AX53*E53</f>
        <v>0</v>
      </c>
      <c r="AZ53" s="230"/>
      <c r="BA53" s="231">
        <f t="shared" ref="BA53:BA75" si="97">AZ53*E53</f>
        <v>0</v>
      </c>
      <c r="BB53" s="230"/>
      <c r="BC53" s="231">
        <f>BB53*E53</f>
        <v>0</v>
      </c>
      <c r="BD53" s="230"/>
      <c r="BE53" s="231">
        <f>BD53*E53</f>
        <v>0</v>
      </c>
      <c r="BF53" s="230"/>
      <c r="BG53" s="231">
        <f t="shared" ref="BG53:BG75" si="98">BF53*E53</f>
        <v>0</v>
      </c>
      <c r="BH53" s="230"/>
      <c r="BI53" s="231">
        <f t="shared" ref="BI53:BI75" si="99">BH53*E53</f>
        <v>0</v>
      </c>
      <c r="BJ53" s="230">
        <f t="shared" ref="BJ53:BJ75" si="100">BH53+BF53+BD53+BB53+AZ53+AX53+AV53+AT53+AR53+AP53+AN53+AL53+AJ53+AH53+AF53+AD53+AB53+Z53</f>
        <v>0</v>
      </c>
      <c r="BK53" s="230">
        <f t="shared" ref="BK53:BK75" si="101">BI53+BG53+BE53+BC53+BA53+AY53+AW53+AU53+AS53+AQ53+AO53+AM53+AK53+AI53+AG53+AE53+AC53+AA53</f>
        <v>0</v>
      </c>
      <c r="BL53" s="555"/>
      <c r="BM53" s="535"/>
      <c r="BN53" s="441">
        <f t="shared" ref="BN53:BN64" si="102">G53</f>
        <v>0</v>
      </c>
      <c r="BO53" s="283"/>
      <c r="BP53" s="283"/>
      <c r="BQ53" s="283"/>
      <c r="BR53" s="225">
        <f t="shared" ref="BR53:BR69" si="103">BN53+BO53+BP53+BQ53</f>
        <v>0</v>
      </c>
      <c r="BS53" s="283"/>
      <c r="BT53" s="283"/>
      <c r="BU53" s="225">
        <f>BS53+BT53</f>
        <v>0</v>
      </c>
      <c r="BV53" s="530">
        <f t="shared" ref="BV53:BV68" si="104">BR53+BU53</f>
        <v>0</v>
      </c>
    </row>
    <row r="54" spans="1:74" s="237" customFormat="1" x14ac:dyDescent="0.25">
      <c r="A54" s="756"/>
      <c r="B54" s="181"/>
      <c r="C54" s="169" t="s">
        <v>273</v>
      </c>
      <c r="D54" s="169" t="s">
        <v>239</v>
      </c>
      <c r="E54" s="208">
        <v>100000</v>
      </c>
      <c r="F54" s="194">
        <f t="shared" ref="F54:G64" si="105">BJ54</f>
        <v>10</v>
      </c>
      <c r="G54" s="441">
        <f t="shared" ref="G54:G68" si="106">F54*E54</f>
        <v>1000000</v>
      </c>
      <c r="H54" s="441"/>
      <c r="I54" s="441"/>
      <c r="J54" s="534"/>
      <c r="K54" s="534"/>
      <c r="L54" s="534"/>
      <c r="M54" s="534">
        <f>G54</f>
        <v>1000000</v>
      </c>
      <c r="N54" s="441"/>
      <c r="O54" s="441"/>
      <c r="P54" s="441"/>
      <c r="Q54" s="441"/>
      <c r="R54" s="230">
        <f>F54*0.35</f>
        <v>3.5</v>
      </c>
      <c r="S54" s="230">
        <f t="shared" ref="S54:S64" si="107">F54*0.1</f>
        <v>1</v>
      </c>
      <c r="T54" s="230">
        <f t="shared" ref="T54:T64" si="108">F54:F54*0.15</f>
        <v>1.5</v>
      </c>
      <c r="U54" s="230">
        <f t="shared" ref="U54:U64" si="109">F54*0.4</f>
        <v>4</v>
      </c>
      <c r="V54" s="231">
        <f t="shared" ref="V54:V61" si="110">R54*E54</f>
        <v>350000</v>
      </c>
      <c r="W54" s="231">
        <f t="shared" ref="W54:W64" si="111">S54*E54</f>
        <v>100000</v>
      </c>
      <c r="X54" s="231">
        <f t="shared" ref="X54:X64" si="112">T54*E54</f>
        <v>150000</v>
      </c>
      <c r="Y54" s="231">
        <f t="shared" ref="Y54:Y64" si="113">U54*E54</f>
        <v>400000</v>
      </c>
      <c r="Z54" s="230">
        <v>0</v>
      </c>
      <c r="AA54" s="231">
        <f>Z54*E54</f>
        <v>0</v>
      </c>
      <c r="AB54" s="230">
        <v>0</v>
      </c>
      <c r="AC54" s="231">
        <f t="shared" si="87"/>
        <v>0</v>
      </c>
      <c r="AD54" s="230">
        <v>0</v>
      </c>
      <c r="AE54" s="231">
        <f t="shared" si="88"/>
        <v>0</v>
      </c>
      <c r="AF54" s="230">
        <v>0</v>
      </c>
      <c r="AG54" s="231">
        <f t="shared" si="89"/>
        <v>0</v>
      </c>
      <c r="AH54" s="230">
        <v>0</v>
      </c>
      <c r="AI54" s="231">
        <f t="shared" si="90"/>
        <v>0</v>
      </c>
      <c r="AJ54" s="230">
        <v>0</v>
      </c>
      <c r="AK54" s="231">
        <f>AJ54*E54</f>
        <v>0</v>
      </c>
      <c r="AL54" s="230">
        <v>0</v>
      </c>
      <c r="AM54" s="231">
        <f>AL54*E54</f>
        <v>0</v>
      </c>
      <c r="AN54" s="230">
        <v>0</v>
      </c>
      <c r="AO54" s="231">
        <f t="shared" si="91"/>
        <v>0</v>
      </c>
      <c r="AP54" s="230">
        <v>0</v>
      </c>
      <c r="AQ54" s="231">
        <f t="shared" si="92"/>
        <v>0</v>
      </c>
      <c r="AR54" s="230">
        <v>0</v>
      </c>
      <c r="AS54" s="231">
        <f t="shared" si="93"/>
        <v>0</v>
      </c>
      <c r="AT54" s="230">
        <v>0</v>
      </c>
      <c r="AU54" s="231">
        <f t="shared" si="94"/>
        <v>0</v>
      </c>
      <c r="AV54" s="230">
        <v>0</v>
      </c>
      <c r="AW54" s="231">
        <f t="shared" si="95"/>
        <v>0</v>
      </c>
      <c r="AX54" s="231">
        <v>5</v>
      </c>
      <c r="AY54" s="231">
        <f t="shared" si="96"/>
        <v>500000</v>
      </c>
      <c r="AZ54" s="230">
        <v>5</v>
      </c>
      <c r="BA54" s="231">
        <f t="shared" si="97"/>
        <v>500000</v>
      </c>
      <c r="BB54" s="230">
        <v>0</v>
      </c>
      <c r="BC54" s="231">
        <f>BB54*E54</f>
        <v>0</v>
      </c>
      <c r="BD54" s="230">
        <v>0</v>
      </c>
      <c r="BE54" s="231">
        <f>BD54*E54</f>
        <v>0</v>
      </c>
      <c r="BF54" s="230">
        <v>0</v>
      </c>
      <c r="BG54" s="231">
        <f t="shared" si="98"/>
        <v>0</v>
      </c>
      <c r="BH54" s="230"/>
      <c r="BI54" s="231">
        <f t="shared" si="99"/>
        <v>0</v>
      </c>
      <c r="BJ54" s="230">
        <f t="shared" si="100"/>
        <v>10</v>
      </c>
      <c r="BK54" s="230">
        <f t="shared" si="101"/>
        <v>1000000</v>
      </c>
      <c r="BL54" s="553" t="s">
        <v>277</v>
      </c>
      <c r="BM54" s="535"/>
      <c r="BN54" s="441">
        <f t="shared" si="102"/>
        <v>1000000</v>
      </c>
      <c r="BO54" s="283"/>
      <c r="BP54" s="283"/>
      <c r="BQ54" s="283"/>
      <c r="BR54" s="225">
        <f t="shared" si="103"/>
        <v>1000000</v>
      </c>
      <c r="BS54" s="283"/>
      <c r="BT54" s="283"/>
      <c r="BU54" s="225"/>
      <c r="BV54" s="530">
        <f t="shared" si="104"/>
        <v>1000000</v>
      </c>
    </row>
    <row r="55" spans="1:74" s="237" customFormat="1" x14ac:dyDescent="0.25">
      <c r="A55" s="756"/>
      <c r="B55" s="181"/>
      <c r="C55" s="169" t="s">
        <v>582</v>
      </c>
      <c r="D55" s="169" t="s">
        <v>239</v>
      </c>
      <c r="E55" s="208">
        <v>150000</v>
      </c>
      <c r="F55" s="194">
        <f t="shared" si="105"/>
        <v>54</v>
      </c>
      <c r="G55" s="441">
        <f>BK55</f>
        <v>8100000</v>
      </c>
      <c r="H55" s="441"/>
      <c r="I55" s="441"/>
      <c r="J55" s="534"/>
      <c r="K55" s="534"/>
      <c r="L55" s="534"/>
      <c r="M55" s="534">
        <f>G55</f>
        <v>8100000</v>
      </c>
      <c r="N55" s="441"/>
      <c r="O55" s="441"/>
      <c r="P55" s="441"/>
      <c r="Q55" s="441"/>
      <c r="R55" s="230"/>
      <c r="S55" s="230">
        <f t="shared" si="107"/>
        <v>5.4</v>
      </c>
      <c r="T55" s="230">
        <f t="shared" si="108"/>
        <v>8.1</v>
      </c>
      <c r="U55" s="230">
        <f t="shared" si="109"/>
        <v>21.6</v>
      </c>
      <c r="V55" s="231">
        <f>G55*0</f>
        <v>0</v>
      </c>
      <c r="W55" s="231">
        <f>G55:G55*0.5</f>
        <v>4050000</v>
      </c>
      <c r="X55" s="231">
        <f>G55*0.25</f>
        <v>2025000</v>
      </c>
      <c r="Y55" s="231">
        <f>G55*0.25</f>
        <v>2025000</v>
      </c>
      <c r="Z55" s="230">
        <v>3</v>
      </c>
      <c r="AA55" s="231">
        <f>Z55*E55</f>
        <v>450000</v>
      </c>
      <c r="AB55" s="230">
        <v>3</v>
      </c>
      <c r="AC55" s="231">
        <f t="shared" si="87"/>
        <v>450000</v>
      </c>
      <c r="AD55" s="230">
        <v>0</v>
      </c>
      <c r="AE55" s="231">
        <f t="shared" si="88"/>
        <v>0</v>
      </c>
      <c r="AF55" s="230">
        <v>5</v>
      </c>
      <c r="AG55" s="231">
        <f t="shared" si="89"/>
        <v>750000</v>
      </c>
      <c r="AH55" s="230">
        <v>5</v>
      </c>
      <c r="AI55" s="231">
        <f>AH55*E55</f>
        <v>750000</v>
      </c>
      <c r="AJ55" s="230">
        <v>0</v>
      </c>
      <c r="AK55" s="231"/>
      <c r="AL55" s="230">
        <v>0</v>
      </c>
      <c r="AM55" s="231"/>
      <c r="AN55" s="230">
        <v>6</v>
      </c>
      <c r="AO55" s="231">
        <f>AN55*E55</f>
        <v>900000</v>
      </c>
      <c r="AP55" s="230">
        <v>5</v>
      </c>
      <c r="AQ55" s="231">
        <f t="shared" si="92"/>
        <v>750000</v>
      </c>
      <c r="AR55" s="230">
        <v>10</v>
      </c>
      <c r="AS55" s="231">
        <f t="shared" si="93"/>
        <v>1500000</v>
      </c>
      <c r="AT55" s="230">
        <v>5</v>
      </c>
      <c r="AU55" s="231">
        <f t="shared" si="94"/>
        <v>750000</v>
      </c>
      <c r="AV55" s="230">
        <v>2</v>
      </c>
      <c r="AW55" s="231">
        <f t="shared" si="95"/>
        <v>300000</v>
      </c>
      <c r="AX55" s="231">
        <v>5</v>
      </c>
      <c r="AY55" s="231">
        <f t="shared" si="96"/>
        <v>750000</v>
      </c>
      <c r="AZ55" s="230">
        <v>5</v>
      </c>
      <c r="BA55" s="231">
        <f t="shared" si="97"/>
        <v>750000</v>
      </c>
      <c r="BB55" s="230">
        <v>0</v>
      </c>
      <c r="BC55" s="231">
        <f>BB55*E55</f>
        <v>0</v>
      </c>
      <c r="BD55" s="230">
        <v>0</v>
      </c>
      <c r="BE55" s="231">
        <f>BD55*E55</f>
        <v>0</v>
      </c>
      <c r="BF55" s="230">
        <v>0</v>
      </c>
      <c r="BG55" s="231">
        <f t="shared" si="98"/>
        <v>0</v>
      </c>
      <c r="BH55" s="230"/>
      <c r="BI55" s="231">
        <f t="shared" si="99"/>
        <v>0</v>
      </c>
      <c r="BJ55" s="230">
        <f>BH55+BF55+BD55+BB55+AZ55+AX55+AV55+AT55+AR55+AP55+AN55+AL55+AJ55+AH55+AF55+AD55+AB55+Z55</f>
        <v>54</v>
      </c>
      <c r="BK55" s="230">
        <f t="shared" si="101"/>
        <v>8100000</v>
      </c>
      <c r="BL55" s="553" t="s">
        <v>277</v>
      </c>
      <c r="BM55" s="535"/>
      <c r="BN55" s="441">
        <f t="shared" si="102"/>
        <v>8100000</v>
      </c>
      <c r="BO55" s="283"/>
      <c r="BP55" s="283"/>
      <c r="BQ55" s="283"/>
      <c r="BR55" s="225">
        <f t="shared" si="103"/>
        <v>8100000</v>
      </c>
      <c r="BS55" s="283"/>
      <c r="BT55" s="283"/>
      <c r="BU55" s="225"/>
      <c r="BV55" s="530">
        <f t="shared" si="104"/>
        <v>8100000</v>
      </c>
    </row>
    <row r="56" spans="1:74" s="237" customFormat="1" ht="36" customHeight="1" x14ac:dyDescent="0.25">
      <c r="A56" s="756"/>
      <c r="B56" s="181"/>
      <c r="C56" s="169" t="s">
        <v>923</v>
      </c>
      <c r="D56" s="169" t="s">
        <v>239</v>
      </c>
      <c r="E56" s="208">
        <v>600000</v>
      </c>
      <c r="F56" s="194">
        <f t="shared" si="105"/>
        <v>34</v>
      </c>
      <c r="G56" s="441">
        <f>BK56</f>
        <v>15300000</v>
      </c>
      <c r="H56" s="441"/>
      <c r="I56" s="441"/>
      <c r="J56" s="534"/>
      <c r="K56" s="534"/>
      <c r="L56" s="534">
        <f>G56</f>
        <v>15300000</v>
      </c>
      <c r="M56" s="534"/>
      <c r="N56" s="441"/>
      <c r="O56" s="441"/>
      <c r="P56" s="441"/>
      <c r="Q56" s="441"/>
      <c r="R56" s="230">
        <f t="shared" ref="R56:R64" si="114">F56*0.35</f>
        <v>11.899999999999999</v>
      </c>
      <c r="S56" s="230">
        <f t="shared" si="107"/>
        <v>3.4000000000000004</v>
      </c>
      <c r="T56" s="230">
        <f t="shared" si="108"/>
        <v>5.0999999999999996</v>
      </c>
      <c r="U56" s="230">
        <f t="shared" si="109"/>
        <v>13.600000000000001</v>
      </c>
      <c r="V56" s="231">
        <f t="shared" si="110"/>
        <v>7139999.9999999991</v>
      </c>
      <c r="W56" s="231">
        <f t="shared" si="111"/>
        <v>2040000.0000000002</v>
      </c>
      <c r="X56" s="231">
        <f t="shared" si="112"/>
        <v>3060000</v>
      </c>
      <c r="Y56" s="231">
        <f t="shared" si="113"/>
        <v>8160000.0000000009</v>
      </c>
      <c r="Z56" s="230">
        <v>1</v>
      </c>
      <c r="AA56" s="231">
        <v>250000</v>
      </c>
      <c r="AB56" s="230">
        <v>6</v>
      </c>
      <c r="AC56" s="231">
        <f t="shared" si="87"/>
        <v>3600000</v>
      </c>
      <c r="AD56" s="230">
        <v>0</v>
      </c>
      <c r="AE56" s="231">
        <f t="shared" si="88"/>
        <v>0</v>
      </c>
      <c r="AF56" s="230">
        <v>5</v>
      </c>
      <c r="AG56" s="231">
        <f t="shared" si="89"/>
        <v>3000000</v>
      </c>
      <c r="AH56" s="230">
        <v>0</v>
      </c>
      <c r="AI56" s="231">
        <f t="shared" si="90"/>
        <v>0</v>
      </c>
      <c r="AJ56" s="230">
        <v>1</v>
      </c>
      <c r="AK56" s="231">
        <f t="shared" ref="AK56:AK75" si="115">AJ56*E56</f>
        <v>600000</v>
      </c>
      <c r="AL56" s="230">
        <v>2</v>
      </c>
      <c r="AM56" s="231">
        <v>700000</v>
      </c>
      <c r="AN56" s="230">
        <v>5</v>
      </c>
      <c r="AO56" s="231">
        <v>1250000</v>
      </c>
      <c r="AP56" s="230">
        <v>0</v>
      </c>
      <c r="AQ56" s="231">
        <f t="shared" si="92"/>
        <v>0</v>
      </c>
      <c r="AR56" s="230">
        <v>3</v>
      </c>
      <c r="AS56" s="231">
        <v>750000</v>
      </c>
      <c r="AT56" s="230">
        <v>0</v>
      </c>
      <c r="AU56" s="231">
        <f t="shared" si="94"/>
        <v>0</v>
      </c>
      <c r="AV56" s="230">
        <v>3</v>
      </c>
      <c r="AW56" s="231">
        <v>350000</v>
      </c>
      <c r="AX56" s="231">
        <v>0</v>
      </c>
      <c r="AY56" s="231">
        <f t="shared" si="96"/>
        <v>0</v>
      </c>
      <c r="AZ56" s="230">
        <v>3</v>
      </c>
      <c r="BA56" s="231">
        <f t="shared" si="97"/>
        <v>1800000</v>
      </c>
      <c r="BB56" s="230">
        <v>5</v>
      </c>
      <c r="BC56" s="231">
        <f t="shared" ref="BC56:BC72" si="116">BB56*E56</f>
        <v>3000000</v>
      </c>
      <c r="BD56" s="230">
        <v>0</v>
      </c>
      <c r="BE56" s="231">
        <f t="shared" ref="BE56:BE65" si="117">BD56*E56</f>
        <v>0</v>
      </c>
      <c r="BF56" s="230">
        <v>0</v>
      </c>
      <c r="BG56" s="231">
        <f t="shared" si="98"/>
        <v>0</v>
      </c>
      <c r="BH56" s="230">
        <v>0</v>
      </c>
      <c r="BI56" s="231">
        <f t="shared" si="99"/>
        <v>0</v>
      </c>
      <c r="BJ56" s="230">
        <f t="shared" si="100"/>
        <v>34</v>
      </c>
      <c r="BK56" s="230">
        <f t="shared" si="101"/>
        <v>15300000</v>
      </c>
      <c r="BL56" s="553" t="s">
        <v>531</v>
      </c>
      <c r="BM56" s="535"/>
      <c r="BN56" s="441">
        <f t="shared" si="102"/>
        <v>15300000</v>
      </c>
      <c r="BO56" s="283"/>
      <c r="BP56" s="283"/>
      <c r="BQ56" s="283"/>
      <c r="BR56" s="225">
        <f t="shared" si="103"/>
        <v>15300000</v>
      </c>
      <c r="BS56" s="283"/>
      <c r="BT56" s="283"/>
      <c r="BU56" s="225"/>
      <c r="BV56" s="530">
        <f t="shared" si="104"/>
        <v>15300000</v>
      </c>
    </row>
    <row r="57" spans="1:74" s="237" customFormat="1" ht="36.75" customHeight="1" x14ac:dyDescent="0.25">
      <c r="A57" s="756"/>
      <c r="B57" s="181"/>
      <c r="C57" s="169" t="s">
        <v>924</v>
      </c>
      <c r="D57" s="169" t="s">
        <v>239</v>
      </c>
      <c r="E57" s="208">
        <v>600000</v>
      </c>
      <c r="F57" s="194">
        <f t="shared" si="105"/>
        <v>15</v>
      </c>
      <c r="G57" s="441">
        <f>BK57</f>
        <v>8700000</v>
      </c>
      <c r="H57" s="441"/>
      <c r="I57" s="441"/>
      <c r="J57" s="534"/>
      <c r="K57" s="534"/>
      <c r="L57" s="534">
        <f>G57</f>
        <v>8700000</v>
      </c>
      <c r="M57" s="534"/>
      <c r="N57" s="441"/>
      <c r="O57" s="441"/>
      <c r="P57" s="441"/>
      <c r="Q57" s="441"/>
      <c r="R57" s="230"/>
      <c r="S57" s="230"/>
      <c r="T57" s="230"/>
      <c r="U57" s="230"/>
      <c r="V57" s="231"/>
      <c r="W57" s="231"/>
      <c r="X57" s="231"/>
      <c r="Y57" s="231"/>
      <c r="Z57" s="230">
        <v>1</v>
      </c>
      <c r="AA57" s="231">
        <v>350000</v>
      </c>
      <c r="AB57" s="230">
        <v>0</v>
      </c>
      <c r="AC57" s="231">
        <f>AB57*E57</f>
        <v>0</v>
      </c>
      <c r="AD57" s="230">
        <v>0</v>
      </c>
      <c r="AE57" s="231">
        <f t="shared" si="88"/>
        <v>0</v>
      </c>
      <c r="AF57" s="230">
        <v>5</v>
      </c>
      <c r="AG57" s="231">
        <f t="shared" si="89"/>
        <v>3000000</v>
      </c>
      <c r="AH57" s="230">
        <v>0</v>
      </c>
      <c r="AI57" s="231">
        <f t="shared" si="90"/>
        <v>0</v>
      </c>
      <c r="AJ57" s="230">
        <v>0</v>
      </c>
      <c r="AK57" s="231">
        <f t="shared" si="115"/>
        <v>0</v>
      </c>
      <c r="AL57" s="230">
        <v>0</v>
      </c>
      <c r="AM57" s="231">
        <f t="shared" ref="AM57:AM75" si="118">AL57*E57</f>
        <v>0</v>
      </c>
      <c r="AN57" s="230">
        <v>0</v>
      </c>
      <c r="AO57" s="231">
        <f t="shared" si="91"/>
        <v>0</v>
      </c>
      <c r="AP57" s="230">
        <v>0</v>
      </c>
      <c r="AQ57" s="231">
        <f>AP57*E57-50000</f>
        <v>-50000</v>
      </c>
      <c r="AR57" s="230">
        <v>0</v>
      </c>
      <c r="AS57" s="231">
        <v>0</v>
      </c>
      <c r="AT57" s="230">
        <v>0</v>
      </c>
      <c r="AU57" s="231">
        <f t="shared" si="94"/>
        <v>0</v>
      </c>
      <c r="AV57" s="230">
        <v>2</v>
      </c>
      <c r="AW57" s="231">
        <f t="shared" si="95"/>
        <v>1200000</v>
      </c>
      <c r="AX57" s="231">
        <v>0</v>
      </c>
      <c r="AY57" s="231">
        <f t="shared" si="96"/>
        <v>0</v>
      </c>
      <c r="AZ57" s="230">
        <v>2</v>
      </c>
      <c r="BA57" s="231">
        <f t="shared" si="97"/>
        <v>1200000</v>
      </c>
      <c r="BB57" s="230">
        <v>5</v>
      </c>
      <c r="BC57" s="231">
        <f t="shared" si="116"/>
        <v>3000000</v>
      </c>
      <c r="BD57" s="230">
        <v>0</v>
      </c>
      <c r="BE57" s="231">
        <f t="shared" si="117"/>
        <v>0</v>
      </c>
      <c r="BF57" s="230">
        <v>0</v>
      </c>
      <c r="BG57" s="231">
        <f t="shared" si="98"/>
        <v>0</v>
      </c>
      <c r="BH57" s="230">
        <v>0</v>
      </c>
      <c r="BI57" s="231">
        <f t="shared" si="99"/>
        <v>0</v>
      </c>
      <c r="BJ57" s="230">
        <f t="shared" si="100"/>
        <v>15</v>
      </c>
      <c r="BK57" s="230">
        <f t="shared" si="101"/>
        <v>8700000</v>
      </c>
      <c r="BL57" s="553" t="s">
        <v>531</v>
      </c>
      <c r="BM57" s="535"/>
      <c r="BN57" s="441"/>
      <c r="BO57" s="283"/>
      <c r="BP57" s="283"/>
      <c r="BQ57" s="283"/>
      <c r="BR57" s="225"/>
      <c r="BS57" s="283"/>
      <c r="BT57" s="283"/>
      <c r="BU57" s="225"/>
      <c r="BV57" s="530"/>
    </row>
    <row r="58" spans="1:74" s="237" customFormat="1" x14ac:dyDescent="0.25">
      <c r="A58" s="756"/>
      <c r="B58" s="181"/>
      <c r="C58" s="169" t="s">
        <v>579</v>
      </c>
      <c r="D58" s="169" t="s">
        <v>272</v>
      </c>
      <c r="E58" s="208">
        <v>1000</v>
      </c>
      <c r="F58" s="194">
        <f t="shared" si="105"/>
        <v>7105</v>
      </c>
      <c r="G58" s="194">
        <f t="shared" si="105"/>
        <v>7105000</v>
      </c>
      <c r="H58" s="441"/>
      <c r="I58" s="441"/>
      <c r="J58" s="534"/>
      <c r="K58" s="534"/>
      <c r="L58" s="534"/>
      <c r="M58" s="534">
        <f>G58</f>
        <v>7105000</v>
      </c>
      <c r="N58" s="441"/>
      <c r="O58" s="441"/>
      <c r="P58" s="441"/>
      <c r="Q58" s="441"/>
      <c r="R58" s="230">
        <f t="shared" si="114"/>
        <v>2486.75</v>
      </c>
      <c r="S58" s="230">
        <f t="shared" si="107"/>
        <v>710.5</v>
      </c>
      <c r="T58" s="230">
        <f t="shared" si="108"/>
        <v>1065.75</v>
      </c>
      <c r="U58" s="230">
        <f t="shared" si="109"/>
        <v>2842</v>
      </c>
      <c r="V58" s="231">
        <f t="shared" si="110"/>
        <v>2486750</v>
      </c>
      <c r="W58" s="231">
        <f t="shared" si="111"/>
        <v>710500</v>
      </c>
      <c r="X58" s="231">
        <f t="shared" si="112"/>
        <v>1065750</v>
      </c>
      <c r="Y58" s="231">
        <f t="shared" si="113"/>
        <v>2842000</v>
      </c>
      <c r="Z58" s="230"/>
      <c r="AA58" s="231">
        <f t="shared" ref="AA58:AA75" si="119">Z58*E58</f>
        <v>0</v>
      </c>
      <c r="AB58" s="230">
        <v>1000</v>
      </c>
      <c r="AC58" s="231">
        <f>AB58*E58</f>
        <v>1000000</v>
      </c>
      <c r="AD58" s="230">
        <v>0</v>
      </c>
      <c r="AE58" s="231">
        <f>AD58*E58</f>
        <v>0</v>
      </c>
      <c r="AF58" s="230">
        <v>500</v>
      </c>
      <c r="AG58" s="231">
        <f t="shared" si="89"/>
        <v>500000</v>
      </c>
      <c r="AH58" s="230">
        <v>500</v>
      </c>
      <c r="AI58" s="231">
        <f>AH58*E58</f>
        <v>500000</v>
      </c>
      <c r="AJ58" s="230">
        <v>1000</v>
      </c>
      <c r="AK58" s="231">
        <f t="shared" si="115"/>
        <v>1000000</v>
      </c>
      <c r="AL58" s="230">
        <v>1000</v>
      </c>
      <c r="AM58" s="231">
        <f t="shared" si="118"/>
        <v>1000000</v>
      </c>
      <c r="AN58" s="230">
        <v>1000</v>
      </c>
      <c r="AO58" s="231">
        <f t="shared" si="91"/>
        <v>1000000</v>
      </c>
      <c r="AP58" s="230"/>
      <c r="AQ58" s="231">
        <f t="shared" si="92"/>
        <v>0</v>
      </c>
      <c r="AR58" s="230">
        <v>500</v>
      </c>
      <c r="AS58" s="231">
        <f t="shared" si="93"/>
        <v>500000</v>
      </c>
      <c r="AT58" s="230">
        <v>500</v>
      </c>
      <c r="AU58" s="231">
        <f t="shared" si="94"/>
        <v>500000</v>
      </c>
      <c r="AV58" s="230">
        <v>500</v>
      </c>
      <c r="AW58" s="231">
        <f t="shared" si="95"/>
        <v>500000</v>
      </c>
      <c r="AX58" s="231">
        <v>500</v>
      </c>
      <c r="AY58" s="231">
        <f t="shared" si="96"/>
        <v>500000</v>
      </c>
      <c r="AZ58" s="230">
        <v>5</v>
      </c>
      <c r="BA58" s="231">
        <f t="shared" si="97"/>
        <v>5000</v>
      </c>
      <c r="BB58" s="230">
        <v>100</v>
      </c>
      <c r="BC58" s="231">
        <f t="shared" si="116"/>
        <v>100000</v>
      </c>
      <c r="BD58" s="230">
        <v>0</v>
      </c>
      <c r="BE58" s="231">
        <f t="shared" si="117"/>
        <v>0</v>
      </c>
      <c r="BF58" s="230">
        <v>0</v>
      </c>
      <c r="BG58" s="231">
        <f t="shared" si="98"/>
        <v>0</v>
      </c>
      <c r="BH58" s="230"/>
      <c r="BI58" s="231">
        <f t="shared" si="99"/>
        <v>0</v>
      </c>
      <c r="BJ58" s="230">
        <f t="shared" si="100"/>
        <v>7105</v>
      </c>
      <c r="BK58" s="230">
        <f t="shared" si="101"/>
        <v>7105000</v>
      </c>
      <c r="BL58" s="553" t="s">
        <v>277</v>
      </c>
      <c r="BM58" s="535"/>
      <c r="BN58" s="441">
        <f t="shared" si="102"/>
        <v>7105000</v>
      </c>
      <c r="BO58" s="283"/>
      <c r="BP58" s="283"/>
      <c r="BQ58" s="283"/>
      <c r="BR58" s="225">
        <f t="shared" si="103"/>
        <v>7105000</v>
      </c>
      <c r="BS58" s="283"/>
      <c r="BT58" s="283"/>
      <c r="BU58" s="225"/>
      <c r="BV58" s="530">
        <f t="shared" si="104"/>
        <v>7105000</v>
      </c>
    </row>
    <row r="59" spans="1:74" s="237" customFormat="1" ht="47.25" x14ac:dyDescent="0.25">
      <c r="A59" s="756"/>
      <c r="B59" s="181"/>
      <c r="C59" s="169" t="s">
        <v>767</v>
      </c>
      <c r="D59" s="169" t="s">
        <v>239</v>
      </c>
      <c r="E59" s="208">
        <v>250000</v>
      </c>
      <c r="F59" s="194">
        <f t="shared" si="105"/>
        <v>0</v>
      </c>
      <c r="G59" s="441">
        <f t="shared" si="106"/>
        <v>0</v>
      </c>
      <c r="H59" s="441"/>
      <c r="I59" s="441"/>
      <c r="J59" s="534">
        <f>G59</f>
        <v>0</v>
      </c>
      <c r="K59" s="534"/>
      <c r="L59" s="534">
        <f>I59</f>
        <v>0</v>
      </c>
      <c r="M59" s="534"/>
      <c r="N59" s="441"/>
      <c r="O59" s="441"/>
      <c r="P59" s="441"/>
      <c r="Q59" s="441"/>
      <c r="R59" s="230">
        <f t="shared" si="114"/>
        <v>0</v>
      </c>
      <c r="S59" s="230">
        <f t="shared" si="107"/>
        <v>0</v>
      </c>
      <c r="T59" s="230">
        <f t="shared" si="108"/>
        <v>0</v>
      </c>
      <c r="U59" s="230">
        <f t="shared" si="109"/>
        <v>0</v>
      </c>
      <c r="V59" s="231">
        <f t="shared" si="110"/>
        <v>0</v>
      </c>
      <c r="W59" s="231">
        <f t="shared" si="111"/>
        <v>0</v>
      </c>
      <c r="X59" s="231">
        <f t="shared" si="112"/>
        <v>0</v>
      </c>
      <c r="Y59" s="231">
        <f t="shared" si="113"/>
        <v>0</v>
      </c>
      <c r="Z59" s="230">
        <v>0</v>
      </c>
      <c r="AA59" s="231">
        <f t="shared" si="119"/>
        <v>0</v>
      </c>
      <c r="AB59" s="230">
        <v>0</v>
      </c>
      <c r="AC59" s="231">
        <f t="shared" si="87"/>
        <v>0</v>
      </c>
      <c r="AD59" s="230">
        <v>0</v>
      </c>
      <c r="AE59" s="231">
        <f t="shared" si="88"/>
        <v>0</v>
      </c>
      <c r="AF59" s="230">
        <v>0</v>
      </c>
      <c r="AG59" s="231">
        <f t="shared" si="89"/>
        <v>0</v>
      </c>
      <c r="AH59" s="230">
        <v>0</v>
      </c>
      <c r="AI59" s="231">
        <f t="shared" si="90"/>
        <v>0</v>
      </c>
      <c r="AJ59" s="230">
        <v>0</v>
      </c>
      <c r="AK59" s="231">
        <f t="shared" si="115"/>
        <v>0</v>
      </c>
      <c r="AL59" s="230">
        <v>0</v>
      </c>
      <c r="AM59" s="231">
        <f t="shared" si="118"/>
        <v>0</v>
      </c>
      <c r="AN59" s="230">
        <v>0</v>
      </c>
      <c r="AO59" s="231">
        <f t="shared" si="91"/>
        <v>0</v>
      </c>
      <c r="AP59" s="230">
        <v>0</v>
      </c>
      <c r="AQ59" s="231">
        <f t="shared" si="92"/>
        <v>0</v>
      </c>
      <c r="AR59" s="230">
        <v>0</v>
      </c>
      <c r="AS59" s="231">
        <f t="shared" si="93"/>
        <v>0</v>
      </c>
      <c r="AT59" s="230">
        <v>0</v>
      </c>
      <c r="AU59" s="231">
        <f t="shared" si="94"/>
        <v>0</v>
      </c>
      <c r="AV59" s="230">
        <v>0</v>
      </c>
      <c r="AW59" s="231">
        <f t="shared" si="95"/>
        <v>0</v>
      </c>
      <c r="AX59" s="231">
        <v>0</v>
      </c>
      <c r="AY59" s="231">
        <f t="shared" si="96"/>
        <v>0</v>
      </c>
      <c r="AZ59" s="230">
        <v>0</v>
      </c>
      <c r="BA59" s="231">
        <f t="shared" si="97"/>
        <v>0</v>
      </c>
      <c r="BB59" s="230">
        <v>0</v>
      </c>
      <c r="BC59" s="231">
        <f t="shared" si="116"/>
        <v>0</v>
      </c>
      <c r="BD59" s="230">
        <v>0</v>
      </c>
      <c r="BE59" s="231">
        <f t="shared" si="117"/>
        <v>0</v>
      </c>
      <c r="BF59" s="230">
        <v>0</v>
      </c>
      <c r="BG59" s="231">
        <f t="shared" si="98"/>
        <v>0</v>
      </c>
      <c r="BH59" s="230"/>
      <c r="BI59" s="231">
        <f t="shared" si="99"/>
        <v>0</v>
      </c>
      <c r="BJ59" s="230">
        <f t="shared" si="100"/>
        <v>0</v>
      </c>
      <c r="BK59" s="230">
        <f t="shared" si="101"/>
        <v>0</v>
      </c>
      <c r="BL59" s="553" t="s">
        <v>766</v>
      </c>
      <c r="BM59" s="535"/>
      <c r="BN59" s="441">
        <f t="shared" si="102"/>
        <v>0</v>
      </c>
      <c r="BO59" s="283"/>
      <c r="BP59" s="283"/>
      <c r="BQ59" s="283"/>
      <c r="BR59" s="225">
        <f t="shared" si="103"/>
        <v>0</v>
      </c>
      <c r="BS59" s="283"/>
      <c r="BT59" s="283"/>
      <c r="BU59" s="225"/>
      <c r="BV59" s="530">
        <f t="shared" si="104"/>
        <v>0</v>
      </c>
    </row>
    <row r="60" spans="1:74" s="237" customFormat="1" ht="47.85" customHeight="1" x14ac:dyDescent="0.25">
      <c r="A60" s="756"/>
      <c r="B60" s="181"/>
      <c r="C60" s="169" t="s">
        <v>686</v>
      </c>
      <c r="D60" s="169" t="s">
        <v>239</v>
      </c>
      <c r="E60" s="208">
        <v>350000</v>
      </c>
      <c r="F60" s="194">
        <f t="shared" si="105"/>
        <v>0</v>
      </c>
      <c r="G60" s="441">
        <f t="shared" si="106"/>
        <v>0</v>
      </c>
      <c r="H60" s="441"/>
      <c r="I60" s="441"/>
      <c r="J60" s="534">
        <f>G60</f>
        <v>0</v>
      </c>
      <c r="K60" s="534"/>
      <c r="L60" s="534"/>
      <c r="M60" s="534"/>
      <c r="N60" s="441"/>
      <c r="O60" s="441"/>
      <c r="P60" s="441"/>
      <c r="Q60" s="441"/>
      <c r="R60" s="230">
        <f t="shared" si="114"/>
        <v>0</v>
      </c>
      <c r="S60" s="230">
        <f t="shared" si="107"/>
        <v>0</v>
      </c>
      <c r="T60" s="230">
        <f t="shared" si="108"/>
        <v>0</v>
      </c>
      <c r="U60" s="230">
        <f t="shared" si="109"/>
        <v>0</v>
      </c>
      <c r="V60" s="231">
        <f t="shared" si="110"/>
        <v>0</v>
      </c>
      <c r="W60" s="231">
        <f t="shared" si="111"/>
        <v>0</v>
      </c>
      <c r="X60" s="231">
        <f t="shared" si="112"/>
        <v>0</v>
      </c>
      <c r="Y60" s="231">
        <f t="shared" si="113"/>
        <v>0</v>
      </c>
      <c r="Z60" s="230">
        <v>0</v>
      </c>
      <c r="AA60" s="231">
        <f t="shared" si="119"/>
        <v>0</v>
      </c>
      <c r="AB60" s="230">
        <v>0</v>
      </c>
      <c r="AC60" s="231">
        <f t="shared" si="87"/>
        <v>0</v>
      </c>
      <c r="AD60" s="230">
        <v>0</v>
      </c>
      <c r="AE60" s="231">
        <f t="shared" si="88"/>
        <v>0</v>
      </c>
      <c r="AF60" s="230">
        <v>0</v>
      </c>
      <c r="AG60" s="231">
        <f t="shared" si="89"/>
        <v>0</v>
      </c>
      <c r="AH60" s="230">
        <v>0</v>
      </c>
      <c r="AI60" s="231">
        <f t="shared" si="90"/>
        <v>0</v>
      </c>
      <c r="AJ60" s="230">
        <v>0</v>
      </c>
      <c r="AK60" s="231">
        <f t="shared" si="115"/>
        <v>0</v>
      </c>
      <c r="AL60" s="230">
        <v>0</v>
      </c>
      <c r="AM60" s="231">
        <f t="shared" si="118"/>
        <v>0</v>
      </c>
      <c r="AN60" s="230">
        <v>0</v>
      </c>
      <c r="AO60" s="231">
        <f t="shared" si="91"/>
        <v>0</v>
      </c>
      <c r="AP60" s="230">
        <v>0</v>
      </c>
      <c r="AQ60" s="231">
        <f t="shared" si="92"/>
        <v>0</v>
      </c>
      <c r="AR60" s="230">
        <v>0</v>
      </c>
      <c r="AS60" s="231">
        <f t="shared" si="93"/>
        <v>0</v>
      </c>
      <c r="AT60" s="230">
        <v>0</v>
      </c>
      <c r="AU60" s="231">
        <f t="shared" si="94"/>
        <v>0</v>
      </c>
      <c r="AV60" s="230">
        <v>0</v>
      </c>
      <c r="AW60" s="231">
        <f t="shared" si="95"/>
        <v>0</v>
      </c>
      <c r="AX60" s="231">
        <v>0</v>
      </c>
      <c r="AY60" s="231">
        <f t="shared" si="96"/>
        <v>0</v>
      </c>
      <c r="AZ60" s="230">
        <v>0</v>
      </c>
      <c r="BA60" s="231">
        <f t="shared" si="97"/>
        <v>0</v>
      </c>
      <c r="BB60" s="230">
        <v>0</v>
      </c>
      <c r="BC60" s="231">
        <f t="shared" si="116"/>
        <v>0</v>
      </c>
      <c r="BD60" s="230">
        <v>0</v>
      </c>
      <c r="BE60" s="231">
        <f t="shared" si="117"/>
        <v>0</v>
      </c>
      <c r="BF60" s="230">
        <v>0</v>
      </c>
      <c r="BG60" s="231">
        <f t="shared" si="98"/>
        <v>0</v>
      </c>
      <c r="BH60" s="230"/>
      <c r="BI60" s="231">
        <f t="shared" si="99"/>
        <v>0</v>
      </c>
      <c r="BJ60" s="230">
        <f t="shared" si="100"/>
        <v>0</v>
      </c>
      <c r="BK60" s="230">
        <f t="shared" si="101"/>
        <v>0</v>
      </c>
      <c r="BL60" s="553" t="s">
        <v>542</v>
      </c>
      <c r="BM60" s="535"/>
      <c r="BN60" s="441">
        <f t="shared" si="102"/>
        <v>0</v>
      </c>
      <c r="BO60" s="283"/>
      <c r="BP60" s="283"/>
      <c r="BQ60" s="283"/>
      <c r="BR60" s="225">
        <f t="shared" si="103"/>
        <v>0</v>
      </c>
      <c r="BS60" s="283"/>
      <c r="BT60" s="283"/>
      <c r="BU60" s="225"/>
      <c r="BV60" s="530">
        <f t="shared" si="104"/>
        <v>0</v>
      </c>
    </row>
    <row r="61" spans="1:74" s="237" customFormat="1" ht="47.85" customHeight="1" x14ac:dyDescent="0.25">
      <c r="A61" s="756"/>
      <c r="B61" s="181"/>
      <c r="C61" s="169" t="s">
        <v>870</v>
      </c>
      <c r="D61" s="169" t="s">
        <v>239</v>
      </c>
      <c r="E61" s="208">
        <v>500000</v>
      </c>
      <c r="F61" s="194">
        <f t="shared" si="105"/>
        <v>0</v>
      </c>
      <c r="G61" s="441">
        <f t="shared" si="106"/>
        <v>0</v>
      </c>
      <c r="H61" s="441"/>
      <c r="I61" s="441"/>
      <c r="J61" s="534">
        <f>G61</f>
        <v>0</v>
      </c>
      <c r="K61" s="534"/>
      <c r="L61" s="534"/>
      <c r="M61" s="534"/>
      <c r="N61" s="441"/>
      <c r="O61" s="441"/>
      <c r="P61" s="441"/>
      <c r="Q61" s="441"/>
      <c r="R61" s="230">
        <f t="shared" si="114"/>
        <v>0</v>
      </c>
      <c r="S61" s="230">
        <f t="shared" si="107"/>
        <v>0</v>
      </c>
      <c r="T61" s="230">
        <f t="shared" si="108"/>
        <v>0</v>
      </c>
      <c r="U61" s="230">
        <f t="shared" si="109"/>
        <v>0</v>
      </c>
      <c r="V61" s="231">
        <f t="shared" si="110"/>
        <v>0</v>
      </c>
      <c r="W61" s="231">
        <f t="shared" si="111"/>
        <v>0</v>
      </c>
      <c r="X61" s="231">
        <f t="shared" si="112"/>
        <v>0</v>
      </c>
      <c r="Y61" s="231">
        <f t="shared" si="113"/>
        <v>0</v>
      </c>
      <c r="Z61" s="230">
        <v>0</v>
      </c>
      <c r="AA61" s="231">
        <f t="shared" si="119"/>
        <v>0</v>
      </c>
      <c r="AB61" s="230">
        <v>0</v>
      </c>
      <c r="AC61" s="231">
        <f t="shared" si="87"/>
        <v>0</v>
      </c>
      <c r="AD61" s="230">
        <v>0</v>
      </c>
      <c r="AE61" s="231">
        <f t="shared" si="88"/>
        <v>0</v>
      </c>
      <c r="AF61" s="230">
        <v>0</v>
      </c>
      <c r="AG61" s="231">
        <f t="shared" si="89"/>
        <v>0</v>
      </c>
      <c r="AH61" s="230">
        <v>0</v>
      </c>
      <c r="AI61" s="231">
        <f t="shared" si="90"/>
        <v>0</v>
      </c>
      <c r="AJ61" s="230">
        <v>0</v>
      </c>
      <c r="AK61" s="231">
        <f t="shared" si="115"/>
        <v>0</v>
      </c>
      <c r="AL61" s="230">
        <v>0</v>
      </c>
      <c r="AM61" s="231">
        <f t="shared" si="118"/>
        <v>0</v>
      </c>
      <c r="AN61" s="230">
        <v>0</v>
      </c>
      <c r="AO61" s="231">
        <f t="shared" si="91"/>
        <v>0</v>
      </c>
      <c r="AP61" s="230">
        <v>0</v>
      </c>
      <c r="AQ61" s="231">
        <f t="shared" si="92"/>
        <v>0</v>
      </c>
      <c r="AR61" s="230">
        <v>0</v>
      </c>
      <c r="AS61" s="231">
        <f t="shared" si="93"/>
        <v>0</v>
      </c>
      <c r="AT61" s="230">
        <v>0</v>
      </c>
      <c r="AU61" s="231">
        <f t="shared" si="94"/>
        <v>0</v>
      </c>
      <c r="AV61" s="230">
        <v>0</v>
      </c>
      <c r="AW61" s="231">
        <f t="shared" si="95"/>
        <v>0</v>
      </c>
      <c r="AX61" s="231">
        <v>0</v>
      </c>
      <c r="AY61" s="231">
        <f t="shared" si="96"/>
        <v>0</v>
      </c>
      <c r="AZ61" s="230">
        <v>0</v>
      </c>
      <c r="BA61" s="231">
        <f t="shared" si="97"/>
        <v>0</v>
      </c>
      <c r="BB61" s="230">
        <v>0</v>
      </c>
      <c r="BC61" s="231">
        <f t="shared" si="116"/>
        <v>0</v>
      </c>
      <c r="BD61" s="230">
        <v>0</v>
      </c>
      <c r="BE61" s="231">
        <f t="shared" si="117"/>
        <v>0</v>
      </c>
      <c r="BF61" s="230">
        <v>0</v>
      </c>
      <c r="BG61" s="231">
        <f t="shared" si="98"/>
        <v>0</v>
      </c>
      <c r="BH61" s="230"/>
      <c r="BI61" s="231">
        <f t="shared" si="99"/>
        <v>0</v>
      </c>
      <c r="BJ61" s="230">
        <f t="shared" si="100"/>
        <v>0</v>
      </c>
      <c r="BK61" s="230">
        <f t="shared" si="101"/>
        <v>0</v>
      </c>
      <c r="BL61" s="553" t="s">
        <v>542</v>
      </c>
      <c r="BM61" s="535"/>
      <c r="BN61" s="441">
        <f t="shared" si="102"/>
        <v>0</v>
      </c>
      <c r="BO61" s="283"/>
      <c r="BP61" s="283"/>
      <c r="BQ61" s="283"/>
      <c r="BR61" s="225">
        <f t="shared" si="103"/>
        <v>0</v>
      </c>
      <c r="BS61" s="283"/>
      <c r="BT61" s="283"/>
      <c r="BU61" s="225"/>
      <c r="BV61" s="530">
        <f t="shared" si="104"/>
        <v>0</v>
      </c>
    </row>
    <row r="62" spans="1:74" s="237" customFormat="1" x14ac:dyDescent="0.25">
      <c r="A62" s="756"/>
      <c r="B62" s="181"/>
      <c r="C62" s="169" t="s">
        <v>258</v>
      </c>
      <c r="D62" s="169" t="s">
        <v>239</v>
      </c>
      <c r="E62" s="208">
        <v>1750000</v>
      </c>
      <c r="F62" s="194">
        <f t="shared" si="105"/>
        <v>0</v>
      </c>
      <c r="G62" s="441">
        <f>BK62</f>
        <v>0</v>
      </c>
      <c r="H62" s="441"/>
      <c r="I62" s="441"/>
      <c r="J62" s="441"/>
      <c r="K62" s="441"/>
      <c r="L62" s="441">
        <v>0</v>
      </c>
      <c r="M62" s="441">
        <v>0</v>
      </c>
      <c r="N62" s="441"/>
      <c r="O62" s="441"/>
      <c r="P62" s="441"/>
      <c r="Q62" s="441">
        <f>G62*1</f>
        <v>0</v>
      </c>
      <c r="R62" s="230">
        <f t="shared" si="114"/>
        <v>0</v>
      </c>
      <c r="S62" s="230">
        <f t="shared" si="107"/>
        <v>0</v>
      </c>
      <c r="T62" s="230">
        <f t="shared" si="108"/>
        <v>0</v>
      </c>
      <c r="U62" s="230">
        <f t="shared" si="109"/>
        <v>0</v>
      </c>
      <c r="V62" s="231">
        <f>R62*E62</f>
        <v>0</v>
      </c>
      <c r="W62" s="231">
        <f t="shared" si="111"/>
        <v>0</v>
      </c>
      <c r="X62" s="231">
        <f t="shared" si="112"/>
        <v>0</v>
      </c>
      <c r="Y62" s="231">
        <f t="shared" si="113"/>
        <v>0</v>
      </c>
      <c r="Z62" s="230">
        <v>0</v>
      </c>
      <c r="AA62" s="231">
        <f t="shared" si="119"/>
        <v>0</v>
      </c>
      <c r="AB62" s="230">
        <v>0</v>
      </c>
      <c r="AC62" s="230">
        <f t="shared" si="87"/>
        <v>0</v>
      </c>
      <c r="AD62" s="230">
        <v>0</v>
      </c>
      <c r="AE62" s="231">
        <f t="shared" si="88"/>
        <v>0</v>
      </c>
      <c r="AF62" s="230">
        <v>0</v>
      </c>
      <c r="AG62" s="231">
        <f t="shared" si="89"/>
        <v>0</v>
      </c>
      <c r="AH62" s="230">
        <v>0</v>
      </c>
      <c r="AI62" s="231">
        <f t="shared" si="90"/>
        <v>0</v>
      </c>
      <c r="AJ62" s="230">
        <v>0</v>
      </c>
      <c r="AK62" s="231">
        <f t="shared" si="115"/>
        <v>0</v>
      </c>
      <c r="AL62" s="230">
        <v>0</v>
      </c>
      <c r="AM62" s="231">
        <f t="shared" si="118"/>
        <v>0</v>
      </c>
      <c r="AN62" s="230">
        <v>0</v>
      </c>
      <c r="AO62" s="231">
        <f t="shared" si="91"/>
        <v>0</v>
      </c>
      <c r="AP62" s="230">
        <v>0</v>
      </c>
      <c r="AQ62" s="231">
        <f t="shared" si="92"/>
        <v>0</v>
      </c>
      <c r="AR62" s="230">
        <v>0</v>
      </c>
      <c r="AS62" s="231">
        <f t="shared" si="93"/>
        <v>0</v>
      </c>
      <c r="AT62" s="230">
        <v>0</v>
      </c>
      <c r="AU62" s="231">
        <f t="shared" si="94"/>
        <v>0</v>
      </c>
      <c r="AV62" s="230">
        <v>0</v>
      </c>
      <c r="AW62" s="231">
        <f t="shared" si="95"/>
        <v>0</v>
      </c>
      <c r="AX62" s="231">
        <v>0</v>
      </c>
      <c r="AY62" s="231">
        <f t="shared" si="96"/>
        <v>0</v>
      </c>
      <c r="AZ62" s="230">
        <v>0</v>
      </c>
      <c r="BA62" s="231">
        <f t="shared" si="97"/>
        <v>0</v>
      </c>
      <c r="BB62" s="230">
        <v>0</v>
      </c>
      <c r="BC62" s="231">
        <f t="shared" si="116"/>
        <v>0</v>
      </c>
      <c r="BD62" s="230">
        <v>0</v>
      </c>
      <c r="BE62" s="231">
        <f t="shared" si="117"/>
        <v>0</v>
      </c>
      <c r="BF62" s="230">
        <v>0</v>
      </c>
      <c r="BG62" s="231">
        <f t="shared" si="98"/>
        <v>0</v>
      </c>
      <c r="BH62" s="230"/>
      <c r="BI62" s="231">
        <f t="shared" si="99"/>
        <v>0</v>
      </c>
      <c r="BJ62" s="230">
        <f t="shared" ref="BJ62:BJ64" si="120">Z62+AB62+AD62+AF62+AH62+AJ62+AL62+AN62+AP62+AR62+AT62+AV62+AX62+AZ62+BB62+BD62+BF62+BH62</f>
        <v>0</v>
      </c>
      <c r="BK62" s="230">
        <f t="shared" si="101"/>
        <v>0</v>
      </c>
      <c r="BL62" s="553" t="s">
        <v>589</v>
      </c>
      <c r="BM62" s="218"/>
      <c r="BN62" s="441">
        <f t="shared" si="102"/>
        <v>0</v>
      </c>
      <c r="BO62" s="283"/>
      <c r="BP62" s="283"/>
      <c r="BQ62" s="283"/>
      <c r="BR62" s="225">
        <f t="shared" si="103"/>
        <v>0</v>
      </c>
      <c r="BS62" s="283"/>
      <c r="BT62" s="283"/>
      <c r="BU62" s="225"/>
      <c r="BV62" s="530">
        <f t="shared" si="104"/>
        <v>0</v>
      </c>
    </row>
    <row r="63" spans="1:74" s="237" customFormat="1" x14ac:dyDescent="0.25">
      <c r="A63" s="756"/>
      <c r="B63" s="181"/>
      <c r="C63" s="169" t="s">
        <v>587</v>
      </c>
      <c r="D63" s="169" t="s">
        <v>588</v>
      </c>
      <c r="E63" s="208">
        <v>12000</v>
      </c>
      <c r="F63" s="194">
        <f t="shared" si="105"/>
        <v>0</v>
      </c>
      <c r="G63" s="441">
        <f>BK63</f>
        <v>0</v>
      </c>
      <c r="H63" s="441"/>
      <c r="I63" s="441"/>
      <c r="J63" s="441"/>
      <c r="K63" s="441"/>
      <c r="L63" s="441"/>
      <c r="M63" s="441"/>
      <c r="N63" s="441"/>
      <c r="O63" s="441"/>
      <c r="P63" s="441"/>
      <c r="Q63" s="441">
        <f>G63*1</f>
        <v>0</v>
      </c>
      <c r="R63" s="230">
        <f t="shared" si="114"/>
        <v>0</v>
      </c>
      <c r="S63" s="230">
        <f t="shared" si="107"/>
        <v>0</v>
      </c>
      <c r="T63" s="230">
        <f t="shared" si="108"/>
        <v>0</v>
      </c>
      <c r="U63" s="230">
        <f t="shared" si="109"/>
        <v>0</v>
      </c>
      <c r="V63" s="231">
        <f>R63*E63</f>
        <v>0</v>
      </c>
      <c r="W63" s="231">
        <f t="shared" si="111"/>
        <v>0</v>
      </c>
      <c r="X63" s="231">
        <f t="shared" si="112"/>
        <v>0</v>
      </c>
      <c r="Y63" s="231">
        <f t="shared" si="113"/>
        <v>0</v>
      </c>
      <c r="Z63" s="230">
        <v>0</v>
      </c>
      <c r="AA63" s="231">
        <f t="shared" si="119"/>
        <v>0</v>
      </c>
      <c r="AB63" s="230">
        <v>0</v>
      </c>
      <c r="AC63" s="230">
        <f t="shared" si="87"/>
        <v>0</v>
      </c>
      <c r="AD63" s="230">
        <v>0</v>
      </c>
      <c r="AE63" s="231">
        <f t="shared" si="88"/>
        <v>0</v>
      </c>
      <c r="AF63" s="230">
        <v>0</v>
      </c>
      <c r="AG63" s="231">
        <f t="shared" si="89"/>
        <v>0</v>
      </c>
      <c r="AH63" s="230">
        <v>0</v>
      </c>
      <c r="AI63" s="231">
        <f t="shared" si="90"/>
        <v>0</v>
      </c>
      <c r="AJ63" s="230">
        <v>0</v>
      </c>
      <c r="AK63" s="231">
        <f t="shared" si="115"/>
        <v>0</v>
      </c>
      <c r="AL63" s="230">
        <v>0</v>
      </c>
      <c r="AM63" s="231">
        <f t="shared" si="118"/>
        <v>0</v>
      </c>
      <c r="AN63" s="230">
        <v>0</v>
      </c>
      <c r="AO63" s="231">
        <f t="shared" si="91"/>
        <v>0</v>
      </c>
      <c r="AP63" s="230">
        <v>0</v>
      </c>
      <c r="AQ63" s="231">
        <f t="shared" si="92"/>
        <v>0</v>
      </c>
      <c r="AR63" s="230">
        <v>0</v>
      </c>
      <c r="AS63" s="231">
        <f t="shared" si="93"/>
        <v>0</v>
      </c>
      <c r="AT63" s="230">
        <v>0</v>
      </c>
      <c r="AU63" s="231">
        <f t="shared" si="94"/>
        <v>0</v>
      </c>
      <c r="AV63" s="230">
        <v>0</v>
      </c>
      <c r="AW63" s="231">
        <f t="shared" si="95"/>
        <v>0</v>
      </c>
      <c r="AX63" s="231">
        <v>0</v>
      </c>
      <c r="AY63" s="231">
        <f t="shared" si="96"/>
        <v>0</v>
      </c>
      <c r="AZ63" s="230">
        <v>0</v>
      </c>
      <c r="BA63" s="231">
        <f t="shared" si="97"/>
        <v>0</v>
      </c>
      <c r="BB63" s="230">
        <v>0</v>
      </c>
      <c r="BC63" s="231">
        <f t="shared" si="116"/>
        <v>0</v>
      </c>
      <c r="BD63" s="230">
        <v>0</v>
      </c>
      <c r="BE63" s="231">
        <f t="shared" si="117"/>
        <v>0</v>
      </c>
      <c r="BF63" s="230">
        <v>0</v>
      </c>
      <c r="BG63" s="231">
        <f t="shared" si="98"/>
        <v>0</v>
      </c>
      <c r="BH63" s="230">
        <v>0</v>
      </c>
      <c r="BI63" s="231">
        <f t="shared" si="99"/>
        <v>0</v>
      </c>
      <c r="BJ63" s="230">
        <f t="shared" si="120"/>
        <v>0</v>
      </c>
      <c r="BK63" s="230">
        <f t="shared" si="101"/>
        <v>0</v>
      </c>
      <c r="BL63" s="553" t="s">
        <v>589</v>
      </c>
      <c r="BM63" s="218"/>
      <c r="BN63" s="441">
        <f t="shared" si="102"/>
        <v>0</v>
      </c>
      <c r="BO63" s="283"/>
      <c r="BP63" s="283"/>
      <c r="BQ63" s="283"/>
      <c r="BR63" s="225">
        <f t="shared" si="103"/>
        <v>0</v>
      </c>
      <c r="BS63" s="283"/>
      <c r="BT63" s="283"/>
      <c r="BU63" s="225"/>
      <c r="BV63" s="530">
        <f t="shared" si="104"/>
        <v>0</v>
      </c>
    </row>
    <row r="64" spans="1:74" s="237" customFormat="1" x14ac:dyDescent="0.25">
      <c r="A64" s="756"/>
      <c r="B64" s="181"/>
      <c r="C64" s="169" t="s">
        <v>879</v>
      </c>
      <c r="D64" s="169" t="s">
        <v>634</v>
      </c>
      <c r="E64" s="208">
        <v>250000</v>
      </c>
      <c r="F64" s="194">
        <f t="shared" si="105"/>
        <v>0</v>
      </c>
      <c r="G64" s="441">
        <f>BK64</f>
        <v>0</v>
      </c>
      <c r="H64" s="441"/>
      <c r="I64" s="441"/>
      <c r="J64" s="441">
        <v>0</v>
      </c>
      <c r="K64" s="441"/>
      <c r="L64" s="441"/>
      <c r="M64" s="441">
        <v>0</v>
      </c>
      <c r="N64" s="441"/>
      <c r="O64" s="441"/>
      <c r="P64" s="441"/>
      <c r="Q64" s="441">
        <f>G64*1</f>
        <v>0</v>
      </c>
      <c r="R64" s="230">
        <f t="shared" si="114"/>
        <v>0</v>
      </c>
      <c r="S64" s="230">
        <f t="shared" si="107"/>
        <v>0</v>
      </c>
      <c r="T64" s="230">
        <f t="shared" si="108"/>
        <v>0</v>
      </c>
      <c r="U64" s="230">
        <f t="shared" si="109"/>
        <v>0</v>
      </c>
      <c r="V64" s="231">
        <f>R64*E64</f>
        <v>0</v>
      </c>
      <c r="W64" s="231">
        <f t="shared" si="111"/>
        <v>0</v>
      </c>
      <c r="X64" s="231">
        <f t="shared" si="112"/>
        <v>0</v>
      </c>
      <c r="Y64" s="231">
        <f t="shared" si="113"/>
        <v>0</v>
      </c>
      <c r="Z64" s="542">
        <v>0</v>
      </c>
      <c r="AA64" s="231">
        <f t="shared" si="119"/>
        <v>0</v>
      </c>
      <c r="AB64" s="230">
        <v>0</v>
      </c>
      <c r="AC64" s="230">
        <f t="shared" si="87"/>
        <v>0</v>
      </c>
      <c r="AD64" s="230">
        <v>0</v>
      </c>
      <c r="AE64" s="231">
        <f t="shared" si="88"/>
        <v>0</v>
      </c>
      <c r="AF64" s="287">
        <v>0</v>
      </c>
      <c r="AG64" s="231">
        <f t="shared" si="89"/>
        <v>0</v>
      </c>
      <c r="AH64" s="230">
        <v>0</v>
      </c>
      <c r="AI64" s="231">
        <f t="shared" si="90"/>
        <v>0</v>
      </c>
      <c r="AJ64" s="230">
        <v>0</v>
      </c>
      <c r="AK64" s="231">
        <f t="shared" si="115"/>
        <v>0</v>
      </c>
      <c r="AL64" s="230">
        <v>0</v>
      </c>
      <c r="AM64" s="231">
        <f t="shared" si="118"/>
        <v>0</v>
      </c>
      <c r="AN64" s="230">
        <v>0</v>
      </c>
      <c r="AO64" s="231">
        <f t="shared" si="91"/>
        <v>0</v>
      </c>
      <c r="AP64" s="287">
        <v>0</v>
      </c>
      <c r="AQ64" s="231">
        <f t="shared" si="92"/>
        <v>0</v>
      </c>
      <c r="AR64" s="230">
        <v>0</v>
      </c>
      <c r="AS64" s="231">
        <f t="shared" si="93"/>
        <v>0</v>
      </c>
      <c r="AT64" s="230">
        <v>0</v>
      </c>
      <c r="AU64" s="231">
        <f t="shared" si="94"/>
        <v>0</v>
      </c>
      <c r="AV64" s="230">
        <v>0</v>
      </c>
      <c r="AW64" s="231">
        <f t="shared" si="95"/>
        <v>0</v>
      </c>
      <c r="AX64" s="231">
        <v>0</v>
      </c>
      <c r="AY64" s="231">
        <f t="shared" si="96"/>
        <v>0</v>
      </c>
      <c r="AZ64" s="230">
        <v>0</v>
      </c>
      <c r="BA64" s="231">
        <f t="shared" si="97"/>
        <v>0</v>
      </c>
      <c r="BB64" s="230">
        <v>0</v>
      </c>
      <c r="BC64" s="231">
        <f t="shared" si="116"/>
        <v>0</v>
      </c>
      <c r="BD64" s="230">
        <v>0</v>
      </c>
      <c r="BE64" s="231">
        <f t="shared" si="117"/>
        <v>0</v>
      </c>
      <c r="BF64" s="230">
        <v>0</v>
      </c>
      <c r="BG64" s="231">
        <f t="shared" si="98"/>
        <v>0</v>
      </c>
      <c r="BH64" s="230"/>
      <c r="BI64" s="231">
        <f t="shared" si="99"/>
        <v>0</v>
      </c>
      <c r="BJ64" s="230">
        <f t="shared" si="120"/>
        <v>0</v>
      </c>
      <c r="BK64" s="230">
        <f t="shared" si="101"/>
        <v>0</v>
      </c>
      <c r="BL64" s="553" t="s">
        <v>591</v>
      </c>
      <c r="BM64" s="218"/>
      <c r="BN64" s="441">
        <f t="shared" si="102"/>
        <v>0</v>
      </c>
      <c r="BO64" s="283"/>
      <c r="BP64" s="283"/>
      <c r="BQ64" s="283"/>
      <c r="BR64" s="225">
        <f t="shared" si="103"/>
        <v>0</v>
      </c>
      <c r="BS64" s="283"/>
      <c r="BT64" s="283"/>
      <c r="BU64" s="225"/>
      <c r="BV64" s="530">
        <f t="shared" si="104"/>
        <v>0</v>
      </c>
    </row>
    <row r="65" spans="1:74" s="237" customFormat="1" ht="31.5" x14ac:dyDescent="0.25">
      <c r="A65" s="756"/>
      <c r="B65" s="181"/>
      <c r="C65" s="169" t="s">
        <v>878</v>
      </c>
      <c r="D65" s="169"/>
      <c r="E65" s="208">
        <v>350000</v>
      </c>
      <c r="F65" s="194">
        <f>BJ65</f>
        <v>0</v>
      </c>
      <c r="G65" s="441">
        <f>BK65</f>
        <v>0</v>
      </c>
      <c r="H65" s="441"/>
      <c r="I65" s="441"/>
      <c r="J65" s="441"/>
      <c r="K65" s="441"/>
      <c r="L65" s="441"/>
      <c r="M65" s="441"/>
      <c r="N65" s="441"/>
      <c r="O65" s="441"/>
      <c r="P65" s="441"/>
      <c r="Q65" s="441">
        <f>G65*1</f>
        <v>0</v>
      </c>
      <c r="R65" s="230"/>
      <c r="S65" s="230"/>
      <c r="T65" s="230"/>
      <c r="U65" s="230"/>
      <c r="V65" s="231"/>
      <c r="W65" s="231"/>
      <c r="X65" s="231"/>
      <c r="Y65" s="231"/>
      <c r="Z65" s="542">
        <v>0</v>
      </c>
      <c r="AA65" s="231"/>
      <c r="AB65" s="230">
        <v>0</v>
      </c>
      <c r="AC65" s="230">
        <f t="shared" si="87"/>
        <v>0</v>
      </c>
      <c r="AD65" s="230">
        <v>0</v>
      </c>
      <c r="AE65" s="231">
        <f t="shared" si="88"/>
        <v>0</v>
      </c>
      <c r="AF65" s="287">
        <v>0</v>
      </c>
      <c r="AG65" s="231"/>
      <c r="AH65" s="230">
        <v>0</v>
      </c>
      <c r="AI65" s="231">
        <f t="shared" si="90"/>
        <v>0</v>
      </c>
      <c r="AJ65" s="230">
        <v>0</v>
      </c>
      <c r="AK65" s="231">
        <f t="shared" si="115"/>
        <v>0</v>
      </c>
      <c r="AL65" s="230">
        <v>0</v>
      </c>
      <c r="AM65" s="231">
        <f t="shared" si="118"/>
        <v>0</v>
      </c>
      <c r="AN65" s="230">
        <v>0</v>
      </c>
      <c r="AO65" s="231">
        <f t="shared" si="91"/>
        <v>0</v>
      </c>
      <c r="AP65" s="287">
        <v>0</v>
      </c>
      <c r="AQ65" s="231"/>
      <c r="AR65" s="230">
        <v>0</v>
      </c>
      <c r="AS65" s="231">
        <f t="shared" si="93"/>
        <v>0</v>
      </c>
      <c r="AT65" s="230">
        <v>0</v>
      </c>
      <c r="AU65" s="231">
        <f t="shared" si="94"/>
        <v>0</v>
      </c>
      <c r="AV65" s="230">
        <v>0</v>
      </c>
      <c r="AW65" s="231">
        <f t="shared" si="95"/>
        <v>0</v>
      </c>
      <c r="AX65" s="231">
        <v>0</v>
      </c>
      <c r="AY65" s="231">
        <f t="shared" si="96"/>
        <v>0</v>
      </c>
      <c r="AZ65" s="230">
        <v>0</v>
      </c>
      <c r="BA65" s="231">
        <f t="shared" si="97"/>
        <v>0</v>
      </c>
      <c r="BB65" s="230">
        <v>0</v>
      </c>
      <c r="BC65" s="231">
        <f t="shared" si="116"/>
        <v>0</v>
      </c>
      <c r="BD65" s="230">
        <v>0</v>
      </c>
      <c r="BE65" s="231">
        <f t="shared" si="117"/>
        <v>0</v>
      </c>
      <c r="BF65" s="230">
        <v>0</v>
      </c>
      <c r="BG65" s="231">
        <f t="shared" si="98"/>
        <v>0</v>
      </c>
      <c r="BH65" s="230"/>
      <c r="BI65" s="231">
        <f t="shared" si="99"/>
        <v>0</v>
      </c>
      <c r="BJ65" s="230">
        <f>Z65+AB65+AD65+AF65+AH65+AJ65+AL65+AN65+AP65+AR65+AT65+AV65+AX65+AZ65+BB65+BD65+BF65+BH65</f>
        <v>0</v>
      </c>
      <c r="BK65" s="230">
        <f t="shared" si="101"/>
        <v>0</v>
      </c>
      <c r="BL65" s="553"/>
      <c r="BM65" s="218"/>
      <c r="BN65" s="441"/>
      <c r="BO65" s="283"/>
      <c r="BP65" s="283"/>
      <c r="BQ65" s="283"/>
      <c r="BR65" s="225"/>
      <c r="BS65" s="283"/>
      <c r="BT65" s="283"/>
      <c r="BU65" s="225"/>
      <c r="BV65" s="530"/>
    </row>
    <row r="66" spans="1:74" s="237" customFormat="1" x14ac:dyDescent="0.25">
      <c r="A66" s="756"/>
      <c r="B66" s="181"/>
      <c r="C66" s="169" t="s">
        <v>593</v>
      </c>
      <c r="D66" s="169" t="s">
        <v>535</v>
      </c>
      <c r="E66" s="208">
        <v>9000</v>
      </c>
      <c r="F66" s="194">
        <f t="shared" ref="F66" si="121">BJ66</f>
        <v>0</v>
      </c>
      <c r="G66" s="441">
        <f t="shared" ref="G66" si="122">BK66</f>
        <v>0</v>
      </c>
      <c r="H66" s="441"/>
      <c r="I66" s="441"/>
      <c r="J66" s="441"/>
      <c r="K66" s="441"/>
      <c r="L66" s="441"/>
      <c r="M66" s="441"/>
      <c r="N66" s="441"/>
      <c r="O66" s="441"/>
      <c r="P66" s="441"/>
      <c r="Q66" s="441">
        <f>G66*1</f>
        <v>0</v>
      </c>
      <c r="R66" s="230">
        <f>F66*0.35</f>
        <v>0</v>
      </c>
      <c r="S66" s="230">
        <f>F66*0.1</f>
        <v>0</v>
      </c>
      <c r="T66" s="230">
        <f>F66:F66*0.15</f>
        <v>0</v>
      </c>
      <c r="U66" s="230">
        <f>F66*0.4</f>
        <v>0</v>
      </c>
      <c r="V66" s="231">
        <f>R66*E66-2250</f>
        <v>-2250</v>
      </c>
      <c r="W66" s="231">
        <f>S66*E66</f>
        <v>0</v>
      </c>
      <c r="X66" s="231">
        <f>T66*E66</f>
        <v>0</v>
      </c>
      <c r="Y66" s="231">
        <f>U66*E66</f>
        <v>0</v>
      </c>
      <c r="Z66" s="542">
        <v>0</v>
      </c>
      <c r="AA66" s="231">
        <f t="shared" si="119"/>
        <v>0</v>
      </c>
      <c r="AB66" s="230">
        <v>0</v>
      </c>
      <c r="AC66" s="230">
        <f t="shared" si="87"/>
        <v>0</v>
      </c>
      <c r="AD66" s="230">
        <v>0</v>
      </c>
      <c r="AE66" s="231">
        <f t="shared" si="88"/>
        <v>0</v>
      </c>
      <c r="AF66" s="287">
        <v>0</v>
      </c>
      <c r="AG66" s="231">
        <f t="shared" si="89"/>
        <v>0</v>
      </c>
      <c r="AH66" s="230">
        <v>0</v>
      </c>
      <c r="AI66" s="231">
        <f t="shared" si="90"/>
        <v>0</v>
      </c>
      <c r="AJ66" s="230">
        <v>0</v>
      </c>
      <c r="AK66" s="231">
        <f t="shared" si="115"/>
        <v>0</v>
      </c>
      <c r="AL66" s="230">
        <v>0</v>
      </c>
      <c r="AM66" s="231">
        <f t="shared" si="118"/>
        <v>0</v>
      </c>
      <c r="AN66" s="230">
        <v>0</v>
      </c>
      <c r="AO66" s="231">
        <f>AN66*E66</f>
        <v>0</v>
      </c>
      <c r="AP66" s="287">
        <v>0</v>
      </c>
      <c r="AQ66" s="231">
        <f t="shared" si="92"/>
        <v>0</v>
      </c>
      <c r="AR66" s="230">
        <v>0</v>
      </c>
      <c r="AS66" s="231">
        <f t="shared" si="93"/>
        <v>0</v>
      </c>
      <c r="AT66" s="230">
        <v>0</v>
      </c>
      <c r="AU66" s="231">
        <f t="shared" si="94"/>
        <v>0</v>
      </c>
      <c r="AV66" s="230">
        <v>0</v>
      </c>
      <c r="AW66" s="231">
        <f t="shared" si="95"/>
        <v>0</v>
      </c>
      <c r="AX66" s="231">
        <v>0</v>
      </c>
      <c r="AY66" s="231">
        <f t="shared" si="96"/>
        <v>0</v>
      </c>
      <c r="AZ66" s="230">
        <v>0</v>
      </c>
      <c r="BA66" s="231">
        <f t="shared" si="97"/>
        <v>0</v>
      </c>
      <c r="BB66" s="230">
        <v>0</v>
      </c>
      <c r="BC66" s="231">
        <f t="shared" si="116"/>
        <v>0</v>
      </c>
      <c r="BD66" s="230">
        <v>0</v>
      </c>
      <c r="BE66" s="231">
        <f>BD66*E66</f>
        <v>0</v>
      </c>
      <c r="BF66" s="230">
        <v>0</v>
      </c>
      <c r="BG66" s="231">
        <f t="shared" si="98"/>
        <v>0</v>
      </c>
      <c r="BH66" s="230"/>
      <c r="BI66" s="231">
        <f t="shared" si="99"/>
        <v>0</v>
      </c>
      <c r="BJ66" s="230">
        <f>Z66+AB66+AD66+AF66+AH66+AJ66+AL66+AN66+AP66+AR66+AT66+AV66+AX66+AZ66+BB66+BD66+BF66+BH66</f>
        <v>0</v>
      </c>
      <c r="BK66" s="230">
        <f t="shared" si="101"/>
        <v>0</v>
      </c>
      <c r="BL66" s="553" t="s">
        <v>591</v>
      </c>
      <c r="BM66" s="218"/>
      <c r="BN66" s="441"/>
      <c r="BO66" s="283">
        <f>G66</f>
        <v>0</v>
      </c>
      <c r="BP66" s="283"/>
      <c r="BQ66" s="283"/>
      <c r="BR66" s="225">
        <f t="shared" si="103"/>
        <v>0</v>
      </c>
      <c r="BS66" s="283"/>
      <c r="BT66" s="283"/>
      <c r="BU66" s="225"/>
      <c r="BV66" s="530">
        <f t="shared" si="104"/>
        <v>0</v>
      </c>
    </row>
    <row r="67" spans="1:74" s="237" customFormat="1" ht="37.5" customHeight="1" x14ac:dyDescent="0.25">
      <c r="A67" s="756"/>
      <c r="B67" s="181"/>
      <c r="C67" s="169" t="s">
        <v>925</v>
      </c>
      <c r="D67" s="169" t="s">
        <v>239</v>
      </c>
      <c r="E67" s="208">
        <v>500000</v>
      </c>
      <c r="F67" s="194">
        <f t="shared" ref="F67:F75" si="123">BJ67</f>
        <v>5</v>
      </c>
      <c r="G67" s="441">
        <f t="shared" si="106"/>
        <v>2500000</v>
      </c>
      <c r="H67" s="441"/>
      <c r="I67" s="441"/>
      <c r="J67" s="534"/>
      <c r="K67" s="534"/>
      <c r="L67" s="534">
        <f>G67</f>
        <v>2500000</v>
      </c>
      <c r="M67" s="534"/>
      <c r="N67" s="441"/>
      <c r="O67" s="441"/>
      <c r="P67" s="441"/>
      <c r="Q67" s="441"/>
      <c r="R67" s="230">
        <f t="shared" ref="R67:R75" si="124">F67*0.35</f>
        <v>1.75</v>
      </c>
      <c r="S67" s="230">
        <f t="shared" ref="S67:S75" si="125">F67*0.1</f>
        <v>0.5</v>
      </c>
      <c r="T67" s="230">
        <f t="shared" ref="T67:T75" si="126">F67:F67*0.15</f>
        <v>0.75</v>
      </c>
      <c r="U67" s="230">
        <f t="shared" ref="U67:U75" si="127">F67*0.4</f>
        <v>2</v>
      </c>
      <c r="V67" s="231">
        <f>R67*E67</f>
        <v>875000</v>
      </c>
      <c r="W67" s="231">
        <f t="shared" ref="W67:W75" si="128">S67*E67</f>
        <v>250000</v>
      </c>
      <c r="X67" s="231">
        <f t="shared" ref="X67:X75" si="129">T67*E67</f>
        <v>375000</v>
      </c>
      <c r="Y67" s="231">
        <f t="shared" ref="Y67:Y75" si="130">U67*E67</f>
        <v>1000000</v>
      </c>
      <c r="Z67" s="230">
        <v>1</v>
      </c>
      <c r="AA67" s="231">
        <f t="shared" si="119"/>
        <v>500000</v>
      </c>
      <c r="AB67" s="230">
        <v>0</v>
      </c>
      <c r="AC67" s="231">
        <f t="shared" si="87"/>
        <v>0</v>
      </c>
      <c r="AD67" s="230">
        <v>0</v>
      </c>
      <c r="AE67" s="231">
        <f t="shared" si="88"/>
        <v>0</v>
      </c>
      <c r="AF67" s="230">
        <v>0</v>
      </c>
      <c r="AG67" s="231">
        <f t="shared" si="89"/>
        <v>0</v>
      </c>
      <c r="AH67" s="230">
        <v>1</v>
      </c>
      <c r="AI67" s="231">
        <f t="shared" si="90"/>
        <v>500000</v>
      </c>
      <c r="AJ67" s="230">
        <v>1</v>
      </c>
      <c r="AK67" s="231">
        <f t="shared" si="115"/>
        <v>500000</v>
      </c>
      <c r="AL67" s="230">
        <v>1</v>
      </c>
      <c r="AM67" s="231">
        <f t="shared" si="118"/>
        <v>500000</v>
      </c>
      <c r="AN67" s="230">
        <v>0</v>
      </c>
      <c r="AO67" s="231">
        <f t="shared" ref="AO67:AO75" si="131">AN67*E67</f>
        <v>0</v>
      </c>
      <c r="AP67" s="230">
        <v>0</v>
      </c>
      <c r="AQ67" s="231">
        <f t="shared" si="92"/>
        <v>0</v>
      </c>
      <c r="AR67" s="230">
        <v>1</v>
      </c>
      <c r="AS67" s="231">
        <f t="shared" si="93"/>
        <v>500000</v>
      </c>
      <c r="AT67" s="230">
        <v>0</v>
      </c>
      <c r="AU67" s="231">
        <f t="shared" si="94"/>
        <v>0</v>
      </c>
      <c r="AV67" s="230">
        <v>0</v>
      </c>
      <c r="AW67" s="231">
        <f t="shared" si="95"/>
        <v>0</v>
      </c>
      <c r="AX67" s="231">
        <v>0</v>
      </c>
      <c r="AY67" s="231">
        <f t="shared" si="96"/>
        <v>0</v>
      </c>
      <c r="AZ67" s="230">
        <v>0</v>
      </c>
      <c r="BA67" s="231">
        <f t="shared" si="97"/>
        <v>0</v>
      </c>
      <c r="BB67" s="230">
        <v>0</v>
      </c>
      <c r="BC67" s="231">
        <f t="shared" si="116"/>
        <v>0</v>
      </c>
      <c r="BD67" s="230">
        <v>0</v>
      </c>
      <c r="BE67" s="231">
        <f t="shared" ref="BE67:BE75" si="132">BD67*E67</f>
        <v>0</v>
      </c>
      <c r="BF67" s="230">
        <v>0</v>
      </c>
      <c r="BG67" s="231">
        <f t="shared" si="98"/>
        <v>0</v>
      </c>
      <c r="BH67" s="230"/>
      <c r="BI67" s="231">
        <f t="shared" si="99"/>
        <v>0</v>
      </c>
      <c r="BJ67" s="230">
        <f t="shared" si="100"/>
        <v>5</v>
      </c>
      <c r="BK67" s="230">
        <f t="shared" si="101"/>
        <v>2500000</v>
      </c>
      <c r="BL67" s="553" t="s">
        <v>531</v>
      </c>
      <c r="BM67" s="535"/>
      <c r="BN67" s="441">
        <f t="shared" ref="BN67:BN73" si="133">G67</f>
        <v>2500000</v>
      </c>
      <c r="BO67" s="283"/>
      <c r="BP67" s="283"/>
      <c r="BQ67" s="283"/>
      <c r="BR67" s="225">
        <f t="shared" si="103"/>
        <v>2500000</v>
      </c>
      <c r="BS67" s="283"/>
      <c r="BT67" s="283"/>
      <c r="BU67" s="225"/>
      <c r="BV67" s="530">
        <f t="shared" si="104"/>
        <v>2500000</v>
      </c>
    </row>
    <row r="68" spans="1:74" s="237" customFormat="1" ht="36" customHeight="1" x14ac:dyDescent="0.25">
      <c r="A68" s="756"/>
      <c r="B68" s="181"/>
      <c r="C68" s="169" t="s">
        <v>926</v>
      </c>
      <c r="D68" s="169" t="s">
        <v>239</v>
      </c>
      <c r="E68" s="208">
        <v>100000</v>
      </c>
      <c r="F68" s="194">
        <f t="shared" si="123"/>
        <v>6</v>
      </c>
      <c r="G68" s="441">
        <f t="shared" si="106"/>
        <v>600000</v>
      </c>
      <c r="H68" s="441"/>
      <c r="I68" s="441"/>
      <c r="J68" s="534"/>
      <c r="K68" s="534"/>
      <c r="L68" s="534">
        <f>G68</f>
        <v>600000</v>
      </c>
      <c r="M68" s="534"/>
      <c r="N68" s="441"/>
      <c r="O68" s="441"/>
      <c r="P68" s="441"/>
      <c r="Q68" s="441"/>
      <c r="R68" s="230">
        <f t="shared" si="124"/>
        <v>2.0999999999999996</v>
      </c>
      <c r="S68" s="230">
        <f t="shared" si="125"/>
        <v>0.60000000000000009</v>
      </c>
      <c r="T68" s="230">
        <f t="shared" si="126"/>
        <v>0.89999999999999991</v>
      </c>
      <c r="U68" s="230">
        <f t="shared" si="127"/>
        <v>2.4000000000000004</v>
      </c>
      <c r="V68" s="231">
        <f>R68*E68</f>
        <v>209999.99999999997</v>
      </c>
      <c r="W68" s="231">
        <f t="shared" si="128"/>
        <v>60000.000000000007</v>
      </c>
      <c r="X68" s="231">
        <f t="shared" si="129"/>
        <v>89999.999999999985</v>
      </c>
      <c r="Y68" s="231">
        <f t="shared" si="130"/>
        <v>240000.00000000003</v>
      </c>
      <c r="Z68" s="230">
        <v>1</v>
      </c>
      <c r="AA68" s="231">
        <f t="shared" si="119"/>
        <v>100000</v>
      </c>
      <c r="AB68" s="230">
        <v>0</v>
      </c>
      <c r="AC68" s="231">
        <f t="shared" si="87"/>
        <v>0</v>
      </c>
      <c r="AD68" s="230">
        <v>0</v>
      </c>
      <c r="AE68" s="231">
        <f t="shared" si="88"/>
        <v>0</v>
      </c>
      <c r="AF68" s="230">
        <v>0</v>
      </c>
      <c r="AG68" s="231">
        <f t="shared" si="89"/>
        <v>0</v>
      </c>
      <c r="AH68" s="230">
        <v>1</v>
      </c>
      <c r="AI68" s="231">
        <f t="shared" si="90"/>
        <v>100000</v>
      </c>
      <c r="AJ68" s="230">
        <v>1</v>
      </c>
      <c r="AK68" s="231">
        <f t="shared" si="115"/>
        <v>100000</v>
      </c>
      <c r="AL68" s="230">
        <v>1</v>
      </c>
      <c r="AM68" s="231">
        <f t="shared" si="118"/>
        <v>100000</v>
      </c>
      <c r="AN68" s="230">
        <v>1</v>
      </c>
      <c r="AO68" s="231">
        <f t="shared" si="131"/>
        <v>100000</v>
      </c>
      <c r="AP68" s="230">
        <v>0</v>
      </c>
      <c r="AQ68" s="231">
        <f t="shared" si="92"/>
        <v>0</v>
      </c>
      <c r="AR68" s="230">
        <v>1</v>
      </c>
      <c r="AS68" s="231">
        <f t="shared" si="93"/>
        <v>100000</v>
      </c>
      <c r="AT68" s="230">
        <v>0</v>
      </c>
      <c r="AU68" s="231">
        <f t="shared" si="94"/>
        <v>0</v>
      </c>
      <c r="AV68" s="230">
        <v>0</v>
      </c>
      <c r="AW68" s="231">
        <f t="shared" si="95"/>
        <v>0</v>
      </c>
      <c r="AX68" s="231">
        <v>0</v>
      </c>
      <c r="AY68" s="231">
        <f t="shared" si="96"/>
        <v>0</v>
      </c>
      <c r="AZ68" s="230">
        <v>0</v>
      </c>
      <c r="BA68" s="231">
        <f t="shared" si="97"/>
        <v>0</v>
      </c>
      <c r="BB68" s="230">
        <v>0</v>
      </c>
      <c r="BC68" s="231">
        <f t="shared" si="116"/>
        <v>0</v>
      </c>
      <c r="BD68" s="230">
        <v>0</v>
      </c>
      <c r="BE68" s="231">
        <f t="shared" si="132"/>
        <v>0</v>
      </c>
      <c r="BF68" s="230">
        <v>0</v>
      </c>
      <c r="BG68" s="231">
        <f t="shared" si="98"/>
        <v>0</v>
      </c>
      <c r="BH68" s="230">
        <v>0</v>
      </c>
      <c r="BI68" s="231">
        <f t="shared" si="99"/>
        <v>0</v>
      </c>
      <c r="BJ68" s="230">
        <f t="shared" si="100"/>
        <v>6</v>
      </c>
      <c r="BK68" s="230">
        <f t="shared" si="101"/>
        <v>600000</v>
      </c>
      <c r="BL68" s="553" t="s">
        <v>531</v>
      </c>
      <c r="BM68" s="535"/>
      <c r="BN68" s="441">
        <f t="shared" si="133"/>
        <v>600000</v>
      </c>
      <c r="BO68" s="283"/>
      <c r="BP68" s="283"/>
      <c r="BQ68" s="283"/>
      <c r="BR68" s="225">
        <f t="shared" si="103"/>
        <v>600000</v>
      </c>
      <c r="BS68" s="283"/>
      <c r="BT68" s="283"/>
      <c r="BU68" s="225"/>
      <c r="BV68" s="530">
        <f t="shared" si="104"/>
        <v>600000</v>
      </c>
    </row>
    <row r="69" spans="1:74" s="237" customFormat="1" x14ac:dyDescent="0.25">
      <c r="A69" s="756"/>
      <c r="B69" s="181"/>
      <c r="C69" s="169" t="s">
        <v>258</v>
      </c>
      <c r="D69" s="169" t="s">
        <v>239</v>
      </c>
      <c r="E69" s="208">
        <v>400000</v>
      </c>
      <c r="F69" s="194">
        <f t="shared" si="123"/>
        <v>2</v>
      </c>
      <c r="G69" s="441">
        <f>BK69</f>
        <v>800000</v>
      </c>
      <c r="H69" s="441"/>
      <c r="I69" s="441"/>
      <c r="J69" s="534"/>
      <c r="K69" s="534"/>
      <c r="L69" s="534"/>
      <c r="M69" s="534">
        <f t="shared" ref="M69:M73" si="134">G69</f>
        <v>800000</v>
      </c>
      <c r="N69" s="441"/>
      <c r="O69" s="441"/>
      <c r="P69" s="441"/>
      <c r="Q69" s="441"/>
      <c r="R69" s="230">
        <f t="shared" si="124"/>
        <v>0.7</v>
      </c>
      <c r="S69" s="230">
        <f t="shared" si="125"/>
        <v>0.2</v>
      </c>
      <c r="T69" s="230">
        <f t="shared" si="126"/>
        <v>0.3</v>
      </c>
      <c r="U69" s="230">
        <f t="shared" si="127"/>
        <v>0.8</v>
      </c>
      <c r="V69" s="231">
        <f>G69*0</f>
        <v>0</v>
      </c>
      <c r="W69" s="231">
        <f>G69:G69*0.5</f>
        <v>400000</v>
      </c>
      <c r="X69" s="231">
        <f>G69*0.25</f>
        <v>200000</v>
      </c>
      <c r="Y69" s="231">
        <f>G69*0.25</f>
        <v>200000</v>
      </c>
      <c r="Z69" s="230">
        <v>0</v>
      </c>
      <c r="AA69" s="231">
        <f t="shared" si="119"/>
        <v>0</v>
      </c>
      <c r="AB69" s="230">
        <v>0</v>
      </c>
      <c r="AC69" s="231">
        <f t="shared" si="87"/>
        <v>0</v>
      </c>
      <c r="AD69" s="230">
        <v>0</v>
      </c>
      <c r="AE69" s="231">
        <f t="shared" si="88"/>
        <v>0</v>
      </c>
      <c r="AF69" s="230">
        <v>0</v>
      </c>
      <c r="AG69" s="231">
        <f t="shared" si="89"/>
        <v>0</v>
      </c>
      <c r="AH69" s="230">
        <v>0</v>
      </c>
      <c r="AI69" s="231">
        <f>AH69*E69</f>
        <v>0</v>
      </c>
      <c r="AJ69" s="230">
        <v>0</v>
      </c>
      <c r="AK69" s="231">
        <f t="shared" si="115"/>
        <v>0</v>
      </c>
      <c r="AL69" s="230">
        <v>0</v>
      </c>
      <c r="AM69" s="231">
        <f t="shared" si="118"/>
        <v>0</v>
      </c>
      <c r="AN69" s="230">
        <v>0</v>
      </c>
      <c r="AO69" s="231">
        <f t="shared" si="131"/>
        <v>0</v>
      </c>
      <c r="AP69" s="230">
        <v>0</v>
      </c>
      <c r="AQ69" s="231">
        <f t="shared" si="92"/>
        <v>0</v>
      </c>
      <c r="AR69" s="230">
        <v>0</v>
      </c>
      <c r="AS69" s="231">
        <f t="shared" si="93"/>
        <v>0</v>
      </c>
      <c r="AT69" s="230">
        <v>0</v>
      </c>
      <c r="AU69" s="231">
        <f t="shared" si="94"/>
        <v>0</v>
      </c>
      <c r="AV69" s="230">
        <v>2</v>
      </c>
      <c r="AW69" s="231">
        <f t="shared" si="95"/>
        <v>800000</v>
      </c>
      <c r="AX69" s="231">
        <v>0</v>
      </c>
      <c r="AY69" s="231">
        <f t="shared" si="96"/>
        <v>0</v>
      </c>
      <c r="AZ69" s="230">
        <v>0</v>
      </c>
      <c r="BA69" s="231">
        <f t="shared" si="97"/>
        <v>0</v>
      </c>
      <c r="BB69" s="230">
        <v>0</v>
      </c>
      <c r="BC69" s="231">
        <f t="shared" si="116"/>
        <v>0</v>
      </c>
      <c r="BD69" s="230">
        <v>0</v>
      </c>
      <c r="BE69" s="231">
        <f t="shared" si="132"/>
        <v>0</v>
      </c>
      <c r="BF69" s="230">
        <v>0</v>
      </c>
      <c r="BG69" s="231">
        <f t="shared" si="98"/>
        <v>0</v>
      </c>
      <c r="BH69" s="230"/>
      <c r="BI69" s="231">
        <f t="shared" si="99"/>
        <v>0</v>
      </c>
      <c r="BJ69" s="230">
        <f t="shared" si="100"/>
        <v>2</v>
      </c>
      <c r="BK69" s="230">
        <f t="shared" si="101"/>
        <v>800000</v>
      </c>
      <c r="BL69" s="553" t="s">
        <v>538</v>
      </c>
      <c r="BM69" s="535"/>
      <c r="BN69" s="441">
        <f t="shared" si="133"/>
        <v>800000</v>
      </c>
      <c r="BO69" s="283"/>
      <c r="BP69" s="283"/>
      <c r="BQ69" s="283"/>
      <c r="BR69" s="225">
        <f t="shared" si="103"/>
        <v>800000</v>
      </c>
      <c r="BS69" s="283"/>
      <c r="BT69" s="283"/>
      <c r="BU69" s="225"/>
      <c r="BV69" s="530">
        <f t="shared" ref="BV69:BV75" si="135">BR69+BU69</f>
        <v>800000</v>
      </c>
    </row>
    <row r="70" spans="1:74" s="237" customFormat="1" ht="15.75" customHeight="1" x14ac:dyDescent="0.25">
      <c r="A70" s="756"/>
      <c r="B70" s="181"/>
      <c r="C70" s="169" t="s">
        <v>580</v>
      </c>
      <c r="D70" s="169" t="s">
        <v>239</v>
      </c>
      <c r="E70" s="208">
        <v>200000</v>
      </c>
      <c r="F70" s="194">
        <f t="shared" si="123"/>
        <v>10</v>
      </c>
      <c r="G70" s="441">
        <f>F70*E70</f>
        <v>2000000</v>
      </c>
      <c r="H70" s="441"/>
      <c r="I70" s="441"/>
      <c r="J70" s="534"/>
      <c r="K70" s="534"/>
      <c r="L70" s="534"/>
      <c r="M70" s="534">
        <f t="shared" si="134"/>
        <v>2000000</v>
      </c>
      <c r="N70" s="441"/>
      <c r="O70" s="441"/>
      <c r="P70" s="441"/>
      <c r="Q70" s="441"/>
      <c r="R70" s="230">
        <f t="shared" si="124"/>
        <v>3.5</v>
      </c>
      <c r="S70" s="230">
        <f t="shared" si="125"/>
        <v>1</v>
      </c>
      <c r="T70" s="230">
        <f t="shared" si="126"/>
        <v>1.5</v>
      </c>
      <c r="U70" s="230">
        <f t="shared" si="127"/>
        <v>4</v>
      </c>
      <c r="V70" s="231">
        <f t="shared" ref="V70:V75" si="136">R70*E70</f>
        <v>700000</v>
      </c>
      <c r="W70" s="231">
        <f t="shared" si="128"/>
        <v>200000</v>
      </c>
      <c r="X70" s="231">
        <f t="shared" si="129"/>
        <v>300000</v>
      </c>
      <c r="Y70" s="231">
        <f t="shared" si="130"/>
        <v>800000</v>
      </c>
      <c r="Z70" s="230">
        <v>0</v>
      </c>
      <c r="AA70" s="231">
        <f t="shared" si="119"/>
        <v>0</v>
      </c>
      <c r="AB70" s="230">
        <v>0</v>
      </c>
      <c r="AC70" s="231">
        <f t="shared" si="87"/>
        <v>0</v>
      </c>
      <c r="AD70" s="230">
        <v>0</v>
      </c>
      <c r="AE70" s="231">
        <f t="shared" si="88"/>
        <v>0</v>
      </c>
      <c r="AF70" s="230">
        <v>1</v>
      </c>
      <c r="AG70" s="231">
        <f t="shared" si="89"/>
        <v>200000</v>
      </c>
      <c r="AH70" s="230">
        <v>2</v>
      </c>
      <c r="AI70" s="231">
        <f t="shared" si="90"/>
        <v>400000</v>
      </c>
      <c r="AJ70" s="230">
        <v>1</v>
      </c>
      <c r="AK70" s="231">
        <f t="shared" si="115"/>
        <v>200000</v>
      </c>
      <c r="AL70" s="230">
        <v>0</v>
      </c>
      <c r="AM70" s="231">
        <f t="shared" si="118"/>
        <v>0</v>
      </c>
      <c r="AN70" s="230">
        <v>0</v>
      </c>
      <c r="AO70" s="231">
        <f t="shared" si="131"/>
        <v>0</v>
      </c>
      <c r="AP70" s="230">
        <v>0</v>
      </c>
      <c r="AQ70" s="231">
        <f t="shared" si="92"/>
        <v>0</v>
      </c>
      <c r="AR70" s="230">
        <v>0</v>
      </c>
      <c r="AS70" s="231">
        <f t="shared" si="93"/>
        <v>0</v>
      </c>
      <c r="AT70" s="230">
        <v>0</v>
      </c>
      <c r="AU70" s="231">
        <f t="shared" si="94"/>
        <v>0</v>
      </c>
      <c r="AV70" s="230">
        <v>0</v>
      </c>
      <c r="AW70" s="231">
        <f t="shared" si="95"/>
        <v>0</v>
      </c>
      <c r="AX70" s="231">
        <v>3</v>
      </c>
      <c r="AY70" s="231">
        <f t="shared" si="96"/>
        <v>600000</v>
      </c>
      <c r="AZ70" s="230">
        <v>2</v>
      </c>
      <c r="BA70" s="231">
        <f t="shared" si="97"/>
        <v>400000</v>
      </c>
      <c r="BB70" s="230">
        <v>1</v>
      </c>
      <c r="BC70" s="231">
        <f t="shared" si="116"/>
        <v>200000</v>
      </c>
      <c r="BD70" s="230">
        <v>0</v>
      </c>
      <c r="BE70" s="231">
        <f t="shared" si="132"/>
        <v>0</v>
      </c>
      <c r="BF70" s="230">
        <v>0</v>
      </c>
      <c r="BG70" s="231">
        <f t="shared" si="98"/>
        <v>0</v>
      </c>
      <c r="BH70" s="230"/>
      <c r="BI70" s="231">
        <f t="shared" si="99"/>
        <v>0</v>
      </c>
      <c r="BJ70" s="230">
        <f t="shared" si="100"/>
        <v>10</v>
      </c>
      <c r="BK70" s="230">
        <f t="shared" si="101"/>
        <v>2000000</v>
      </c>
      <c r="BL70" s="553" t="s">
        <v>277</v>
      </c>
      <c r="BM70" s="535"/>
      <c r="BN70" s="441">
        <f t="shared" si="133"/>
        <v>2000000</v>
      </c>
      <c r="BO70" s="283"/>
      <c r="BP70" s="283"/>
      <c r="BQ70" s="283"/>
      <c r="BR70" s="225">
        <f t="shared" ref="BR70:BR75" si="137">BN70+BO70+BP70+BQ70</f>
        <v>2000000</v>
      </c>
      <c r="BS70" s="283"/>
      <c r="BT70" s="283"/>
      <c r="BU70" s="225"/>
      <c r="BV70" s="530">
        <f t="shared" si="135"/>
        <v>2000000</v>
      </c>
    </row>
    <row r="71" spans="1:74" s="237" customFormat="1" x14ac:dyDescent="0.25">
      <c r="A71" s="756"/>
      <c r="B71" s="181"/>
      <c r="C71" s="169" t="s">
        <v>284</v>
      </c>
      <c r="D71" s="169" t="s">
        <v>239</v>
      </c>
      <c r="E71" s="208">
        <v>60000</v>
      </c>
      <c r="F71" s="194">
        <f t="shared" si="123"/>
        <v>5</v>
      </c>
      <c r="G71" s="441">
        <f>F71*E71</f>
        <v>300000</v>
      </c>
      <c r="H71" s="441"/>
      <c r="I71" s="441"/>
      <c r="J71" s="534"/>
      <c r="K71" s="534"/>
      <c r="L71" s="534"/>
      <c r="M71" s="534">
        <f t="shared" si="134"/>
        <v>300000</v>
      </c>
      <c r="N71" s="441"/>
      <c r="O71" s="441"/>
      <c r="P71" s="441"/>
      <c r="Q71" s="441"/>
      <c r="R71" s="230">
        <f t="shared" si="124"/>
        <v>1.75</v>
      </c>
      <c r="S71" s="230">
        <f t="shared" si="125"/>
        <v>0.5</v>
      </c>
      <c r="T71" s="230">
        <f t="shared" si="126"/>
        <v>0.75</v>
      </c>
      <c r="U71" s="230">
        <f t="shared" si="127"/>
        <v>2</v>
      </c>
      <c r="V71" s="231">
        <f t="shared" si="136"/>
        <v>105000</v>
      </c>
      <c r="W71" s="231">
        <f t="shared" si="128"/>
        <v>30000</v>
      </c>
      <c r="X71" s="231">
        <f t="shared" si="129"/>
        <v>45000</v>
      </c>
      <c r="Y71" s="231">
        <f t="shared" si="130"/>
        <v>120000</v>
      </c>
      <c r="Z71" s="230">
        <v>0</v>
      </c>
      <c r="AA71" s="231">
        <f t="shared" si="119"/>
        <v>0</v>
      </c>
      <c r="AB71" s="230">
        <v>0</v>
      </c>
      <c r="AC71" s="231">
        <f t="shared" si="87"/>
        <v>0</v>
      </c>
      <c r="AD71" s="230">
        <v>0</v>
      </c>
      <c r="AE71" s="231">
        <f t="shared" si="88"/>
        <v>0</v>
      </c>
      <c r="AF71" s="230">
        <v>5</v>
      </c>
      <c r="AG71" s="231">
        <f t="shared" si="89"/>
        <v>300000</v>
      </c>
      <c r="AH71" s="230">
        <v>0</v>
      </c>
      <c r="AI71" s="231">
        <f t="shared" si="90"/>
        <v>0</v>
      </c>
      <c r="AJ71" s="230">
        <v>0</v>
      </c>
      <c r="AK71" s="231">
        <f t="shared" si="115"/>
        <v>0</v>
      </c>
      <c r="AL71" s="230"/>
      <c r="AM71" s="231">
        <f t="shared" si="118"/>
        <v>0</v>
      </c>
      <c r="AN71" s="230">
        <v>0</v>
      </c>
      <c r="AO71" s="231">
        <f t="shared" si="131"/>
        <v>0</v>
      </c>
      <c r="AP71" s="230">
        <v>0</v>
      </c>
      <c r="AQ71" s="231">
        <f t="shared" si="92"/>
        <v>0</v>
      </c>
      <c r="AR71" s="230">
        <v>0</v>
      </c>
      <c r="AS71" s="231">
        <f t="shared" si="93"/>
        <v>0</v>
      </c>
      <c r="AT71" s="230">
        <v>0</v>
      </c>
      <c r="AU71" s="231">
        <f t="shared" si="94"/>
        <v>0</v>
      </c>
      <c r="AV71" s="230">
        <v>0</v>
      </c>
      <c r="AW71" s="231">
        <f t="shared" si="95"/>
        <v>0</v>
      </c>
      <c r="AX71" s="231">
        <v>0</v>
      </c>
      <c r="AY71" s="231">
        <f t="shared" si="96"/>
        <v>0</v>
      </c>
      <c r="AZ71" s="230">
        <v>0</v>
      </c>
      <c r="BA71" s="231">
        <f t="shared" si="97"/>
        <v>0</v>
      </c>
      <c r="BB71" s="230">
        <v>0</v>
      </c>
      <c r="BC71" s="231">
        <f t="shared" si="116"/>
        <v>0</v>
      </c>
      <c r="BD71" s="230">
        <v>0</v>
      </c>
      <c r="BE71" s="231">
        <f t="shared" si="132"/>
        <v>0</v>
      </c>
      <c r="BF71" s="230">
        <v>0</v>
      </c>
      <c r="BG71" s="231">
        <f t="shared" si="98"/>
        <v>0</v>
      </c>
      <c r="BH71" s="230"/>
      <c r="BI71" s="231">
        <f t="shared" si="99"/>
        <v>0</v>
      </c>
      <c r="BJ71" s="230">
        <f t="shared" si="100"/>
        <v>5</v>
      </c>
      <c r="BK71" s="230">
        <f t="shared" si="101"/>
        <v>300000</v>
      </c>
      <c r="BL71" s="553" t="s">
        <v>277</v>
      </c>
      <c r="BM71" s="535"/>
      <c r="BN71" s="441">
        <f t="shared" si="133"/>
        <v>300000</v>
      </c>
      <c r="BO71" s="283"/>
      <c r="BP71" s="283"/>
      <c r="BQ71" s="283"/>
      <c r="BR71" s="225">
        <f t="shared" si="137"/>
        <v>300000</v>
      </c>
      <c r="BS71" s="283"/>
      <c r="BT71" s="283"/>
      <c r="BU71" s="225"/>
      <c r="BV71" s="530">
        <f t="shared" si="135"/>
        <v>300000</v>
      </c>
    </row>
    <row r="72" spans="1:74" s="237" customFormat="1" ht="31.5" x14ac:dyDescent="0.25">
      <c r="A72" s="756"/>
      <c r="B72" s="181"/>
      <c r="C72" s="169" t="s">
        <v>583</v>
      </c>
      <c r="D72" s="169" t="s">
        <v>239</v>
      </c>
      <c r="E72" s="208">
        <v>200000</v>
      </c>
      <c r="F72" s="194">
        <f t="shared" si="123"/>
        <v>3</v>
      </c>
      <c r="G72" s="441">
        <f>F72*E72</f>
        <v>600000</v>
      </c>
      <c r="H72" s="441"/>
      <c r="I72" s="441"/>
      <c r="J72" s="534"/>
      <c r="K72" s="534"/>
      <c r="L72" s="534"/>
      <c r="M72" s="534">
        <f t="shared" si="134"/>
        <v>600000</v>
      </c>
      <c r="N72" s="441"/>
      <c r="O72" s="441"/>
      <c r="P72" s="441"/>
      <c r="Q72" s="441"/>
      <c r="R72" s="230">
        <f t="shared" si="124"/>
        <v>1.0499999999999998</v>
      </c>
      <c r="S72" s="230">
        <f t="shared" si="125"/>
        <v>0.30000000000000004</v>
      </c>
      <c r="T72" s="230">
        <f t="shared" si="126"/>
        <v>0.44999999999999996</v>
      </c>
      <c r="U72" s="230">
        <f t="shared" si="127"/>
        <v>1.2000000000000002</v>
      </c>
      <c r="V72" s="231">
        <f t="shared" si="136"/>
        <v>209999.99999999997</v>
      </c>
      <c r="W72" s="231">
        <f t="shared" si="128"/>
        <v>60000.000000000007</v>
      </c>
      <c r="X72" s="231">
        <f t="shared" si="129"/>
        <v>89999.999999999985</v>
      </c>
      <c r="Y72" s="231">
        <f t="shared" si="130"/>
        <v>240000.00000000003</v>
      </c>
      <c r="Z72" s="230">
        <v>0</v>
      </c>
      <c r="AA72" s="231">
        <f t="shared" si="119"/>
        <v>0</v>
      </c>
      <c r="AB72" s="230">
        <v>0</v>
      </c>
      <c r="AC72" s="231">
        <f t="shared" si="87"/>
        <v>0</v>
      </c>
      <c r="AD72" s="230">
        <v>0</v>
      </c>
      <c r="AE72" s="231">
        <f t="shared" si="88"/>
        <v>0</v>
      </c>
      <c r="AF72" s="230">
        <v>1</v>
      </c>
      <c r="AG72" s="231">
        <f t="shared" si="89"/>
        <v>200000</v>
      </c>
      <c r="AH72" s="230">
        <v>0</v>
      </c>
      <c r="AI72" s="231">
        <f t="shared" si="90"/>
        <v>0</v>
      </c>
      <c r="AJ72" s="230">
        <v>0</v>
      </c>
      <c r="AK72" s="231">
        <f t="shared" si="115"/>
        <v>0</v>
      </c>
      <c r="AL72" s="230">
        <v>0</v>
      </c>
      <c r="AM72" s="231">
        <f t="shared" si="118"/>
        <v>0</v>
      </c>
      <c r="AN72" s="230">
        <v>0</v>
      </c>
      <c r="AO72" s="231">
        <f t="shared" si="131"/>
        <v>0</v>
      </c>
      <c r="AP72" s="230">
        <v>0</v>
      </c>
      <c r="AQ72" s="231">
        <f t="shared" si="92"/>
        <v>0</v>
      </c>
      <c r="AR72" s="230">
        <v>0</v>
      </c>
      <c r="AS72" s="231">
        <f t="shared" si="93"/>
        <v>0</v>
      </c>
      <c r="AT72" s="230">
        <v>0</v>
      </c>
      <c r="AU72" s="231">
        <f t="shared" si="94"/>
        <v>0</v>
      </c>
      <c r="AV72" s="230">
        <v>0</v>
      </c>
      <c r="AW72" s="231">
        <f t="shared" si="95"/>
        <v>0</v>
      </c>
      <c r="AX72" s="231">
        <v>0</v>
      </c>
      <c r="AY72" s="231">
        <f t="shared" si="96"/>
        <v>0</v>
      </c>
      <c r="AZ72" s="230">
        <v>1</v>
      </c>
      <c r="BA72" s="231">
        <f t="shared" si="97"/>
        <v>200000</v>
      </c>
      <c r="BB72" s="230">
        <v>1</v>
      </c>
      <c r="BC72" s="231">
        <f t="shared" si="116"/>
        <v>200000</v>
      </c>
      <c r="BD72" s="230">
        <v>0</v>
      </c>
      <c r="BE72" s="231">
        <f t="shared" si="132"/>
        <v>0</v>
      </c>
      <c r="BF72" s="230">
        <v>0</v>
      </c>
      <c r="BG72" s="231">
        <f t="shared" si="98"/>
        <v>0</v>
      </c>
      <c r="BH72" s="230"/>
      <c r="BI72" s="231">
        <f t="shared" si="99"/>
        <v>0</v>
      </c>
      <c r="BJ72" s="230">
        <f t="shared" si="100"/>
        <v>3</v>
      </c>
      <c r="BK72" s="230">
        <f t="shared" si="101"/>
        <v>600000</v>
      </c>
      <c r="BL72" s="553" t="s">
        <v>277</v>
      </c>
      <c r="BM72" s="535"/>
      <c r="BN72" s="441">
        <f t="shared" si="133"/>
        <v>600000</v>
      </c>
      <c r="BO72" s="283"/>
      <c r="BP72" s="283"/>
      <c r="BQ72" s="283"/>
      <c r="BR72" s="225">
        <f t="shared" si="137"/>
        <v>600000</v>
      </c>
      <c r="BS72" s="283"/>
      <c r="BT72" s="283"/>
      <c r="BU72" s="225"/>
      <c r="BV72" s="530">
        <f t="shared" si="135"/>
        <v>600000</v>
      </c>
    </row>
    <row r="73" spans="1:74" s="237" customFormat="1" x14ac:dyDescent="0.25">
      <c r="A73" s="756"/>
      <c r="B73" s="181"/>
      <c r="C73" s="169" t="s">
        <v>581</v>
      </c>
      <c r="D73" s="169" t="s">
        <v>239</v>
      </c>
      <c r="E73" s="208">
        <v>180000</v>
      </c>
      <c r="F73" s="194">
        <f t="shared" si="123"/>
        <v>30</v>
      </c>
      <c r="G73" s="441">
        <f>BK73</f>
        <v>5400000</v>
      </c>
      <c r="H73" s="441"/>
      <c r="I73" s="441"/>
      <c r="J73" s="534"/>
      <c r="K73" s="534"/>
      <c r="L73" s="534"/>
      <c r="M73" s="534">
        <f t="shared" si="134"/>
        <v>5400000</v>
      </c>
      <c r="N73" s="441"/>
      <c r="O73" s="441"/>
      <c r="P73" s="441"/>
      <c r="Q73" s="441"/>
      <c r="R73" s="230">
        <f t="shared" si="124"/>
        <v>10.5</v>
      </c>
      <c r="S73" s="230">
        <f t="shared" si="125"/>
        <v>3</v>
      </c>
      <c r="T73" s="230">
        <f t="shared" si="126"/>
        <v>4.5</v>
      </c>
      <c r="U73" s="230">
        <f t="shared" si="127"/>
        <v>12</v>
      </c>
      <c r="V73" s="231">
        <f>G73*0.25</f>
        <v>1350000</v>
      </c>
      <c r="W73" s="231">
        <f>G73:G73*0.5</f>
        <v>2700000</v>
      </c>
      <c r="X73" s="231">
        <f>G73*0.25</f>
        <v>1350000</v>
      </c>
      <c r="Y73" s="231">
        <f>G73*0</f>
        <v>0</v>
      </c>
      <c r="Z73" s="230">
        <v>7</v>
      </c>
      <c r="AA73" s="231">
        <f t="shared" si="119"/>
        <v>1260000</v>
      </c>
      <c r="AB73" s="230">
        <v>0</v>
      </c>
      <c r="AC73" s="231">
        <f t="shared" si="87"/>
        <v>0</v>
      </c>
      <c r="AD73" s="230">
        <v>0</v>
      </c>
      <c r="AE73" s="231">
        <f t="shared" si="88"/>
        <v>0</v>
      </c>
      <c r="AF73" s="230">
        <v>0</v>
      </c>
      <c r="AG73" s="231">
        <f t="shared" si="89"/>
        <v>0</v>
      </c>
      <c r="AH73" s="230">
        <v>0</v>
      </c>
      <c r="AI73" s="231">
        <f t="shared" si="90"/>
        <v>0</v>
      </c>
      <c r="AJ73" s="230">
        <v>1</v>
      </c>
      <c r="AK73" s="231">
        <f t="shared" si="115"/>
        <v>180000</v>
      </c>
      <c r="AL73" s="230">
        <v>0</v>
      </c>
      <c r="AM73" s="231">
        <f t="shared" si="118"/>
        <v>0</v>
      </c>
      <c r="AN73" s="230">
        <v>4</v>
      </c>
      <c r="AO73" s="231">
        <f t="shared" si="131"/>
        <v>720000</v>
      </c>
      <c r="AP73" s="230">
        <v>0</v>
      </c>
      <c r="AQ73" s="231">
        <f t="shared" si="92"/>
        <v>0</v>
      </c>
      <c r="AR73" s="230">
        <v>10</v>
      </c>
      <c r="AS73" s="231">
        <f t="shared" si="93"/>
        <v>1800000</v>
      </c>
      <c r="AT73" s="230">
        <v>0</v>
      </c>
      <c r="AU73" s="231">
        <f t="shared" si="94"/>
        <v>0</v>
      </c>
      <c r="AV73" s="230">
        <v>5</v>
      </c>
      <c r="AW73" s="231">
        <f t="shared" si="95"/>
        <v>900000</v>
      </c>
      <c r="AX73" s="231">
        <v>0</v>
      </c>
      <c r="AY73" s="231">
        <f t="shared" si="96"/>
        <v>0</v>
      </c>
      <c r="AZ73" s="230">
        <v>1</v>
      </c>
      <c r="BA73" s="231">
        <f t="shared" si="97"/>
        <v>180000</v>
      </c>
      <c r="BB73" s="230">
        <v>2</v>
      </c>
      <c r="BC73" s="231">
        <f>BB73*E73</f>
        <v>360000</v>
      </c>
      <c r="BD73" s="230">
        <v>0</v>
      </c>
      <c r="BE73" s="231">
        <f t="shared" si="132"/>
        <v>0</v>
      </c>
      <c r="BF73" s="230">
        <v>0</v>
      </c>
      <c r="BG73" s="231">
        <f t="shared" si="98"/>
        <v>0</v>
      </c>
      <c r="BH73" s="230"/>
      <c r="BI73" s="231">
        <f t="shared" si="99"/>
        <v>0</v>
      </c>
      <c r="BJ73" s="230">
        <f>BH73+BF73+BD73+BB73+AZ73+AX73+AV73+AT73+AR73+AP73+AN73+AL73+AJ73+AH73+AF73+AD73+AB73+Z73</f>
        <v>30</v>
      </c>
      <c r="BK73" s="230">
        <f t="shared" si="101"/>
        <v>5400000</v>
      </c>
      <c r="BL73" s="553" t="s">
        <v>277</v>
      </c>
      <c r="BM73" s="535"/>
      <c r="BN73" s="441">
        <f t="shared" si="133"/>
        <v>5400000</v>
      </c>
      <c r="BO73" s="283"/>
      <c r="BP73" s="283"/>
      <c r="BQ73" s="283"/>
      <c r="BR73" s="225">
        <f t="shared" si="137"/>
        <v>5400000</v>
      </c>
      <c r="BS73" s="283"/>
      <c r="BT73" s="283"/>
      <c r="BU73" s="225"/>
      <c r="BV73" s="530">
        <f t="shared" si="135"/>
        <v>5400000</v>
      </c>
    </row>
    <row r="74" spans="1:74" s="237" customFormat="1" x14ac:dyDescent="0.25">
      <c r="A74" s="756"/>
      <c r="B74" s="181"/>
      <c r="C74" s="169" t="s">
        <v>536</v>
      </c>
      <c r="D74" s="169" t="s">
        <v>588</v>
      </c>
      <c r="E74" s="208">
        <v>15000</v>
      </c>
      <c r="F74" s="194">
        <f t="shared" si="123"/>
        <v>75</v>
      </c>
      <c r="G74" s="441">
        <f>F74*E74</f>
        <v>1125000</v>
      </c>
      <c r="H74" s="441"/>
      <c r="I74" s="441"/>
      <c r="J74" s="534"/>
      <c r="K74" s="534"/>
      <c r="L74" s="534">
        <f>G74*1</f>
        <v>1125000</v>
      </c>
      <c r="M74" s="534"/>
      <c r="N74" s="441"/>
      <c r="O74" s="441"/>
      <c r="P74" s="441"/>
      <c r="Q74" s="441"/>
      <c r="R74" s="230">
        <f t="shared" si="124"/>
        <v>26.25</v>
      </c>
      <c r="S74" s="230">
        <f t="shared" si="125"/>
        <v>7.5</v>
      </c>
      <c r="T74" s="230">
        <f t="shared" si="126"/>
        <v>11.25</v>
      </c>
      <c r="U74" s="230">
        <f t="shared" si="127"/>
        <v>30</v>
      </c>
      <c r="V74" s="231">
        <f t="shared" si="136"/>
        <v>393750</v>
      </c>
      <c r="W74" s="231">
        <f t="shared" si="128"/>
        <v>112500</v>
      </c>
      <c r="X74" s="231">
        <f t="shared" si="129"/>
        <v>168750</v>
      </c>
      <c r="Y74" s="231">
        <f t="shared" si="130"/>
        <v>450000</v>
      </c>
      <c r="Z74" s="230">
        <v>20</v>
      </c>
      <c r="AA74" s="231">
        <f t="shared" si="119"/>
        <v>300000</v>
      </c>
      <c r="AB74" s="230">
        <v>0</v>
      </c>
      <c r="AC74" s="231">
        <f t="shared" si="87"/>
        <v>0</v>
      </c>
      <c r="AD74" s="230">
        <v>0</v>
      </c>
      <c r="AE74" s="231">
        <f t="shared" si="88"/>
        <v>0</v>
      </c>
      <c r="AF74" s="230">
        <v>2</v>
      </c>
      <c r="AG74" s="231">
        <f t="shared" si="89"/>
        <v>30000</v>
      </c>
      <c r="AH74" s="230">
        <v>0</v>
      </c>
      <c r="AI74" s="231">
        <f t="shared" si="90"/>
        <v>0</v>
      </c>
      <c r="AJ74" s="230">
        <v>0</v>
      </c>
      <c r="AK74" s="231">
        <f t="shared" si="115"/>
        <v>0</v>
      </c>
      <c r="AL74" s="230">
        <v>0</v>
      </c>
      <c r="AM74" s="231">
        <f t="shared" si="118"/>
        <v>0</v>
      </c>
      <c r="AN74" s="230">
        <v>3</v>
      </c>
      <c r="AO74" s="231">
        <f t="shared" si="131"/>
        <v>45000</v>
      </c>
      <c r="AP74" s="230">
        <v>0</v>
      </c>
      <c r="AQ74" s="231">
        <f t="shared" si="92"/>
        <v>0</v>
      </c>
      <c r="AR74" s="230">
        <v>30</v>
      </c>
      <c r="AS74" s="231">
        <f t="shared" si="93"/>
        <v>450000</v>
      </c>
      <c r="AT74" s="230">
        <v>0</v>
      </c>
      <c r="AU74" s="231">
        <f t="shared" si="94"/>
        <v>0</v>
      </c>
      <c r="AV74" s="230">
        <v>0</v>
      </c>
      <c r="AW74" s="231">
        <f t="shared" si="95"/>
        <v>0</v>
      </c>
      <c r="AX74" s="231">
        <v>0</v>
      </c>
      <c r="AY74" s="231">
        <f t="shared" si="96"/>
        <v>0</v>
      </c>
      <c r="AZ74" s="230">
        <v>0</v>
      </c>
      <c r="BA74" s="231">
        <f t="shared" si="97"/>
        <v>0</v>
      </c>
      <c r="BB74" s="230">
        <v>20</v>
      </c>
      <c r="BC74" s="231">
        <f>BB74*E74</f>
        <v>300000</v>
      </c>
      <c r="BD74" s="230">
        <v>0</v>
      </c>
      <c r="BE74" s="231">
        <f t="shared" si="132"/>
        <v>0</v>
      </c>
      <c r="BF74" s="230">
        <v>0</v>
      </c>
      <c r="BG74" s="231">
        <f t="shared" si="98"/>
        <v>0</v>
      </c>
      <c r="BH74" s="230"/>
      <c r="BI74" s="231">
        <f t="shared" si="99"/>
        <v>0</v>
      </c>
      <c r="BJ74" s="230">
        <f t="shared" si="100"/>
        <v>75</v>
      </c>
      <c r="BK74" s="230">
        <f t="shared" si="101"/>
        <v>1125000</v>
      </c>
      <c r="BL74" s="553" t="s">
        <v>505</v>
      </c>
      <c r="BM74" s="535"/>
      <c r="BN74" s="441"/>
      <c r="BO74" s="283"/>
      <c r="BP74" s="225">
        <f>BK74</f>
        <v>1125000</v>
      </c>
      <c r="BQ74" s="283"/>
      <c r="BR74" s="225">
        <f t="shared" si="137"/>
        <v>1125000</v>
      </c>
      <c r="BS74" s="283"/>
      <c r="BT74" s="283"/>
      <c r="BU74" s="225"/>
      <c r="BV74" s="530">
        <f t="shared" si="135"/>
        <v>1125000</v>
      </c>
    </row>
    <row r="75" spans="1:74" s="237" customFormat="1" x14ac:dyDescent="0.25">
      <c r="A75" s="756"/>
      <c r="B75" s="181"/>
      <c r="C75" s="169" t="s">
        <v>537</v>
      </c>
      <c r="D75" s="169" t="s">
        <v>239</v>
      </c>
      <c r="E75" s="208">
        <v>15000</v>
      </c>
      <c r="F75" s="194">
        <f t="shared" si="123"/>
        <v>18</v>
      </c>
      <c r="G75" s="441">
        <f>F75*E75</f>
        <v>270000</v>
      </c>
      <c r="H75" s="441"/>
      <c r="I75" s="441"/>
      <c r="J75" s="534"/>
      <c r="K75" s="534"/>
      <c r="L75" s="534">
        <f>G75*1</f>
        <v>270000</v>
      </c>
      <c r="M75" s="534"/>
      <c r="N75" s="441"/>
      <c r="O75" s="441"/>
      <c r="P75" s="441"/>
      <c r="Q75" s="441"/>
      <c r="R75" s="230">
        <f t="shared" si="124"/>
        <v>6.3</v>
      </c>
      <c r="S75" s="230">
        <f t="shared" si="125"/>
        <v>1.8</v>
      </c>
      <c r="T75" s="230">
        <f t="shared" si="126"/>
        <v>2.6999999999999997</v>
      </c>
      <c r="U75" s="230">
        <f t="shared" si="127"/>
        <v>7.2</v>
      </c>
      <c r="V75" s="231">
        <f t="shared" si="136"/>
        <v>94500</v>
      </c>
      <c r="W75" s="231">
        <f t="shared" si="128"/>
        <v>27000</v>
      </c>
      <c r="X75" s="231">
        <f t="shared" si="129"/>
        <v>40499.999999999993</v>
      </c>
      <c r="Y75" s="231">
        <f t="shared" si="130"/>
        <v>108000</v>
      </c>
      <c r="Z75" s="230">
        <v>0</v>
      </c>
      <c r="AA75" s="231">
        <f t="shared" si="119"/>
        <v>0</v>
      </c>
      <c r="AB75" s="230">
        <v>0</v>
      </c>
      <c r="AC75" s="231">
        <f t="shared" si="87"/>
        <v>0</v>
      </c>
      <c r="AD75" s="230">
        <v>0</v>
      </c>
      <c r="AE75" s="231">
        <f t="shared" si="88"/>
        <v>0</v>
      </c>
      <c r="AF75" s="230">
        <v>2</v>
      </c>
      <c r="AG75" s="231">
        <f t="shared" si="89"/>
        <v>30000</v>
      </c>
      <c r="AH75" s="230">
        <v>0</v>
      </c>
      <c r="AI75" s="231">
        <f t="shared" si="90"/>
        <v>0</v>
      </c>
      <c r="AJ75" s="230">
        <v>0</v>
      </c>
      <c r="AK75" s="231">
        <f t="shared" si="115"/>
        <v>0</v>
      </c>
      <c r="AL75" s="230">
        <v>0</v>
      </c>
      <c r="AM75" s="231">
        <f t="shared" si="118"/>
        <v>0</v>
      </c>
      <c r="AN75" s="230">
        <v>2</v>
      </c>
      <c r="AO75" s="231">
        <f t="shared" si="131"/>
        <v>30000</v>
      </c>
      <c r="AP75" s="230">
        <v>0</v>
      </c>
      <c r="AQ75" s="231">
        <f t="shared" si="92"/>
        <v>0</v>
      </c>
      <c r="AR75" s="230">
        <v>0</v>
      </c>
      <c r="AS75" s="231">
        <f t="shared" si="93"/>
        <v>0</v>
      </c>
      <c r="AT75" s="230">
        <v>0</v>
      </c>
      <c r="AU75" s="231">
        <f t="shared" si="94"/>
        <v>0</v>
      </c>
      <c r="AV75" s="230">
        <v>2</v>
      </c>
      <c r="AW75" s="231">
        <f t="shared" si="95"/>
        <v>30000</v>
      </c>
      <c r="AX75" s="231">
        <v>0</v>
      </c>
      <c r="AY75" s="231">
        <f t="shared" si="96"/>
        <v>0</v>
      </c>
      <c r="AZ75" s="230">
        <v>2</v>
      </c>
      <c r="BA75" s="231">
        <f t="shared" si="97"/>
        <v>30000</v>
      </c>
      <c r="BB75" s="230">
        <v>10</v>
      </c>
      <c r="BC75" s="231">
        <f>BB75*E75</f>
        <v>150000</v>
      </c>
      <c r="BD75" s="230">
        <v>0</v>
      </c>
      <c r="BE75" s="231">
        <f t="shared" si="132"/>
        <v>0</v>
      </c>
      <c r="BF75" s="230">
        <v>0</v>
      </c>
      <c r="BG75" s="231">
        <f t="shared" si="98"/>
        <v>0</v>
      </c>
      <c r="BH75" s="230"/>
      <c r="BI75" s="231">
        <f t="shared" si="99"/>
        <v>0</v>
      </c>
      <c r="BJ75" s="230">
        <f t="shared" si="100"/>
        <v>18</v>
      </c>
      <c r="BK75" s="230">
        <f t="shared" si="101"/>
        <v>270000</v>
      </c>
      <c r="BL75" s="553" t="s">
        <v>505</v>
      </c>
      <c r="BM75" s="535"/>
      <c r="BN75" s="441"/>
      <c r="BO75" s="283"/>
      <c r="BP75" s="225">
        <f>BK75</f>
        <v>270000</v>
      </c>
      <c r="BQ75" s="283"/>
      <c r="BR75" s="225">
        <f t="shared" si="137"/>
        <v>270000</v>
      </c>
      <c r="BS75" s="283"/>
      <c r="BT75" s="283"/>
      <c r="BU75" s="225"/>
      <c r="BV75" s="530">
        <f t="shared" si="135"/>
        <v>270000</v>
      </c>
    </row>
    <row r="76" spans="1:74" s="237" customFormat="1" x14ac:dyDescent="0.25">
      <c r="A76" s="756"/>
      <c r="B76" s="181"/>
      <c r="C76" s="556" t="s">
        <v>3</v>
      </c>
      <c r="D76" s="169"/>
      <c r="E76" s="208"/>
      <c r="F76" s="184">
        <f t="shared" ref="F76:BK76" si="138">SUM(F54:F75)</f>
        <v>7372</v>
      </c>
      <c r="G76" s="184">
        <f t="shared" si="138"/>
        <v>53800000</v>
      </c>
      <c r="H76" s="184">
        <f t="shared" si="138"/>
        <v>0</v>
      </c>
      <c r="I76" s="184">
        <f t="shared" si="138"/>
        <v>0</v>
      </c>
      <c r="J76" s="211">
        <f t="shared" si="138"/>
        <v>0</v>
      </c>
      <c r="K76" s="211">
        <f t="shared" si="138"/>
        <v>0</v>
      </c>
      <c r="L76" s="211">
        <f t="shared" si="138"/>
        <v>28495000</v>
      </c>
      <c r="M76" s="211">
        <f t="shared" si="138"/>
        <v>25305000</v>
      </c>
      <c r="N76" s="184">
        <f t="shared" si="138"/>
        <v>0</v>
      </c>
      <c r="O76" s="184">
        <f t="shared" si="138"/>
        <v>0</v>
      </c>
      <c r="P76" s="184">
        <f t="shared" si="138"/>
        <v>0</v>
      </c>
      <c r="Q76" s="211">
        <f t="shared" si="138"/>
        <v>0</v>
      </c>
      <c r="R76" s="184">
        <f t="shared" si="138"/>
        <v>2556.0500000000002</v>
      </c>
      <c r="S76" s="184">
        <f t="shared" si="138"/>
        <v>735.69999999999993</v>
      </c>
      <c r="T76" s="184">
        <f t="shared" si="138"/>
        <v>1103.5500000000002</v>
      </c>
      <c r="U76" s="184">
        <f t="shared" si="138"/>
        <v>2942.7999999999997</v>
      </c>
      <c r="V76" s="184">
        <f t="shared" si="138"/>
        <v>13912750</v>
      </c>
      <c r="W76" s="184">
        <f t="shared" si="138"/>
        <v>10740000</v>
      </c>
      <c r="X76" s="184">
        <f t="shared" si="138"/>
        <v>8960000</v>
      </c>
      <c r="Y76" s="184">
        <f t="shared" si="138"/>
        <v>16585000</v>
      </c>
      <c r="Z76" s="184">
        <f t="shared" si="138"/>
        <v>34</v>
      </c>
      <c r="AA76" s="184">
        <f t="shared" si="138"/>
        <v>3210000</v>
      </c>
      <c r="AB76" s="184">
        <f t="shared" si="138"/>
        <v>1009</v>
      </c>
      <c r="AC76" s="184">
        <f t="shared" si="138"/>
        <v>5050000</v>
      </c>
      <c r="AD76" s="184">
        <f t="shared" si="138"/>
        <v>0</v>
      </c>
      <c r="AE76" s="184">
        <f t="shared" si="138"/>
        <v>0</v>
      </c>
      <c r="AF76" s="184">
        <f t="shared" si="138"/>
        <v>526</v>
      </c>
      <c r="AG76" s="184">
        <f t="shared" si="138"/>
        <v>8010000</v>
      </c>
      <c r="AH76" s="184">
        <f t="shared" si="138"/>
        <v>509</v>
      </c>
      <c r="AI76" s="184">
        <f t="shared" si="138"/>
        <v>2250000</v>
      </c>
      <c r="AJ76" s="184">
        <f t="shared" si="138"/>
        <v>1005</v>
      </c>
      <c r="AK76" s="184">
        <f t="shared" si="138"/>
        <v>2580000</v>
      </c>
      <c r="AL76" s="184">
        <f t="shared" si="138"/>
        <v>1004</v>
      </c>
      <c r="AM76" s="184">
        <f t="shared" si="138"/>
        <v>2300000</v>
      </c>
      <c r="AN76" s="184">
        <f t="shared" si="138"/>
        <v>1021</v>
      </c>
      <c r="AO76" s="184">
        <f t="shared" si="138"/>
        <v>4045000</v>
      </c>
      <c r="AP76" s="184">
        <f t="shared" si="138"/>
        <v>5</v>
      </c>
      <c r="AQ76" s="184">
        <f t="shared" si="138"/>
        <v>700000</v>
      </c>
      <c r="AR76" s="184">
        <f t="shared" si="138"/>
        <v>555</v>
      </c>
      <c r="AS76" s="184">
        <f t="shared" si="138"/>
        <v>5600000</v>
      </c>
      <c r="AT76" s="184">
        <f t="shared" si="138"/>
        <v>505</v>
      </c>
      <c r="AU76" s="184">
        <f t="shared" si="138"/>
        <v>1250000</v>
      </c>
      <c r="AV76" s="184">
        <f t="shared" si="138"/>
        <v>516</v>
      </c>
      <c r="AW76" s="184">
        <f t="shared" si="138"/>
        <v>4080000</v>
      </c>
      <c r="AX76" s="184">
        <f t="shared" si="138"/>
        <v>513</v>
      </c>
      <c r="AY76" s="184">
        <f t="shared" si="138"/>
        <v>2350000</v>
      </c>
      <c r="AZ76" s="184">
        <f t="shared" si="138"/>
        <v>26</v>
      </c>
      <c r="BA76" s="184">
        <f t="shared" si="138"/>
        <v>5065000</v>
      </c>
      <c r="BB76" s="184">
        <f t="shared" si="138"/>
        <v>144</v>
      </c>
      <c r="BC76" s="184">
        <f t="shared" si="138"/>
        <v>7310000</v>
      </c>
      <c r="BD76" s="184">
        <f t="shared" si="138"/>
        <v>0</v>
      </c>
      <c r="BE76" s="184">
        <f t="shared" si="138"/>
        <v>0</v>
      </c>
      <c r="BF76" s="184">
        <f t="shared" si="138"/>
        <v>0</v>
      </c>
      <c r="BG76" s="184">
        <f t="shared" si="138"/>
        <v>0</v>
      </c>
      <c r="BH76" s="184">
        <f t="shared" si="138"/>
        <v>0</v>
      </c>
      <c r="BI76" s="184">
        <f t="shared" si="138"/>
        <v>0</v>
      </c>
      <c r="BJ76" s="184">
        <f t="shared" si="138"/>
        <v>7372</v>
      </c>
      <c r="BK76" s="184">
        <f t="shared" si="138"/>
        <v>53800000</v>
      </c>
      <c r="BL76" s="184">
        <f t="shared" ref="BL76:BV76" si="139">SUM(BL54:BL75)</f>
        <v>0</v>
      </c>
      <c r="BM76" s="184">
        <f t="shared" si="139"/>
        <v>0</v>
      </c>
      <c r="BN76" s="184">
        <f t="shared" si="139"/>
        <v>43705000</v>
      </c>
      <c r="BO76" s="184">
        <f t="shared" si="139"/>
        <v>0</v>
      </c>
      <c r="BP76" s="184">
        <f t="shared" si="139"/>
        <v>1395000</v>
      </c>
      <c r="BQ76" s="184">
        <f t="shared" si="139"/>
        <v>0</v>
      </c>
      <c r="BR76" s="184">
        <f t="shared" si="139"/>
        <v>45100000</v>
      </c>
      <c r="BS76" s="184">
        <f t="shared" si="139"/>
        <v>0</v>
      </c>
      <c r="BT76" s="184">
        <f t="shared" si="139"/>
        <v>0</v>
      </c>
      <c r="BU76" s="184">
        <f t="shared" si="139"/>
        <v>0</v>
      </c>
      <c r="BV76" s="184">
        <f t="shared" si="139"/>
        <v>45100000</v>
      </c>
    </row>
    <row r="77" spans="1:74" x14ac:dyDescent="0.25">
      <c r="A77" s="756"/>
      <c r="B77" s="181"/>
      <c r="C77" s="207" t="s">
        <v>293</v>
      </c>
      <c r="D77" s="169"/>
      <c r="E77" s="208"/>
      <c r="F77" s="194"/>
      <c r="G77" s="441"/>
      <c r="H77" s="441"/>
      <c r="I77" s="441"/>
      <c r="J77" s="441"/>
      <c r="K77" s="441"/>
      <c r="L77" s="441"/>
      <c r="M77" s="441"/>
      <c r="N77" s="441"/>
      <c r="O77" s="441"/>
      <c r="P77" s="441"/>
      <c r="Q77" s="441"/>
      <c r="R77" s="230"/>
      <c r="S77" s="230"/>
      <c r="T77" s="230"/>
      <c r="U77" s="230"/>
      <c r="V77" s="231"/>
      <c r="W77" s="231"/>
      <c r="X77" s="231"/>
      <c r="Y77" s="231"/>
      <c r="Z77" s="230"/>
      <c r="AA77" s="231">
        <f>Z77*E77</f>
        <v>0</v>
      </c>
      <c r="AB77" s="184"/>
      <c r="AC77" s="231">
        <f t="shared" ref="AC77:AC99" si="140">AB77*E77</f>
        <v>0</v>
      </c>
      <c r="AD77" s="230"/>
      <c r="AE77" s="231">
        <f>AD77*E77</f>
        <v>0</v>
      </c>
      <c r="AF77" s="230"/>
      <c r="AG77" s="231">
        <f>AF77*E77</f>
        <v>0</v>
      </c>
      <c r="AH77" s="230"/>
      <c r="AI77" s="231">
        <f>AH77*E77</f>
        <v>0</v>
      </c>
      <c r="AJ77" s="230"/>
      <c r="AK77" s="231"/>
      <c r="AL77" s="230"/>
      <c r="AM77" s="231"/>
      <c r="AN77" s="230"/>
      <c r="AO77" s="231"/>
      <c r="AP77" s="230"/>
      <c r="AQ77" s="231"/>
      <c r="AR77" s="230"/>
      <c r="AS77" s="231"/>
      <c r="AT77" s="230"/>
      <c r="AU77" s="231"/>
      <c r="AV77" s="230"/>
      <c r="AW77" s="231"/>
      <c r="AX77" s="231"/>
      <c r="AY77" s="231"/>
      <c r="AZ77" s="230"/>
      <c r="BA77" s="231"/>
      <c r="BB77" s="230"/>
      <c r="BC77" s="231"/>
      <c r="BD77" s="230"/>
      <c r="BE77" s="231"/>
      <c r="BF77" s="230"/>
      <c r="BG77" s="231"/>
      <c r="BH77" s="230"/>
      <c r="BI77" s="231"/>
      <c r="BJ77" s="230"/>
      <c r="BK77" s="230"/>
      <c r="BL77" s="553"/>
      <c r="BM77" s="535"/>
      <c r="BN77" s="441"/>
      <c r="BO77" s="225"/>
      <c r="BP77" s="225"/>
      <c r="BQ77" s="225"/>
      <c r="BR77" s="225"/>
      <c r="BS77" s="225"/>
      <c r="BT77" s="225"/>
      <c r="BU77" s="225"/>
      <c r="BV77" s="530"/>
    </row>
    <row r="78" spans="1:74" x14ac:dyDescent="0.25">
      <c r="A78" s="756"/>
      <c r="B78" s="181"/>
      <c r="C78" s="169" t="s">
        <v>241</v>
      </c>
      <c r="D78" s="169" t="s">
        <v>75</v>
      </c>
      <c r="E78" s="208">
        <v>278600</v>
      </c>
      <c r="F78" s="194">
        <f>BJ78</f>
        <v>225</v>
      </c>
      <c r="G78" s="441">
        <f>BK78</f>
        <v>35871732</v>
      </c>
      <c r="H78" s="441"/>
      <c r="I78" s="441"/>
      <c r="J78" s="441"/>
      <c r="K78" s="441"/>
      <c r="L78" s="441"/>
      <c r="M78" s="441">
        <f t="shared" ref="M78:M90" si="141">G78</f>
        <v>35871732</v>
      </c>
      <c r="N78" s="441"/>
      <c r="O78" s="441"/>
      <c r="P78" s="441"/>
      <c r="Q78" s="441"/>
      <c r="R78" s="230">
        <f t="shared" ref="R78:R86" si="142">F78*0.35</f>
        <v>78.75</v>
      </c>
      <c r="S78" s="230">
        <f t="shared" ref="S78:S86" si="143">F78*0.65</f>
        <v>146.25</v>
      </c>
      <c r="T78" s="230"/>
      <c r="U78" s="230"/>
      <c r="V78" s="231">
        <f>G78*0.25</f>
        <v>8967933</v>
      </c>
      <c r="W78" s="231">
        <f>G78:G78*0.5</f>
        <v>17935866</v>
      </c>
      <c r="X78" s="231">
        <f>G78*0.25</f>
        <v>8967933</v>
      </c>
      <c r="Y78" s="231">
        <f t="shared" ref="Y78:Y99" si="144">U78*E78</f>
        <v>0</v>
      </c>
      <c r="Z78" s="230">
        <v>0</v>
      </c>
      <c r="AA78" s="231">
        <f>Z78*E78</f>
        <v>0</v>
      </c>
      <c r="AB78" s="194">
        <v>15</v>
      </c>
      <c r="AC78" s="231">
        <f>AB78*E78-1000000</f>
        <v>3179000</v>
      </c>
      <c r="AD78" s="230">
        <v>0</v>
      </c>
      <c r="AE78" s="231">
        <f>AD78*E78</f>
        <v>0</v>
      </c>
      <c r="AF78" s="287">
        <v>30</v>
      </c>
      <c r="AG78" s="231">
        <f>AF78*E78-7000000-213268</f>
        <v>1144732</v>
      </c>
      <c r="AH78" s="230">
        <v>20</v>
      </c>
      <c r="AI78" s="231">
        <f>AH78*E78-2000000</f>
        <v>3572000</v>
      </c>
      <c r="AJ78" s="230">
        <v>25</v>
      </c>
      <c r="AK78" s="231">
        <f>AJ78*E78-2000000</f>
        <v>4965000</v>
      </c>
      <c r="AL78" s="230">
        <v>0</v>
      </c>
      <c r="AM78" s="231">
        <f>AL78*E78</f>
        <v>0</v>
      </c>
      <c r="AN78" s="230">
        <v>20</v>
      </c>
      <c r="AO78" s="231">
        <f>AN78*E78-2000000</f>
        <v>3572000</v>
      </c>
      <c r="AP78" s="230">
        <v>0</v>
      </c>
      <c r="AQ78" s="231">
        <v>0</v>
      </c>
      <c r="AR78" s="230">
        <v>60</v>
      </c>
      <c r="AS78" s="231">
        <f>AR78*E78-8000000</f>
        <v>8716000</v>
      </c>
      <c r="AT78" s="231">
        <v>20</v>
      </c>
      <c r="AU78" s="231">
        <f>AT78*E78-2000000</f>
        <v>3572000</v>
      </c>
      <c r="AV78" s="230">
        <v>10</v>
      </c>
      <c r="AW78" s="231">
        <f>AV78*E78-800000</f>
        <v>1986000</v>
      </c>
      <c r="AX78" s="231">
        <v>0</v>
      </c>
      <c r="AY78" s="231">
        <f>AX78*E78</f>
        <v>0</v>
      </c>
      <c r="AZ78" s="230">
        <v>0</v>
      </c>
      <c r="BA78" s="231">
        <f>AZ78*E78</f>
        <v>0</v>
      </c>
      <c r="BB78" s="230">
        <v>10</v>
      </c>
      <c r="BC78" s="231">
        <f>BB78*E78-1000000</f>
        <v>1786000</v>
      </c>
      <c r="BD78" s="230">
        <v>5</v>
      </c>
      <c r="BE78" s="231">
        <f t="shared" ref="BE78:BE90" si="145">BD78*E78</f>
        <v>1393000</v>
      </c>
      <c r="BF78" s="230">
        <v>10</v>
      </c>
      <c r="BG78" s="231">
        <f>BF78*E78-800000</f>
        <v>1986000</v>
      </c>
      <c r="BH78" s="230"/>
      <c r="BI78" s="231">
        <f t="shared" ref="BI78:BI99" si="146">BH78*E78</f>
        <v>0</v>
      </c>
      <c r="BJ78" s="230">
        <f t="shared" ref="BJ78:BK93" si="147">BH78+BF78+BD78+BB78+AZ78+AX78+AV78+AT78+AR78+AP78+AN78+AL78+AJ78+AH78+AF78+AD78+AB78+Z78</f>
        <v>225</v>
      </c>
      <c r="BK78" s="230">
        <f t="shared" si="147"/>
        <v>35871732</v>
      </c>
      <c r="BL78" s="543" t="s">
        <v>296</v>
      </c>
      <c r="BM78" s="535"/>
      <c r="BN78" s="441"/>
      <c r="BO78" s="225"/>
      <c r="BP78" s="441">
        <f t="shared" ref="BP78:BP99" si="148">G78</f>
        <v>35871732</v>
      </c>
      <c r="BQ78" s="225"/>
      <c r="BR78" s="225">
        <f>BN78+BO78+BP78+BQ78</f>
        <v>35871732</v>
      </c>
      <c r="BS78" s="225"/>
      <c r="BT78" s="225"/>
      <c r="BU78" s="225"/>
      <c r="BV78" s="530">
        <f>BR78+BU78</f>
        <v>35871732</v>
      </c>
    </row>
    <row r="79" spans="1:74" ht="21.75" customHeight="1" x14ac:dyDescent="0.25">
      <c r="A79" s="756"/>
      <c r="B79" s="181"/>
      <c r="C79" s="169" t="s">
        <v>497</v>
      </c>
      <c r="D79" s="169" t="s">
        <v>75</v>
      </c>
      <c r="E79" s="208">
        <v>109000</v>
      </c>
      <c r="F79" s="194">
        <f t="shared" ref="F79:G94" si="149">BJ79</f>
        <v>128.5</v>
      </c>
      <c r="G79" s="194">
        <f t="shared" si="149"/>
        <v>11306500</v>
      </c>
      <c r="H79" s="441"/>
      <c r="I79" s="441"/>
      <c r="J79" s="441"/>
      <c r="K79" s="441"/>
      <c r="L79" s="441"/>
      <c r="M79" s="441">
        <f t="shared" si="141"/>
        <v>11306500</v>
      </c>
      <c r="N79" s="441"/>
      <c r="O79" s="441"/>
      <c r="P79" s="441"/>
      <c r="Q79" s="441"/>
      <c r="R79" s="230">
        <f t="shared" si="142"/>
        <v>44.974999999999994</v>
      </c>
      <c r="S79" s="230">
        <f t="shared" si="143"/>
        <v>83.525000000000006</v>
      </c>
      <c r="T79" s="230"/>
      <c r="U79" s="230"/>
      <c r="V79" s="231">
        <f t="shared" ref="V79:V99" si="150">R79*E79</f>
        <v>4902274.9999999991</v>
      </c>
      <c r="W79" s="231">
        <f t="shared" ref="W79:W99" si="151">S79*E79</f>
        <v>9104225</v>
      </c>
      <c r="X79" s="231">
        <f t="shared" ref="X79:X99" si="152">T79*E79</f>
        <v>0</v>
      </c>
      <c r="Y79" s="231">
        <f t="shared" si="144"/>
        <v>0</v>
      </c>
      <c r="Z79" s="230">
        <v>10</v>
      </c>
      <c r="AA79" s="231">
        <f>Z79*E79-200000</f>
        <v>890000</v>
      </c>
      <c r="AB79" s="194">
        <v>6</v>
      </c>
      <c r="AC79" s="231">
        <f>AB79*E79-500000</f>
        <v>154000</v>
      </c>
      <c r="AD79" s="230">
        <v>0</v>
      </c>
      <c r="AE79" s="231">
        <f>AD79*E79</f>
        <v>0</v>
      </c>
      <c r="AF79" s="230">
        <v>40</v>
      </c>
      <c r="AG79" s="231">
        <f>AF79*E79-1000000</f>
        <v>3360000</v>
      </c>
      <c r="AH79" s="230">
        <v>0</v>
      </c>
      <c r="AI79" s="231">
        <f t="shared" ref="AI79:AI90" si="153">AH79*E79</f>
        <v>0</v>
      </c>
      <c r="AJ79" s="230">
        <v>0</v>
      </c>
      <c r="AK79" s="231">
        <f>AJ79*E79</f>
        <v>0</v>
      </c>
      <c r="AL79" s="230">
        <v>15</v>
      </c>
      <c r="AM79" s="231">
        <f>AL79*E79-400000</f>
        <v>1235000</v>
      </c>
      <c r="AN79" s="230">
        <v>0</v>
      </c>
      <c r="AO79" s="231">
        <f t="shared" ref="AO79:AO99" si="154">AN79*E79</f>
        <v>0</v>
      </c>
      <c r="AP79" s="230"/>
      <c r="AQ79" s="231">
        <v>0</v>
      </c>
      <c r="AR79" s="230">
        <v>30</v>
      </c>
      <c r="AS79" s="231">
        <f>AR79*E79-400000</f>
        <v>2870000</v>
      </c>
      <c r="AT79" s="230"/>
      <c r="AU79" s="231">
        <f t="shared" ref="AU79:AU99" si="155">AT79*E79</f>
        <v>0</v>
      </c>
      <c r="AV79" s="230">
        <v>8</v>
      </c>
      <c r="AW79" s="231">
        <f>AV79*E79-200000</f>
        <v>672000</v>
      </c>
      <c r="AX79" s="231">
        <v>9.5</v>
      </c>
      <c r="AY79" s="231">
        <f t="shared" ref="AY79:AY90" si="156">AX79*E79</f>
        <v>1035500</v>
      </c>
      <c r="AZ79" s="230">
        <v>0</v>
      </c>
      <c r="BA79" s="231">
        <f>AZ79*E79</f>
        <v>0</v>
      </c>
      <c r="BB79" s="230">
        <v>0</v>
      </c>
      <c r="BC79" s="231">
        <f t="shared" ref="BC79:BC90" si="157">BB79*E79</f>
        <v>0</v>
      </c>
      <c r="BD79" s="230">
        <v>0</v>
      </c>
      <c r="BE79" s="231">
        <f t="shared" si="145"/>
        <v>0</v>
      </c>
      <c r="BF79" s="230">
        <v>10</v>
      </c>
      <c r="BG79" s="231">
        <f t="shared" ref="BG79:BG90" si="158">BF79*E79</f>
        <v>1090000</v>
      </c>
      <c r="BH79" s="230"/>
      <c r="BI79" s="231">
        <f t="shared" si="146"/>
        <v>0</v>
      </c>
      <c r="BJ79" s="230">
        <f t="shared" si="147"/>
        <v>128.5</v>
      </c>
      <c r="BK79" s="230">
        <f t="shared" si="147"/>
        <v>11306500</v>
      </c>
      <c r="BL79" s="543" t="s">
        <v>296</v>
      </c>
      <c r="BM79" s="535"/>
      <c r="BN79" s="441"/>
      <c r="BO79" s="225"/>
      <c r="BP79" s="441">
        <f t="shared" si="148"/>
        <v>11306500</v>
      </c>
      <c r="BQ79" s="225"/>
      <c r="BR79" s="225">
        <f t="shared" ref="BR79:BR85" si="159">BN79+BO79+BP79+BQ79</f>
        <v>11306500</v>
      </c>
      <c r="BS79" s="225"/>
      <c r="BT79" s="225"/>
      <c r="BU79" s="225"/>
      <c r="BV79" s="530">
        <f t="shared" ref="BV79:BV84" si="160">BR79+BU79</f>
        <v>11306500</v>
      </c>
    </row>
    <row r="80" spans="1:74" x14ac:dyDescent="0.25">
      <c r="A80" s="756"/>
      <c r="B80" s="181"/>
      <c r="C80" s="169" t="s">
        <v>498</v>
      </c>
      <c r="D80" s="169" t="s">
        <v>75</v>
      </c>
      <c r="E80" s="208">
        <v>90000</v>
      </c>
      <c r="F80" s="194">
        <f t="shared" si="149"/>
        <v>48</v>
      </c>
      <c r="G80" s="194">
        <f t="shared" si="149"/>
        <v>3620000</v>
      </c>
      <c r="H80" s="441"/>
      <c r="I80" s="441"/>
      <c r="J80" s="441"/>
      <c r="K80" s="441"/>
      <c r="L80" s="441"/>
      <c r="M80" s="441">
        <f t="shared" si="141"/>
        <v>3620000</v>
      </c>
      <c r="N80" s="441"/>
      <c r="O80" s="441"/>
      <c r="P80" s="441"/>
      <c r="Q80" s="441"/>
      <c r="R80" s="230">
        <f t="shared" si="142"/>
        <v>16.799999999999997</v>
      </c>
      <c r="S80" s="230">
        <f t="shared" si="143"/>
        <v>31.200000000000003</v>
      </c>
      <c r="T80" s="230"/>
      <c r="U80" s="230"/>
      <c r="V80" s="231">
        <f t="shared" si="150"/>
        <v>1511999.9999999998</v>
      </c>
      <c r="W80" s="231">
        <f t="shared" si="151"/>
        <v>2808000.0000000005</v>
      </c>
      <c r="X80" s="231">
        <f t="shared" si="152"/>
        <v>0</v>
      </c>
      <c r="Y80" s="231">
        <f t="shared" si="144"/>
        <v>0</v>
      </c>
      <c r="Z80" s="230">
        <v>0</v>
      </c>
      <c r="AA80" s="231">
        <f t="shared" ref="AA80:AA90" si="161">Z80*E80</f>
        <v>0</v>
      </c>
      <c r="AB80" s="194">
        <v>0</v>
      </c>
      <c r="AC80" s="231">
        <f t="shared" si="140"/>
        <v>0</v>
      </c>
      <c r="AD80" s="230">
        <v>0</v>
      </c>
      <c r="AE80" s="231">
        <f t="shared" ref="AE80:AE90" si="162">AD80*E80</f>
        <v>0</v>
      </c>
      <c r="AF80" s="230">
        <v>10</v>
      </c>
      <c r="AG80" s="231">
        <f t="shared" ref="AG80:AG90" si="163">AF80*E80</f>
        <v>900000</v>
      </c>
      <c r="AH80" s="230">
        <v>0</v>
      </c>
      <c r="AI80" s="231">
        <f t="shared" si="153"/>
        <v>0</v>
      </c>
      <c r="AJ80" s="230">
        <v>0</v>
      </c>
      <c r="AK80" s="231">
        <f t="shared" ref="AK80:AK90" si="164">AJ80*E80</f>
        <v>0</v>
      </c>
      <c r="AL80" s="230">
        <v>0</v>
      </c>
      <c r="AM80" s="231">
        <f t="shared" ref="AM80:AM99" si="165">AL80*E80</f>
        <v>0</v>
      </c>
      <c r="AN80" s="230">
        <v>0</v>
      </c>
      <c r="AO80" s="231">
        <f t="shared" si="154"/>
        <v>0</v>
      </c>
      <c r="AP80" s="230"/>
      <c r="AQ80" s="231">
        <f t="shared" ref="AQ80:AQ99" si="166">AP80*E80</f>
        <v>0</v>
      </c>
      <c r="AR80" s="287">
        <v>20</v>
      </c>
      <c r="AS80" s="231">
        <f>AR80*E80-400000</f>
        <v>1400000</v>
      </c>
      <c r="AT80" s="230"/>
      <c r="AU80" s="231">
        <f t="shared" si="155"/>
        <v>0</v>
      </c>
      <c r="AV80" s="230">
        <v>5</v>
      </c>
      <c r="AW80" s="231">
        <f t="shared" ref="AW80:AW99" si="167">AV80*E80</f>
        <v>450000</v>
      </c>
      <c r="AX80" s="231">
        <v>0</v>
      </c>
      <c r="AY80" s="231">
        <f t="shared" si="156"/>
        <v>0</v>
      </c>
      <c r="AZ80" s="230">
        <v>0</v>
      </c>
      <c r="BA80" s="231">
        <f>AZ80*E80</f>
        <v>0</v>
      </c>
      <c r="BB80" s="230">
        <v>0</v>
      </c>
      <c r="BC80" s="231">
        <f t="shared" si="157"/>
        <v>0</v>
      </c>
      <c r="BD80" s="230">
        <v>0</v>
      </c>
      <c r="BE80" s="231">
        <f t="shared" si="145"/>
        <v>0</v>
      </c>
      <c r="BF80" s="230">
        <v>13</v>
      </c>
      <c r="BG80" s="231">
        <f>BF80*E80-300000</f>
        <v>870000</v>
      </c>
      <c r="BH80" s="230"/>
      <c r="BI80" s="231">
        <f t="shared" si="146"/>
        <v>0</v>
      </c>
      <c r="BJ80" s="230">
        <f t="shared" si="147"/>
        <v>48</v>
      </c>
      <c r="BK80" s="230">
        <f t="shared" si="147"/>
        <v>3620000</v>
      </c>
      <c r="BL80" s="543" t="s">
        <v>296</v>
      </c>
      <c r="BM80" s="535"/>
      <c r="BN80" s="441"/>
      <c r="BO80" s="225"/>
      <c r="BP80" s="441">
        <f t="shared" si="148"/>
        <v>3620000</v>
      </c>
      <c r="BQ80" s="225"/>
      <c r="BR80" s="225">
        <f t="shared" si="159"/>
        <v>3620000</v>
      </c>
      <c r="BS80" s="225"/>
      <c r="BT80" s="225"/>
      <c r="BU80" s="225"/>
      <c r="BV80" s="530">
        <f t="shared" si="160"/>
        <v>3620000</v>
      </c>
    </row>
    <row r="81" spans="1:74" ht="18.2" customHeight="1" x14ac:dyDescent="0.25">
      <c r="A81" s="756"/>
      <c r="B81" s="181"/>
      <c r="C81" s="169" t="s">
        <v>280</v>
      </c>
      <c r="D81" s="169" t="s">
        <v>75</v>
      </c>
      <c r="E81" s="208">
        <v>187300</v>
      </c>
      <c r="F81" s="194">
        <f t="shared" si="149"/>
        <v>388</v>
      </c>
      <c r="G81" s="441">
        <f>BK81</f>
        <v>54222400</v>
      </c>
      <c r="H81" s="441"/>
      <c r="I81" s="441"/>
      <c r="J81" s="441"/>
      <c r="K81" s="441"/>
      <c r="L81" s="441"/>
      <c r="M81" s="441">
        <f t="shared" si="141"/>
        <v>54222400</v>
      </c>
      <c r="N81" s="441"/>
      <c r="O81" s="441"/>
      <c r="P81" s="441"/>
      <c r="Q81" s="441"/>
      <c r="R81" s="230">
        <f t="shared" si="142"/>
        <v>135.79999999999998</v>
      </c>
      <c r="S81" s="230">
        <f t="shared" si="143"/>
        <v>252.20000000000002</v>
      </c>
      <c r="T81" s="230"/>
      <c r="U81" s="230"/>
      <c r="V81" s="231">
        <f>G81*0.25</f>
        <v>13555600</v>
      </c>
      <c r="W81" s="231">
        <f>G81:G81*0.5</f>
        <v>27111200</v>
      </c>
      <c r="X81" s="231">
        <f>G81*0.25</f>
        <v>13555600</v>
      </c>
      <c r="Y81" s="231">
        <f>U81*E81</f>
        <v>0</v>
      </c>
      <c r="Z81" s="230">
        <v>60</v>
      </c>
      <c r="AA81" s="231">
        <f>Z81*E81-3000000</f>
        <v>8238000</v>
      </c>
      <c r="AB81" s="194">
        <v>5</v>
      </c>
      <c r="AC81" s="231">
        <f>AB81*E81-200000</f>
        <v>736500</v>
      </c>
      <c r="AD81" s="230">
        <v>30</v>
      </c>
      <c r="AE81" s="231">
        <f>AD81*E81-3000000</f>
        <v>2619000</v>
      </c>
      <c r="AF81" s="287">
        <v>40</v>
      </c>
      <c r="AG81" s="231">
        <f>AF81*E81-4000000</f>
        <v>3492000</v>
      </c>
      <c r="AH81" s="230">
        <v>0</v>
      </c>
      <c r="AI81" s="231">
        <f t="shared" si="153"/>
        <v>0</v>
      </c>
      <c r="AJ81" s="230">
        <v>10</v>
      </c>
      <c r="AK81" s="231">
        <f>AJ81*E81</f>
        <v>1873000</v>
      </c>
      <c r="AL81" s="230">
        <v>0</v>
      </c>
      <c r="AM81" s="231">
        <f t="shared" si="165"/>
        <v>0</v>
      </c>
      <c r="AN81" s="230">
        <v>40</v>
      </c>
      <c r="AO81" s="231">
        <f>AN81*E81-2000000</f>
        <v>5492000</v>
      </c>
      <c r="AP81" s="230">
        <v>20</v>
      </c>
      <c r="AQ81" s="231">
        <f>AP81*E81</f>
        <v>3746000</v>
      </c>
      <c r="AR81" s="230">
        <v>50</v>
      </c>
      <c r="AS81" s="231">
        <f>AR81*E81-700000</f>
        <v>8665000</v>
      </c>
      <c r="AT81" s="231">
        <v>13</v>
      </c>
      <c r="AU81" s="231">
        <f>AT81*E81-800000</f>
        <v>1634900</v>
      </c>
      <c r="AV81" s="230">
        <v>10</v>
      </c>
      <c r="AW81" s="231">
        <f>AV81*E81-600000</f>
        <v>1273000</v>
      </c>
      <c r="AX81" s="231">
        <v>20</v>
      </c>
      <c r="AY81" s="231">
        <f>AX81*E81-150000</f>
        <v>3596000</v>
      </c>
      <c r="AZ81" s="230">
        <v>50</v>
      </c>
      <c r="BA81" s="231">
        <f>AZ81*E81-2000000</f>
        <v>7365000</v>
      </c>
      <c r="BB81" s="230">
        <v>30</v>
      </c>
      <c r="BC81" s="231">
        <f>BB81*E81-2000000</f>
        <v>3619000</v>
      </c>
      <c r="BD81" s="230">
        <v>5</v>
      </c>
      <c r="BE81" s="231">
        <f t="shared" si="145"/>
        <v>936500</v>
      </c>
      <c r="BF81" s="230">
        <v>5</v>
      </c>
      <c r="BG81" s="231">
        <f>BF81*E81</f>
        <v>936500</v>
      </c>
      <c r="BH81" s="230"/>
      <c r="BI81" s="231">
        <f t="shared" si="146"/>
        <v>0</v>
      </c>
      <c r="BJ81" s="230">
        <f t="shared" si="147"/>
        <v>388</v>
      </c>
      <c r="BK81" s="230">
        <f t="shared" si="147"/>
        <v>54222400</v>
      </c>
      <c r="BL81" s="543" t="s">
        <v>296</v>
      </c>
      <c r="BM81" s="535"/>
      <c r="BN81" s="441"/>
      <c r="BO81" s="225"/>
      <c r="BP81" s="441">
        <f t="shared" si="148"/>
        <v>54222400</v>
      </c>
      <c r="BQ81" s="225"/>
      <c r="BR81" s="225">
        <f t="shared" si="159"/>
        <v>54222400</v>
      </c>
      <c r="BS81" s="225"/>
      <c r="BT81" s="225"/>
      <c r="BU81" s="225"/>
      <c r="BV81" s="530">
        <f t="shared" si="160"/>
        <v>54222400</v>
      </c>
    </row>
    <row r="82" spans="1:74" ht="31.5" customHeight="1" x14ac:dyDescent="0.25">
      <c r="A82" s="756"/>
      <c r="B82" s="181"/>
      <c r="C82" s="169" t="s">
        <v>499</v>
      </c>
      <c r="D82" s="169" t="s">
        <v>75</v>
      </c>
      <c r="E82" s="208">
        <v>73200</v>
      </c>
      <c r="F82" s="194">
        <f t="shared" si="149"/>
        <v>221</v>
      </c>
      <c r="G82" s="194">
        <f t="shared" si="149"/>
        <v>10677200</v>
      </c>
      <c r="H82" s="441"/>
      <c r="I82" s="441"/>
      <c r="J82" s="441"/>
      <c r="K82" s="441"/>
      <c r="L82" s="441"/>
      <c r="M82" s="441">
        <f t="shared" si="141"/>
        <v>10677200</v>
      </c>
      <c r="N82" s="441"/>
      <c r="O82" s="441"/>
      <c r="P82" s="441"/>
      <c r="Q82" s="441"/>
      <c r="R82" s="230">
        <f t="shared" si="142"/>
        <v>77.349999999999994</v>
      </c>
      <c r="S82" s="230">
        <f t="shared" si="143"/>
        <v>143.65</v>
      </c>
      <c r="T82" s="230"/>
      <c r="U82" s="230"/>
      <c r="V82" s="231">
        <f t="shared" si="150"/>
        <v>5662020</v>
      </c>
      <c r="W82" s="231">
        <f t="shared" si="151"/>
        <v>10515180</v>
      </c>
      <c r="X82" s="231">
        <f t="shared" si="152"/>
        <v>0</v>
      </c>
      <c r="Y82" s="231">
        <f t="shared" si="144"/>
        <v>0</v>
      </c>
      <c r="Z82" s="230">
        <v>40</v>
      </c>
      <c r="AA82" s="231">
        <f>Z82*E82-1000000</f>
        <v>1928000</v>
      </c>
      <c r="AB82" s="194">
        <v>0</v>
      </c>
      <c r="AC82" s="231">
        <f t="shared" si="140"/>
        <v>0</v>
      </c>
      <c r="AD82" s="230">
        <v>0</v>
      </c>
      <c r="AE82" s="231">
        <f>AD82*E82</f>
        <v>0</v>
      </c>
      <c r="AF82" s="230">
        <v>40</v>
      </c>
      <c r="AG82" s="231">
        <f>AF82*E82-2000000</f>
        <v>928000</v>
      </c>
      <c r="AH82" s="230">
        <v>0</v>
      </c>
      <c r="AI82" s="231">
        <f t="shared" si="153"/>
        <v>0</v>
      </c>
      <c r="AJ82" s="230">
        <v>0</v>
      </c>
      <c r="AK82" s="231">
        <f t="shared" si="164"/>
        <v>0</v>
      </c>
      <c r="AL82" s="230">
        <v>15</v>
      </c>
      <c r="AM82" s="231">
        <f>AL82*E82-500000</f>
        <v>598000</v>
      </c>
      <c r="AN82" s="230">
        <v>50</v>
      </c>
      <c r="AO82" s="231">
        <f>AN82*E82-2000000</f>
        <v>1660000</v>
      </c>
      <c r="AP82" s="230"/>
      <c r="AQ82" s="231">
        <v>0</v>
      </c>
      <c r="AR82" s="230">
        <v>8</v>
      </c>
      <c r="AS82" s="231">
        <f t="shared" ref="AS82:AS99" si="168">AR82*E82</f>
        <v>585600</v>
      </c>
      <c r="AT82" s="230">
        <v>0</v>
      </c>
      <c r="AU82" s="231">
        <f t="shared" si="155"/>
        <v>0</v>
      </c>
      <c r="AV82" s="230">
        <v>8</v>
      </c>
      <c r="AW82" s="231">
        <f t="shared" si="167"/>
        <v>585600</v>
      </c>
      <c r="AX82" s="231">
        <v>10</v>
      </c>
      <c r="AY82" s="231">
        <f t="shared" si="156"/>
        <v>732000</v>
      </c>
      <c r="AZ82" s="230">
        <v>40</v>
      </c>
      <c r="BA82" s="231">
        <f>AZ82*E82</f>
        <v>2928000</v>
      </c>
      <c r="BB82" s="230">
        <v>0</v>
      </c>
      <c r="BC82" s="231">
        <f t="shared" si="157"/>
        <v>0</v>
      </c>
      <c r="BD82" s="230">
        <v>0</v>
      </c>
      <c r="BE82" s="231">
        <f>BD82*E82</f>
        <v>0</v>
      </c>
      <c r="BF82" s="230">
        <v>10</v>
      </c>
      <c r="BG82" s="231">
        <f t="shared" si="158"/>
        <v>732000</v>
      </c>
      <c r="BH82" s="230"/>
      <c r="BI82" s="231">
        <f t="shared" si="146"/>
        <v>0</v>
      </c>
      <c r="BJ82" s="230">
        <f t="shared" si="147"/>
        <v>221</v>
      </c>
      <c r="BK82" s="230">
        <f t="shared" si="147"/>
        <v>10677200</v>
      </c>
      <c r="BL82" s="543" t="s">
        <v>296</v>
      </c>
      <c r="BM82" s="535"/>
      <c r="BN82" s="441"/>
      <c r="BO82" s="225"/>
      <c r="BP82" s="441">
        <f t="shared" si="148"/>
        <v>10677200</v>
      </c>
      <c r="BQ82" s="225"/>
      <c r="BR82" s="225">
        <f t="shared" si="159"/>
        <v>10677200</v>
      </c>
      <c r="BS82" s="225"/>
      <c r="BT82" s="225"/>
      <c r="BU82" s="225"/>
      <c r="BV82" s="530">
        <f t="shared" si="160"/>
        <v>10677200</v>
      </c>
    </row>
    <row r="83" spans="1:74" ht="31.5" customHeight="1" x14ac:dyDescent="0.25">
      <c r="A83" s="756"/>
      <c r="B83" s="181"/>
      <c r="C83" s="169" t="s">
        <v>500</v>
      </c>
      <c r="D83" s="169" t="s">
        <v>75</v>
      </c>
      <c r="E83" s="208">
        <v>50000</v>
      </c>
      <c r="F83" s="194">
        <f t="shared" si="149"/>
        <v>32</v>
      </c>
      <c r="G83" s="194">
        <f>BK83</f>
        <v>1300000</v>
      </c>
      <c r="H83" s="441"/>
      <c r="I83" s="441"/>
      <c r="J83" s="441"/>
      <c r="K83" s="441"/>
      <c r="L83" s="441"/>
      <c r="M83" s="441">
        <f t="shared" si="141"/>
        <v>1300000</v>
      </c>
      <c r="N83" s="441"/>
      <c r="O83" s="441"/>
      <c r="P83" s="441"/>
      <c r="Q83" s="441"/>
      <c r="R83" s="230">
        <f t="shared" si="142"/>
        <v>11.2</v>
      </c>
      <c r="S83" s="230">
        <f t="shared" si="143"/>
        <v>20.8</v>
      </c>
      <c r="T83" s="230"/>
      <c r="U83" s="230"/>
      <c r="V83" s="231">
        <f t="shared" si="150"/>
        <v>560000</v>
      </c>
      <c r="W83" s="231">
        <f t="shared" si="151"/>
        <v>1040000</v>
      </c>
      <c r="X83" s="231">
        <f t="shared" si="152"/>
        <v>0</v>
      </c>
      <c r="Y83" s="231">
        <f t="shared" si="144"/>
        <v>0</v>
      </c>
      <c r="Z83" s="230">
        <v>0</v>
      </c>
      <c r="AA83" s="231">
        <f t="shared" si="161"/>
        <v>0</v>
      </c>
      <c r="AB83" s="194">
        <v>0</v>
      </c>
      <c r="AC83" s="231">
        <f t="shared" si="140"/>
        <v>0</v>
      </c>
      <c r="AD83" s="230">
        <v>0</v>
      </c>
      <c r="AE83" s="231">
        <f t="shared" si="162"/>
        <v>0</v>
      </c>
      <c r="AF83" s="230">
        <v>25</v>
      </c>
      <c r="AG83" s="231">
        <f>AF83*E83-300000</f>
        <v>950000</v>
      </c>
      <c r="AH83" s="230">
        <v>0</v>
      </c>
      <c r="AI83" s="231">
        <f t="shared" si="153"/>
        <v>0</v>
      </c>
      <c r="AJ83" s="230">
        <v>0</v>
      </c>
      <c r="AK83" s="231">
        <f t="shared" si="164"/>
        <v>0</v>
      </c>
      <c r="AL83" s="230">
        <v>0</v>
      </c>
      <c r="AM83" s="231">
        <f t="shared" si="165"/>
        <v>0</v>
      </c>
      <c r="AN83" s="230">
        <v>0</v>
      </c>
      <c r="AO83" s="231">
        <f t="shared" si="154"/>
        <v>0</v>
      </c>
      <c r="AP83" s="230"/>
      <c r="AQ83" s="231">
        <f t="shared" si="166"/>
        <v>0</v>
      </c>
      <c r="AR83" s="230">
        <v>0</v>
      </c>
      <c r="AS83" s="231">
        <f t="shared" si="168"/>
        <v>0</v>
      </c>
      <c r="AT83" s="230">
        <v>0</v>
      </c>
      <c r="AU83" s="231">
        <f t="shared" si="155"/>
        <v>0</v>
      </c>
      <c r="AV83" s="230">
        <v>0</v>
      </c>
      <c r="AW83" s="231">
        <f t="shared" si="167"/>
        <v>0</v>
      </c>
      <c r="AX83" s="231">
        <v>0</v>
      </c>
      <c r="AY83" s="231">
        <f t="shared" si="156"/>
        <v>0</v>
      </c>
      <c r="AZ83" s="230">
        <v>0</v>
      </c>
      <c r="BA83" s="231">
        <f t="shared" ref="BA83:BA90" si="169">AZ83*E83</f>
        <v>0</v>
      </c>
      <c r="BB83" s="230">
        <v>0</v>
      </c>
      <c r="BC83" s="231">
        <f t="shared" si="157"/>
        <v>0</v>
      </c>
      <c r="BD83" s="230">
        <v>0</v>
      </c>
      <c r="BE83" s="231">
        <f t="shared" si="145"/>
        <v>0</v>
      </c>
      <c r="BF83" s="230">
        <v>7</v>
      </c>
      <c r="BG83" s="231">
        <f t="shared" si="158"/>
        <v>350000</v>
      </c>
      <c r="BH83" s="230"/>
      <c r="BI83" s="231">
        <f t="shared" si="146"/>
        <v>0</v>
      </c>
      <c r="BJ83" s="230">
        <f t="shared" si="147"/>
        <v>32</v>
      </c>
      <c r="BK83" s="230">
        <f t="shared" si="147"/>
        <v>1300000</v>
      </c>
      <c r="BL83" s="543" t="s">
        <v>296</v>
      </c>
      <c r="BM83" s="535"/>
      <c r="BN83" s="441"/>
      <c r="BO83" s="225"/>
      <c r="BP83" s="441">
        <f t="shared" si="148"/>
        <v>1300000</v>
      </c>
      <c r="BQ83" s="225"/>
      <c r="BR83" s="225">
        <f t="shared" si="159"/>
        <v>1300000</v>
      </c>
      <c r="BS83" s="225"/>
      <c r="BT83" s="225"/>
      <c r="BU83" s="225"/>
      <c r="BV83" s="530">
        <f t="shared" si="160"/>
        <v>1300000</v>
      </c>
    </row>
    <row r="84" spans="1:74" x14ac:dyDescent="0.25">
      <c r="A84" s="756"/>
      <c r="B84" s="181"/>
      <c r="C84" s="169" t="s">
        <v>242</v>
      </c>
      <c r="D84" s="169" t="s">
        <v>75</v>
      </c>
      <c r="E84" s="208">
        <v>260000</v>
      </c>
      <c r="F84" s="194">
        <f t="shared" si="149"/>
        <v>30</v>
      </c>
      <c r="G84" s="194">
        <f t="shared" si="149"/>
        <v>5900000</v>
      </c>
      <c r="H84" s="441"/>
      <c r="I84" s="441"/>
      <c r="J84" s="441"/>
      <c r="K84" s="441"/>
      <c r="L84" s="441"/>
      <c r="M84" s="441">
        <f t="shared" si="141"/>
        <v>5900000</v>
      </c>
      <c r="N84" s="441"/>
      <c r="O84" s="441"/>
      <c r="P84" s="441"/>
      <c r="Q84" s="441"/>
      <c r="R84" s="230">
        <f t="shared" si="142"/>
        <v>10.5</v>
      </c>
      <c r="S84" s="230">
        <f t="shared" si="143"/>
        <v>19.5</v>
      </c>
      <c r="T84" s="230"/>
      <c r="U84" s="230"/>
      <c r="V84" s="231">
        <f t="shared" si="150"/>
        <v>2730000</v>
      </c>
      <c r="W84" s="231">
        <f t="shared" si="151"/>
        <v>5070000</v>
      </c>
      <c r="X84" s="231">
        <f t="shared" si="152"/>
        <v>0</v>
      </c>
      <c r="Y84" s="231">
        <f t="shared" si="144"/>
        <v>0</v>
      </c>
      <c r="Z84" s="230">
        <v>0</v>
      </c>
      <c r="AA84" s="231">
        <f t="shared" si="161"/>
        <v>0</v>
      </c>
      <c r="AB84" s="194"/>
      <c r="AC84" s="231">
        <f t="shared" si="140"/>
        <v>0</v>
      </c>
      <c r="AD84" s="230">
        <v>0</v>
      </c>
      <c r="AE84" s="231">
        <f t="shared" si="162"/>
        <v>0</v>
      </c>
      <c r="AF84" s="230">
        <v>0</v>
      </c>
      <c r="AG84" s="231">
        <f t="shared" si="163"/>
        <v>0</v>
      </c>
      <c r="AH84" s="230">
        <v>0</v>
      </c>
      <c r="AI84" s="231">
        <f t="shared" si="153"/>
        <v>0</v>
      </c>
      <c r="AJ84" s="230">
        <v>10</v>
      </c>
      <c r="AK84" s="231">
        <f>AJ84*E84-1000000</f>
        <v>1600000</v>
      </c>
      <c r="AL84" s="230">
        <v>0</v>
      </c>
      <c r="AM84" s="231">
        <f>AL84*E84</f>
        <v>0</v>
      </c>
      <c r="AN84" s="230">
        <v>0</v>
      </c>
      <c r="AO84" s="231">
        <v>0</v>
      </c>
      <c r="AP84" s="230"/>
      <c r="AQ84" s="231">
        <f t="shared" si="166"/>
        <v>0</v>
      </c>
      <c r="AR84" s="230">
        <v>0</v>
      </c>
      <c r="AS84" s="231">
        <f t="shared" si="168"/>
        <v>0</v>
      </c>
      <c r="AT84" s="230">
        <v>0</v>
      </c>
      <c r="AU84" s="231">
        <f t="shared" si="155"/>
        <v>0</v>
      </c>
      <c r="AV84" s="230">
        <v>0</v>
      </c>
      <c r="AW84" s="231">
        <f t="shared" si="167"/>
        <v>0</v>
      </c>
      <c r="AX84" s="231">
        <v>0</v>
      </c>
      <c r="AY84" s="231">
        <f t="shared" si="156"/>
        <v>0</v>
      </c>
      <c r="AZ84" s="230">
        <v>15</v>
      </c>
      <c r="BA84" s="231">
        <f>AZ84*E84-900000</f>
        <v>3000000</v>
      </c>
      <c r="BB84" s="230">
        <v>0</v>
      </c>
      <c r="BC84" s="231">
        <f t="shared" si="157"/>
        <v>0</v>
      </c>
      <c r="BD84" s="230">
        <v>5</v>
      </c>
      <c r="BE84" s="231">
        <f t="shared" si="145"/>
        <v>1300000</v>
      </c>
      <c r="BF84" s="230">
        <v>0</v>
      </c>
      <c r="BG84" s="231">
        <f t="shared" si="158"/>
        <v>0</v>
      </c>
      <c r="BH84" s="230"/>
      <c r="BI84" s="231">
        <f t="shared" si="146"/>
        <v>0</v>
      </c>
      <c r="BJ84" s="230">
        <f>BH84+BF84+BD84+BB84+AZ84+AX84+AV84+AT84+AR84+AP84+AN84+AL84+AJ84+AH84+AF84+AD84+AB84+Z84</f>
        <v>30</v>
      </c>
      <c r="BK84" s="230">
        <f t="shared" si="147"/>
        <v>5900000</v>
      </c>
      <c r="BL84" s="543" t="s">
        <v>296</v>
      </c>
      <c r="BM84" s="535"/>
      <c r="BN84" s="441"/>
      <c r="BO84" s="225"/>
      <c r="BP84" s="441">
        <f t="shared" si="148"/>
        <v>5900000</v>
      </c>
      <c r="BQ84" s="225"/>
      <c r="BR84" s="225">
        <f t="shared" si="159"/>
        <v>5900000</v>
      </c>
      <c r="BS84" s="225"/>
      <c r="BT84" s="225"/>
      <c r="BU84" s="225"/>
      <c r="BV84" s="530">
        <f t="shared" si="160"/>
        <v>5900000</v>
      </c>
    </row>
    <row r="85" spans="1:74" x14ac:dyDescent="0.25">
      <c r="A85" s="756"/>
      <c r="B85" s="181"/>
      <c r="C85" s="169" t="s">
        <v>243</v>
      </c>
      <c r="D85" s="169" t="s">
        <v>75</v>
      </c>
      <c r="E85" s="208">
        <v>80000</v>
      </c>
      <c r="F85" s="194">
        <f t="shared" si="149"/>
        <v>24</v>
      </c>
      <c r="G85" s="194">
        <f t="shared" si="149"/>
        <v>1720000</v>
      </c>
      <c r="H85" s="441"/>
      <c r="I85" s="441"/>
      <c r="J85" s="441"/>
      <c r="K85" s="441"/>
      <c r="L85" s="441"/>
      <c r="M85" s="441">
        <f t="shared" si="141"/>
        <v>1720000</v>
      </c>
      <c r="N85" s="441"/>
      <c r="O85" s="441"/>
      <c r="P85" s="441"/>
      <c r="Q85" s="441"/>
      <c r="R85" s="230">
        <f t="shared" si="142"/>
        <v>8.3999999999999986</v>
      </c>
      <c r="S85" s="230">
        <f t="shared" si="143"/>
        <v>15.600000000000001</v>
      </c>
      <c r="T85" s="230"/>
      <c r="U85" s="230"/>
      <c r="V85" s="231">
        <f t="shared" si="150"/>
        <v>671999.99999999988</v>
      </c>
      <c r="W85" s="231">
        <f t="shared" si="151"/>
        <v>1248000</v>
      </c>
      <c r="X85" s="231">
        <f t="shared" si="152"/>
        <v>0</v>
      </c>
      <c r="Y85" s="231">
        <f t="shared" si="144"/>
        <v>0</v>
      </c>
      <c r="Z85" s="230">
        <v>10</v>
      </c>
      <c r="AA85" s="231">
        <f>Z85*E85-200000</f>
        <v>600000</v>
      </c>
      <c r="AB85" s="194"/>
      <c r="AC85" s="231">
        <f t="shared" si="140"/>
        <v>0</v>
      </c>
      <c r="AD85" s="230">
        <v>0</v>
      </c>
      <c r="AE85" s="231">
        <f t="shared" si="162"/>
        <v>0</v>
      </c>
      <c r="AF85" s="230">
        <v>0</v>
      </c>
      <c r="AG85" s="231">
        <f t="shared" si="163"/>
        <v>0</v>
      </c>
      <c r="AH85" s="230">
        <v>10</v>
      </c>
      <c r="AI85" s="231">
        <f t="shared" si="153"/>
        <v>800000</v>
      </c>
      <c r="AJ85" s="230">
        <v>0</v>
      </c>
      <c r="AK85" s="231">
        <f t="shared" si="164"/>
        <v>0</v>
      </c>
      <c r="AL85" s="230">
        <v>0</v>
      </c>
      <c r="AM85" s="231">
        <f>AL85*E85</f>
        <v>0</v>
      </c>
      <c r="AN85" s="230">
        <v>0</v>
      </c>
      <c r="AO85" s="231">
        <f t="shared" si="154"/>
        <v>0</v>
      </c>
      <c r="AP85" s="230">
        <v>0</v>
      </c>
      <c r="AQ85" s="231">
        <f t="shared" si="166"/>
        <v>0</v>
      </c>
      <c r="AR85" s="230">
        <v>0</v>
      </c>
      <c r="AS85" s="231">
        <f t="shared" si="168"/>
        <v>0</v>
      </c>
      <c r="AT85" s="230">
        <v>0</v>
      </c>
      <c r="AU85" s="231">
        <f t="shared" si="155"/>
        <v>0</v>
      </c>
      <c r="AV85" s="230">
        <v>0</v>
      </c>
      <c r="AW85" s="231">
        <f t="shared" si="167"/>
        <v>0</v>
      </c>
      <c r="AX85" s="231">
        <v>0</v>
      </c>
      <c r="AY85" s="231">
        <f t="shared" si="156"/>
        <v>0</v>
      </c>
      <c r="AZ85" s="230">
        <v>3</v>
      </c>
      <c r="BA85" s="231">
        <f t="shared" si="169"/>
        <v>240000</v>
      </c>
      <c r="BB85" s="230">
        <v>1</v>
      </c>
      <c r="BC85" s="231">
        <f t="shared" si="157"/>
        <v>80000</v>
      </c>
      <c r="BD85" s="230">
        <v>0</v>
      </c>
      <c r="BE85" s="231">
        <f t="shared" si="145"/>
        <v>0</v>
      </c>
      <c r="BF85" s="230">
        <v>0</v>
      </c>
      <c r="BG85" s="231">
        <f t="shared" si="158"/>
        <v>0</v>
      </c>
      <c r="BH85" s="230"/>
      <c r="BI85" s="231">
        <f t="shared" si="146"/>
        <v>0</v>
      </c>
      <c r="BJ85" s="230">
        <f>BH85+BF85+BD85+BB85+AZ85+AX85+AV85+AT85+AR85+AP85+AN85+AL85+AJ85+AH85+AF85+AD85+AB85+Z85</f>
        <v>24</v>
      </c>
      <c r="BK85" s="230">
        <f t="shared" si="147"/>
        <v>1720000</v>
      </c>
      <c r="BL85" s="543" t="s">
        <v>296</v>
      </c>
      <c r="BM85" s="535"/>
      <c r="BN85" s="441"/>
      <c r="BO85" s="225"/>
      <c r="BP85" s="441">
        <f t="shared" si="148"/>
        <v>1720000</v>
      </c>
      <c r="BQ85" s="225"/>
      <c r="BR85" s="225">
        <f t="shared" si="159"/>
        <v>1720000</v>
      </c>
      <c r="BS85" s="225"/>
      <c r="BT85" s="225"/>
      <c r="BU85" s="225"/>
      <c r="BV85" s="530">
        <f t="shared" ref="BV85:BV99" si="170">BR85+BU85</f>
        <v>1720000</v>
      </c>
    </row>
    <row r="86" spans="1:74" x14ac:dyDescent="0.25">
      <c r="A86" s="756"/>
      <c r="B86" s="181"/>
      <c r="C86" s="169" t="s">
        <v>244</v>
      </c>
      <c r="D86" s="169" t="s">
        <v>75</v>
      </c>
      <c r="E86" s="208">
        <v>203000</v>
      </c>
      <c r="F86" s="194">
        <f t="shared" ref="F86" si="171">BJ86</f>
        <v>13</v>
      </c>
      <c r="G86" s="194">
        <f t="shared" ref="G86" si="172">BK86</f>
        <v>2139000</v>
      </c>
      <c r="H86" s="441"/>
      <c r="I86" s="441"/>
      <c r="J86" s="441"/>
      <c r="K86" s="441"/>
      <c r="L86" s="441"/>
      <c r="M86" s="441">
        <f t="shared" si="141"/>
        <v>2139000</v>
      </c>
      <c r="N86" s="441"/>
      <c r="O86" s="441"/>
      <c r="P86" s="441"/>
      <c r="Q86" s="441"/>
      <c r="R86" s="230">
        <f t="shared" si="142"/>
        <v>4.55</v>
      </c>
      <c r="S86" s="230">
        <f t="shared" si="143"/>
        <v>8.4500000000000011</v>
      </c>
      <c r="T86" s="230"/>
      <c r="U86" s="230"/>
      <c r="V86" s="231">
        <f t="shared" si="150"/>
        <v>923650</v>
      </c>
      <c r="W86" s="231">
        <f t="shared" si="151"/>
        <v>1715350.0000000002</v>
      </c>
      <c r="X86" s="231">
        <f t="shared" si="152"/>
        <v>0</v>
      </c>
      <c r="Y86" s="231">
        <f t="shared" si="144"/>
        <v>0</v>
      </c>
      <c r="Z86" s="230">
        <v>0</v>
      </c>
      <c r="AA86" s="231">
        <f t="shared" si="161"/>
        <v>0</v>
      </c>
      <c r="AB86" s="194">
        <v>0</v>
      </c>
      <c r="AC86" s="231">
        <f t="shared" si="140"/>
        <v>0</v>
      </c>
      <c r="AD86" s="230">
        <v>0</v>
      </c>
      <c r="AE86" s="231">
        <f t="shared" si="162"/>
        <v>0</v>
      </c>
      <c r="AF86" s="230">
        <v>0</v>
      </c>
      <c r="AG86" s="231">
        <f t="shared" si="163"/>
        <v>0</v>
      </c>
      <c r="AH86" s="230">
        <v>0</v>
      </c>
      <c r="AI86" s="231">
        <f t="shared" si="153"/>
        <v>0</v>
      </c>
      <c r="AJ86" s="230">
        <v>0</v>
      </c>
      <c r="AK86" s="231">
        <f t="shared" si="164"/>
        <v>0</v>
      </c>
      <c r="AL86" s="230">
        <v>0</v>
      </c>
      <c r="AM86" s="231">
        <f t="shared" si="165"/>
        <v>0</v>
      </c>
      <c r="AN86" s="230">
        <v>0</v>
      </c>
      <c r="AO86" s="231">
        <f t="shared" si="154"/>
        <v>0</v>
      </c>
      <c r="AP86" s="230">
        <v>0</v>
      </c>
      <c r="AQ86" s="231">
        <f t="shared" si="166"/>
        <v>0</v>
      </c>
      <c r="AR86" s="230">
        <v>10</v>
      </c>
      <c r="AS86" s="231">
        <f>AR86*E86-500000</f>
        <v>1530000</v>
      </c>
      <c r="AT86" s="230">
        <v>3</v>
      </c>
      <c r="AU86" s="231">
        <f t="shared" si="155"/>
        <v>609000</v>
      </c>
      <c r="AV86" s="230">
        <v>0</v>
      </c>
      <c r="AW86" s="231">
        <f t="shared" si="167"/>
        <v>0</v>
      </c>
      <c r="AX86" s="231">
        <v>0</v>
      </c>
      <c r="AY86" s="231">
        <f t="shared" si="156"/>
        <v>0</v>
      </c>
      <c r="AZ86" s="230">
        <v>0</v>
      </c>
      <c r="BA86" s="231">
        <f t="shared" si="169"/>
        <v>0</v>
      </c>
      <c r="BB86" s="230">
        <v>0</v>
      </c>
      <c r="BC86" s="231">
        <f t="shared" si="157"/>
        <v>0</v>
      </c>
      <c r="BD86" s="230">
        <v>0</v>
      </c>
      <c r="BE86" s="231">
        <f t="shared" si="145"/>
        <v>0</v>
      </c>
      <c r="BF86" s="230">
        <v>0</v>
      </c>
      <c r="BG86" s="231">
        <f t="shared" si="158"/>
        <v>0</v>
      </c>
      <c r="BH86" s="230"/>
      <c r="BI86" s="231">
        <f t="shared" si="146"/>
        <v>0</v>
      </c>
      <c r="BJ86" s="230">
        <f>BH86+BF86+BD86+BB86+AZ86+AX86+AV86+AT86+AR86+AP86+AN86+AL86+AJ86+AH86+AF86+AD86+AB86+Z86</f>
        <v>13</v>
      </c>
      <c r="BK86" s="230">
        <f t="shared" si="147"/>
        <v>2139000</v>
      </c>
      <c r="BL86" s="543" t="s">
        <v>296</v>
      </c>
      <c r="BM86" s="535"/>
      <c r="BN86" s="441"/>
      <c r="BO86" s="225"/>
      <c r="BP86" s="441">
        <f t="shared" si="148"/>
        <v>2139000</v>
      </c>
      <c r="BQ86" s="225"/>
      <c r="BR86" s="225">
        <f t="shared" ref="BR86:BR99" si="173">BN86+BO86+BP86+BQ86</f>
        <v>2139000</v>
      </c>
      <c r="BS86" s="225"/>
      <c r="BT86" s="225"/>
      <c r="BU86" s="225"/>
      <c r="BV86" s="530">
        <f t="shared" si="170"/>
        <v>2139000</v>
      </c>
    </row>
    <row r="87" spans="1:74" x14ac:dyDescent="0.25">
      <c r="A87" s="756"/>
      <c r="B87" s="181"/>
      <c r="C87" s="169" t="s">
        <v>629</v>
      </c>
      <c r="D87" s="169" t="s">
        <v>75</v>
      </c>
      <c r="E87" s="208">
        <v>100000</v>
      </c>
      <c r="F87" s="194">
        <f t="shared" si="149"/>
        <v>5</v>
      </c>
      <c r="G87" s="441">
        <f t="shared" ref="G87:G99" si="174">F87*E87</f>
        <v>500000</v>
      </c>
      <c r="H87" s="441"/>
      <c r="I87" s="441"/>
      <c r="J87" s="441"/>
      <c r="K87" s="441"/>
      <c r="L87" s="441"/>
      <c r="M87" s="441">
        <f t="shared" si="141"/>
        <v>500000</v>
      </c>
      <c r="N87" s="441"/>
      <c r="O87" s="441"/>
      <c r="P87" s="441"/>
      <c r="Q87" s="441"/>
      <c r="R87" s="230">
        <f>F87*0.35</f>
        <v>1.75</v>
      </c>
      <c r="S87" s="230">
        <f>F87*0.65</f>
        <v>3.25</v>
      </c>
      <c r="T87" s="230"/>
      <c r="U87" s="230"/>
      <c r="V87" s="231">
        <f>R87*E87</f>
        <v>175000</v>
      </c>
      <c r="W87" s="231">
        <f>S87*E87</f>
        <v>325000</v>
      </c>
      <c r="X87" s="231">
        <f>T87*E87</f>
        <v>0</v>
      </c>
      <c r="Y87" s="231">
        <f>U87*E87</f>
        <v>0</v>
      </c>
      <c r="Z87" s="230"/>
      <c r="AA87" s="231"/>
      <c r="AB87" s="194"/>
      <c r="AC87" s="231"/>
      <c r="AD87" s="230"/>
      <c r="AE87" s="231"/>
      <c r="AF87" s="230"/>
      <c r="AG87" s="231"/>
      <c r="AH87" s="230"/>
      <c r="AI87" s="231"/>
      <c r="AJ87" s="230">
        <v>0</v>
      </c>
      <c r="AK87" s="231"/>
      <c r="AL87" s="230"/>
      <c r="AM87" s="231"/>
      <c r="AN87" s="230"/>
      <c r="AO87" s="231"/>
      <c r="AP87" s="230">
        <v>0</v>
      </c>
      <c r="AQ87" s="231"/>
      <c r="AR87" s="230"/>
      <c r="AS87" s="231"/>
      <c r="AT87" s="230">
        <v>0</v>
      </c>
      <c r="AU87" s="231"/>
      <c r="AV87" s="230">
        <v>5</v>
      </c>
      <c r="AW87" s="231">
        <f t="shared" si="167"/>
        <v>500000</v>
      </c>
      <c r="AX87" s="231"/>
      <c r="AY87" s="231"/>
      <c r="AZ87" s="230">
        <v>0</v>
      </c>
      <c r="BA87" s="231"/>
      <c r="BB87" s="230">
        <v>0</v>
      </c>
      <c r="BC87" s="231"/>
      <c r="BD87" s="230"/>
      <c r="BE87" s="231"/>
      <c r="BF87" s="230"/>
      <c r="BG87" s="231"/>
      <c r="BH87" s="230"/>
      <c r="BI87" s="231">
        <f t="shared" si="146"/>
        <v>0</v>
      </c>
      <c r="BJ87" s="230">
        <f>BH87+BF87+BD87+BB87+AZ87+AX87+AV87+AT87+AR87+AP87+AN87+AL87+AJ87+AH87+AF87+AD87+AB87+Z87</f>
        <v>5</v>
      </c>
      <c r="BK87" s="230">
        <f t="shared" si="147"/>
        <v>500000</v>
      </c>
      <c r="BL87" s="543" t="s">
        <v>296</v>
      </c>
      <c r="BM87" s="535"/>
      <c r="BN87" s="441"/>
      <c r="BO87" s="225"/>
      <c r="BP87" s="441"/>
      <c r="BQ87" s="225"/>
      <c r="BR87" s="225"/>
      <c r="BS87" s="225"/>
      <c r="BT87" s="225"/>
      <c r="BU87" s="225"/>
      <c r="BV87" s="530"/>
    </row>
    <row r="88" spans="1:74" x14ac:dyDescent="0.25">
      <c r="A88" s="756"/>
      <c r="B88" s="181"/>
      <c r="C88" s="169" t="s">
        <v>645</v>
      </c>
      <c r="D88" s="169" t="s">
        <v>75</v>
      </c>
      <c r="E88" s="208">
        <v>217500</v>
      </c>
      <c r="F88" s="194">
        <f t="shared" ref="F88:F89" si="175">BJ88</f>
        <v>27</v>
      </c>
      <c r="G88" s="194">
        <f t="shared" ref="G88:G89" si="176">BK88</f>
        <v>4272500</v>
      </c>
      <c r="H88" s="441"/>
      <c r="I88" s="441"/>
      <c r="J88" s="441"/>
      <c r="K88" s="441"/>
      <c r="L88" s="441"/>
      <c r="M88" s="441">
        <f t="shared" si="141"/>
        <v>4272500</v>
      </c>
      <c r="N88" s="441"/>
      <c r="O88" s="441"/>
      <c r="P88" s="441"/>
      <c r="Q88" s="441"/>
      <c r="R88" s="230">
        <f>F88*0.15</f>
        <v>4.05</v>
      </c>
      <c r="S88" s="230">
        <f>F88*0.7</f>
        <v>18.899999999999999</v>
      </c>
      <c r="T88" s="230">
        <f>F88:F88*0.15</f>
        <v>4.05</v>
      </c>
      <c r="U88" s="230"/>
      <c r="V88" s="231">
        <f t="shared" si="150"/>
        <v>880875</v>
      </c>
      <c r="W88" s="231">
        <f t="shared" si="151"/>
        <v>4110749.9999999995</v>
      </c>
      <c r="X88" s="231">
        <f t="shared" si="152"/>
        <v>880875</v>
      </c>
      <c r="Y88" s="231">
        <f t="shared" si="144"/>
        <v>0</v>
      </c>
      <c r="Z88" s="230">
        <v>0</v>
      </c>
      <c r="AA88" s="231">
        <f t="shared" si="161"/>
        <v>0</v>
      </c>
      <c r="AB88" s="194">
        <v>2</v>
      </c>
      <c r="AC88" s="231">
        <f>AB88*E88-100000</f>
        <v>335000</v>
      </c>
      <c r="AD88" s="230">
        <v>0</v>
      </c>
      <c r="AE88" s="231">
        <f t="shared" si="162"/>
        <v>0</v>
      </c>
      <c r="AF88" s="230">
        <v>0</v>
      </c>
      <c r="AG88" s="231">
        <f t="shared" si="163"/>
        <v>0</v>
      </c>
      <c r="AH88" s="230">
        <v>0</v>
      </c>
      <c r="AI88" s="231">
        <f t="shared" si="153"/>
        <v>0</v>
      </c>
      <c r="AJ88" s="230">
        <v>0</v>
      </c>
      <c r="AK88" s="231">
        <f t="shared" si="164"/>
        <v>0</v>
      </c>
      <c r="AL88" s="230">
        <v>0</v>
      </c>
      <c r="AM88" s="231">
        <f t="shared" si="165"/>
        <v>0</v>
      </c>
      <c r="AN88" s="230">
        <v>0</v>
      </c>
      <c r="AO88" s="231">
        <f t="shared" si="154"/>
        <v>0</v>
      </c>
      <c r="AP88" s="230">
        <v>5</v>
      </c>
      <c r="AQ88" s="231">
        <f>AP88*E88-300000</f>
        <v>787500</v>
      </c>
      <c r="AR88" s="230">
        <v>0</v>
      </c>
      <c r="AS88" s="231">
        <f t="shared" si="168"/>
        <v>0</v>
      </c>
      <c r="AT88" s="230">
        <v>0</v>
      </c>
      <c r="AU88" s="231">
        <f t="shared" si="155"/>
        <v>0</v>
      </c>
      <c r="AV88" s="230">
        <v>0</v>
      </c>
      <c r="AW88" s="231">
        <f t="shared" si="167"/>
        <v>0</v>
      </c>
      <c r="AX88" s="231">
        <v>0</v>
      </c>
      <c r="AY88" s="231">
        <f t="shared" si="156"/>
        <v>0</v>
      </c>
      <c r="AZ88" s="230">
        <v>0</v>
      </c>
      <c r="BA88" s="231">
        <f t="shared" si="169"/>
        <v>0</v>
      </c>
      <c r="BB88" s="230">
        <v>20</v>
      </c>
      <c r="BC88" s="231">
        <f>BB88*E88-1200000</f>
        <v>3150000</v>
      </c>
      <c r="BD88" s="230">
        <v>0</v>
      </c>
      <c r="BE88" s="231">
        <f t="shared" si="145"/>
        <v>0</v>
      </c>
      <c r="BF88" s="230">
        <v>0</v>
      </c>
      <c r="BG88" s="231">
        <f t="shared" si="158"/>
        <v>0</v>
      </c>
      <c r="BH88" s="230"/>
      <c r="BI88" s="231">
        <f t="shared" si="146"/>
        <v>0</v>
      </c>
      <c r="BJ88" s="230">
        <f t="shared" ref="BJ88:BK99" si="177">BH88+BF88+BD88+BB88+AZ88+AX88+AV88+AT88+AR88+AP88+AN88+AL88+AJ88+AH88+AF88+AD88+AB88+Z88</f>
        <v>27</v>
      </c>
      <c r="BK88" s="230">
        <f t="shared" si="147"/>
        <v>4272500</v>
      </c>
      <c r="BL88" s="543" t="s">
        <v>296</v>
      </c>
      <c r="BM88" s="535"/>
      <c r="BN88" s="441"/>
      <c r="BO88" s="225"/>
      <c r="BP88" s="441">
        <f t="shared" si="148"/>
        <v>4272500</v>
      </c>
      <c r="BQ88" s="225"/>
      <c r="BR88" s="225">
        <f t="shared" si="173"/>
        <v>4272500</v>
      </c>
      <c r="BS88" s="225"/>
      <c r="BT88" s="225"/>
      <c r="BU88" s="225"/>
      <c r="BV88" s="530">
        <f t="shared" si="170"/>
        <v>4272500</v>
      </c>
    </row>
    <row r="89" spans="1:74" x14ac:dyDescent="0.25">
      <c r="A89" s="756"/>
      <c r="B89" s="181"/>
      <c r="C89" s="169" t="s">
        <v>245</v>
      </c>
      <c r="D89" s="169" t="s">
        <v>75</v>
      </c>
      <c r="E89" s="208">
        <v>236000</v>
      </c>
      <c r="F89" s="194">
        <f t="shared" si="175"/>
        <v>30</v>
      </c>
      <c r="G89" s="194">
        <f t="shared" si="176"/>
        <v>5080000</v>
      </c>
      <c r="H89" s="441"/>
      <c r="I89" s="441"/>
      <c r="J89" s="441"/>
      <c r="K89" s="441"/>
      <c r="L89" s="441"/>
      <c r="M89" s="441">
        <f t="shared" si="141"/>
        <v>5080000</v>
      </c>
      <c r="N89" s="441"/>
      <c r="O89" s="441"/>
      <c r="P89" s="441"/>
      <c r="Q89" s="441"/>
      <c r="R89" s="230">
        <f>F89*0.15</f>
        <v>4.5</v>
      </c>
      <c r="S89" s="230">
        <f>F89*0.7</f>
        <v>21</v>
      </c>
      <c r="T89" s="230">
        <f>F89:F89*0.15</f>
        <v>4.5</v>
      </c>
      <c r="U89" s="230"/>
      <c r="V89" s="231">
        <f t="shared" si="150"/>
        <v>1062000</v>
      </c>
      <c r="W89" s="231">
        <f t="shared" si="151"/>
        <v>4956000</v>
      </c>
      <c r="X89" s="231">
        <f t="shared" si="152"/>
        <v>1062000</v>
      </c>
      <c r="Y89" s="231">
        <f t="shared" si="144"/>
        <v>0</v>
      </c>
      <c r="Z89" s="230">
        <v>0</v>
      </c>
      <c r="AA89" s="231">
        <f t="shared" si="161"/>
        <v>0</v>
      </c>
      <c r="AB89" s="194"/>
      <c r="AC89" s="231">
        <f t="shared" si="140"/>
        <v>0</v>
      </c>
      <c r="AD89" s="230"/>
      <c r="AE89" s="231">
        <f t="shared" si="162"/>
        <v>0</v>
      </c>
      <c r="AF89" s="230">
        <v>0</v>
      </c>
      <c r="AG89" s="231">
        <f t="shared" si="163"/>
        <v>0</v>
      </c>
      <c r="AH89" s="230">
        <v>0</v>
      </c>
      <c r="AI89" s="231">
        <f t="shared" si="153"/>
        <v>0</v>
      </c>
      <c r="AJ89" s="230">
        <v>0</v>
      </c>
      <c r="AK89" s="231">
        <f t="shared" si="164"/>
        <v>0</v>
      </c>
      <c r="AL89" s="230">
        <v>0</v>
      </c>
      <c r="AM89" s="231">
        <f t="shared" si="165"/>
        <v>0</v>
      </c>
      <c r="AN89" s="230">
        <v>0</v>
      </c>
      <c r="AO89" s="231">
        <f t="shared" si="154"/>
        <v>0</v>
      </c>
      <c r="AP89" s="230">
        <v>0</v>
      </c>
      <c r="AQ89" s="231">
        <f t="shared" si="166"/>
        <v>0</v>
      </c>
      <c r="AR89" s="230">
        <v>30</v>
      </c>
      <c r="AS89" s="231">
        <f>AR89*E89-2000000</f>
        <v>5080000</v>
      </c>
      <c r="AT89" s="230">
        <v>0</v>
      </c>
      <c r="AU89" s="231">
        <f t="shared" si="155"/>
        <v>0</v>
      </c>
      <c r="AV89" s="230">
        <v>0</v>
      </c>
      <c r="AW89" s="231">
        <f t="shared" si="167"/>
        <v>0</v>
      </c>
      <c r="AX89" s="231">
        <v>0</v>
      </c>
      <c r="AY89" s="231">
        <f t="shared" si="156"/>
        <v>0</v>
      </c>
      <c r="AZ89" s="230"/>
      <c r="BA89" s="231">
        <f t="shared" si="169"/>
        <v>0</v>
      </c>
      <c r="BB89" s="230">
        <v>0</v>
      </c>
      <c r="BC89" s="231">
        <f t="shared" si="157"/>
        <v>0</v>
      </c>
      <c r="BD89" s="230">
        <v>0</v>
      </c>
      <c r="BE89" s="231">
        <f t="shared" si="145"/>
        <v>0</v>
      </c>
      <c r="BF89" s="230">
        <v>0</v>
      </c>
      <c r="BG89" s="231">
        <f t="shared" si="158"/>
        <v>0</v>
      </c>
      <c r="BH89" s="230"/>
      <c r="BI89" s="231">
        <f t="shared" si="146"/>
        <v>0</v>
      </c>
      <c r="BJ89" s="230">
        <f t="shared" si="177"/>
        <v>30</v>
      </c>
      <c r="BK89" s="230">
        <f t="shared" si="147"/>
        <v>5080000</v>
      </c>
      <c r="BL89" s="543" t="s">
        <v>296</v>
      </c>
      <c r="BM89" s="535"/>
      <c r="BN89" s="441"/>
      <c r="BO89" s="225"/>
      <c r="BP89" s="441">
        <f t="shared" si="148"/>
        <v>5080000</v>
      </c>
      <c r="BQ89" s="225"/>
      <c r="BR89" s="225">
        <f t="shared" si="173"/>
        <v>5080000</v>
      </c>
      <c r="BS89" s="225"/>
      <c r="BT89" s="225"/>
      <c r="BU89" s="225"/>
      <c r="BV89" s="530">
        <f t="shared" si="170"/>
        <v>5080000</v>
      </c>
    </row>
    <row r="90" spans="1:74" x14ac:dyDescent="0.25">
      <c r="A90" s="756"/>
      <c r="B90" s="181"/>
      <c r="C90" s="169" t="s">
        <v>246</v>
      </c>
      <c r="D90" s="169" t="s">
        <v>75</v>
      </c>
      <c r="E90" s="208">
        <v>228000</v>
      </c>
      <c r="F90" s="194">
        <f t="shared" si="149"/>
        <v>2</v>
      </c>
      <c r="G90" s="441">
        <f t="shared" si="174"/>
        <v>456000</v>
      </c>
      <c r="H90" s="441"/>
      <c r="I90" s="441"/>
      <c r="J90" s="441"/>
      <c r="K90" s="441"/>
      <c r="L90" s="441"/>
      <c r="M90" s="441">
        <f t="shared" si="141"/>
        <v>456000</v>
      </c>
      <c r="N90" s="441"/>
      <c r="O90" s="441"/>
      <c r="P90" s="441"/>
      <c r="Q90" s="441"/>
      <c r="R90" s="230">
        <f>F90*0.35</f>
        <v>0.7</v>
      </c>
      <c r="S90" s="230">
        <f>F90*0.65</f>
        <v>1.3</v>
      </c>
      <c r="T90" s="230"/>
      <c r="U90" s="230"/>
      <c r="V90" s="231">
        <f t="shared" si="150"/>
        <v>159600</v>
      </c>
      <c r="W90" s="231">
        <f t="shared" si="151"/>
        <v>296400</v>
      </c>
      <c r="X90" s="231">
        <f t="shared" si="152"/>
        <v>0</v>
      </c>
      <c r="Y90" s="231">
        <f t="shared" si="144"/>
        <v>0</v>
      </c>
      <c r="Z90" s="230">
        <v>0</v>
      </c>
      <c r="AA90" s="231">
        <f t="shared" si="161"/>
        <v>0</v>
      </c>
      <c r="AB90" s="184">
        <v>2</v>
      </c>
      <c r="AC90" s="231">
        <f t="shared" si="140"/>
        <v>456000</v>
      </c>
      <c r="AD90" s="230">
        <v>0</v>
      </c>
      <c r="AE90" s="231">
        <f t="shared" si="162"/>
        <v>0</v>
      </c>
      <c r="AF90" s="230">
        <v>0</v>
      </c>
      <c r="AG90" s="231">
        <f t="shared" si="163"/>
        <v>0</v>
      </c>
      <c r="AH90" s="230">
        <v>0</v>
      </c>
      <c r="AI90" s="231">
        <f t="shared" si="153"/>
        <v>0</v>
      </c>
      <c r="AJ90" s="230">
        <v>0</v>
      </c>
      <c r="AK90" s="231">
        <f t="shared" si="164"/>
        <v>0</v>
      </c>
      <c r="AL90" s="230">
        <v>0</v>
      </c>
      <c r="AM90" s="231">
        <f t="shared" si="165"/>
        <v>0</v>
      </c>
      <c r="AN90" s="230">
        <v>0</v>
      </c>
      <c r="AO90" s="231">
        <f t="shared" si="154"/>
        <v>0</v>
      </c>
      <c r="AP90" s="230"/>
      <c r="AQ90" s="231">
        <f t="shared" si="166"/>
        <v>0</v>
      </c>
      <c r="AR90" s="230">
        <v>0</v>
      </c>
      <c r="AS90" s="231">
        <f t="shared" si="168"/>
        <v>0</v>
      </c>
      <c r="AT90" s="230">
        <v>0</v>
      </c>
      <c r="AU90" s="231">
        <f t="shared" si="155"/>
        <v>0</v>
      </c>
      <c r="AV90" s="230">
        <v>0</v>
      </c>
      <c r="AW90" s="231">
        <f t="shared" si="167"/>
        <v>0</v>
      </c>
      <c r="AX90" s="231">
        <v>0</v>
      </c>
      <c r="AY90" s="231">
        <f t="shared" si="156"/>
        <v>0</v>
      </c>
      <c r="AZ90" s="230"/>
      <c r="BA90" s="231">
        <f t="shared" si="169"/>
        <v>0</v>
      </c>
      <c r="BB90" s="230">
        <v>0</v>
      </c>
      <c r="BC90" s="231">
        <f t="shared" si="157"/>
        <v>0</v>
      </c>
      <c r="BD90" s="230">
        <v>0</v>
      </c>
      <c r="BE90" s="231">
        <f t="shared" si="145"/>
        <v>0</v>
      </c>
      <c r="BF90" s="230">
        <v>0</v>
      </c>
      <c r="BG90" s="231">
        <f t="shared" si="158"/>
        <v>0</v>
      </c>
      <c r="BH90" s="230"/>
      <c r="BI90" s="231">
        <f t="shared" si="146"/>
        <v>0</v>
      </c>
      <c r="BJ90" s="230">
        <f t="shared" si="177"/>
        <v>2</v>
      </c>
      <c r="BK90" s="230">
        <f t="shared" si="147"/>
        <v>456000</v>
      </c>
      <c r="BL90" s="543" t="s">
        <v>296</v>
      </c>
      <c r="BM90" s="535"/>
      <c r="BN90" s="441"/>
      <c r="BO90" s="225"/>
      <c r="BP90" s="441">
        <f t="shared" si="148"/>
        <v>456000</v>
      </c>
      <c r="BQ90" s="225"/>
      <c r="BR90" s="225">
        <f t="shared" si="173"/>
        <v>456000</v>
      </c>
      <c r="BS90" s="225"/>
      <c r="BT90" s="225"/>
      <c r="BU90" s="225"/>
      <c r="BV90" s="530">
        <f t="shared" si="170"/>
        <v>456000</v>
      </c>
    </row>
    <row r="91" spans="1:74" s="652" customFormat="1" x14ac:dyDescent="0.25">
      <c r="A91" s="756"/>
      <c r="B91" s="640" t="s">
        <v>791</v>
      </c>
      <c r="C91" s="641" t="s">
        <v>663</v>
      </c>
      <c r="D91" s="641" t="s">
        <v>75</v>
      </c>
      <c r="E91" s="642">
        <v>180000</v>
      </c>
      <c r="F91" s="643">
        <f t="shared" si="149"/>
        <v>17</v>
      </c>
      <c r="G91" s="644">
        <f>E91*F91</f>
        <v>3060000</v>
      </c>
      <c r="H91" s="644">
        <f t="shared" ref="H91:H99" si="178">G91*0.2</f>
        <v>612000</v>
      </c>
      <c r="I91" s="644">
        <f t="shared" ref="I91:I99" si="179">G91*0.8</f>
        <v>2448000</v>
      </c>
      <c r="J91" s="644"/>
      <c r="K91" s="644"/>
      <c r="L91" s="644"/>
      <c r="M91" s="644"/>
      <c r="N91" s="644"/>
      <c r="O91" s="644"/>
      <c r="P91" s="644"/>
      <c r="Q91" s="644"/>
      <c r="R91" s="645">
        <f t="shared" ref="R91:R99" si="180">F91*0.15</f>
        <v>2.5499999999999998</v>
      </c>
      <c r="S91" s="645">
        <f>F91*0.7</f>
        <v>11.899999999999999</v>
      </c>
      <c r="T91" s="645">
        <f>F91:F91*0.15</f>
        <v>2.5499999999999998</v>
      </c>
      <c r="U91" s="645"/>
      <c r="V91" s="646">
        <f t="shared" si="150"/>
        <v>458999.99999999994</v>
      </c>
      <c r="W91" s="646">
        <f t="shared" si="151"/>
        <v>2141999.9999999995</v>
      </c>
      <c r="X91" s="646">
        <f t="shared" si="152"/>
        <v>458999.99999999994</v>
      </c>
      <c r="Y91" s="646">
        <f t="shared" si="144"/>
        <v>0</v>
      </c>
      <c r="Z91" s="645">
        <v>0</v>
      </c>
      <c r="AA91" s="646">
        <f>Z91*E91</f>
        <v>0</v>
      </c>
      <c r="AB91" s="645">
        <v>3</v>
      </c>
      <c r="AC91" s="646">
        <f t="shared" si="140"/>
        <v>540000</v>
      </c>
      <c r="AD91" s="645">
        <v>0</v>
      </c>
      <c r="AE91" s="646">
        <f>AD91*E91</f>
        <v>0</v>
      </c>
      <c r="AF91" s="645">
        <v>5</v>
      </c>
      <c r="AG91" s="646">
        <f>AF91*E91</f>
        <v>900000</v>
      </c>
      <c r="AH91" s="645">
        <v>5</v>
      </c>
      <c r="AI91" s="646">
        <f>AH91*E91</f>
        <v>900000</v>
      </c>
      <c r="AJ91" s="645">
        <v>0</v>
      </c>
      <c r="AK91" s="646">
        <f t="shared" ref="AK91:AK99" si="181">AJ91*E91</f>
        <v>0</v>
      </c>
      <c r="AL91" s="647">
        <v>0</v>
      </c>
      <c r="AM91" s="646">
        <f t="shared" si="165"/>
        <v>0</v>
      </c>
      <c r="AN91" s="645">
        <v>0</v>
      </c>
      <c r="AO91" s="646">
        <f t="shared" si="154"/>
        <v>0</v>
      </c>
      <c r="AP91" s="645">
        <v>2</v>
      </c>
      <c r="AQ91" s="646">
        <f t="shared" si="166"/>
        <v>360000</v>
      </c>
      <c r="AR91" s="645">
        <v>0</v>
      </c>
      <c r="AS91" s="646">
        <f t="shared" si="168"/>
        <v>0</v>
      </c>
      <c r="AT91" s="645">
        <v>0</v>
      </c>
      <c r="AU91" s="646">
        <f t="shared" si="155"/>
        <v>0</v>
      </c>
      <c r="AV91" s="645">
        <v>0</v>
      </c>
      <c r="AW91" s="646">
        <f t="shared" si="167"/>
        <v>0</v>
      </c>
      <c r="AX91" s="646">
        <v>0</v>
      </c>
      <c r="AY91" s="646">
        <f t="shared" ref="AY91:AY99" si="182">AX91*E91</f>
        <v>0</v>
      </c>
      <c r="AZ91" s="645">
        <v>2</v>
      </c>
      <c r="BA91" s="646">
        <f>AZ91*E91</f>
        <v>360000</v>
      </c>
      <c r="BB91" s="645">
        <v>0</v>
      </c>
      <c r="BC91" s="646">
        <f t="shared" ref="BC91:BC99" si="183">BB91*E91</f>
        <v>0</v>
      </c>
      <c r="BD91" s="645">
        <v>0</v>
      </c>
      <c r="BE91" s="646">
        <f t="shared" ref="BE91:BE99" si="184">BD91*E91</f>
        <v>0</v>
      </c>
      <c r="BF91" s="647">
        <v>0</v>
      </c>
      <c r="BG91" s="646">
        <f t="shared" ref="BG91:BG99" si="185">BF91*E91</f>
        <v>0</v>
      </c>
      <c r="BH91" s="645"/>
      <c r="BI91" s="646">
        <f t="shared" si="146"/>
        <v>0</v>
      </c>
      <c r="BJ91" s="645">
        <f t="shared" si="177"/>
        <v>17</v>
      </c>
      <c r="BK91" s="645">
        <f t="shared" si="147"/>
        <v>3060000</v>
      </c>
      <c r="BL91" s="648" t="s">
        <v>506</v>
      </c>
      <c r="BM91" s="649"/>
      <c r="BN91" s="644"/>
      <c r="BO91" s="650"/>
      <c r="BP91" s="644">
        <f t="shared" si="148"/>
        <v>3060000</v>
      </c>
      <c r="BQ91" s="650"/>
      <c r="BR91" s="650">
        <f t="shared" si="173"/>
        <v>3060000</v>
      </c>
      <c r="BS91" s="650"/>
      <c r="BT91" s="650"/>
      <c r="BU91" s="650"/>
      <c r="BV91" s="651">
        <f t="shared" si="170"/>
        <v>3060000</v>
      </c>
    </row>
    <row r="92" spans="1:74" x14ac:dyDescent="0.25">
      <c r="A92" s="756"/>
      <c r="B92" s="181"/>
      <c r="C92" s="169" t="s">
        <v>872</v>
      </c>
      <c r="D92" s="169" t="s">
        <v>75</v>
      </c>
      <c r="E92" s="208">
        <v>300000</v>
      </c>
      <c r="F92" s="194">
        <f>BJ92</f>
        <v>0</v>
      </c>
      <c r="G92" s="441">
        <f>F92*E92</f>
        <v>0</v>
      </c>
      <c r="H92" s="441"/>
      <c r="I92" s="441"/>
      <c r="J92" s="534">
        <f>G92</f>
        <v>0</v>
      </c>
      <c r="K92" s="441"/>
      <c r="L92" s="441"/>
      <c r="M92" s="441"/>
      <c r="N92" s="441"/>
      <c r="O92" s="441"/>
      <c r="P92" s="441"/>
      <c r="Q92" s="441"/>
      <c r="R92" s="230"/>
      <c r="S92" s="230"/>
      <c r="T92" s="230"/>
      <c r="U92" s="230"/>
      <c r="V92" s="231"/>
      <c r="W92" s="231"/>
      <c r="X92" s="231"/>
      <c r="Y92" s="231"/>
      <c r="Z92" s="230">
        <v>0</v>
      </c>
      <c r="AA92" s="231"/>
      <c r="AB92" s="230">
        <v>0</v>
      </c>
      <c r="AC92" s="231"/>
      <c r="AD92" s="230">
        <v>0</v>
      </c>
      <c r="AE92" s="231"/>
      <c r="AF92" s="230">
        <v>0</v>
      </c>
      <c r="AG92" s="231">
        <f>AF92*E92</f>
        <v>0</v>
      </c>
      <c r="AH92" s="230">
        <v>0</v>
      </c>
      <c r="AI92" s="231">
        <f>AH92*E92</f>
        <v>0</v>
      </c>
      <c r="AJ92" s="230">
        <v>0</v>
      </c>
      <c r="AK92" s="231"/>
      <c r="AL92" s="287">
        <v>0</v>
      </c>
      <c r="AM92" s="231"/>
      <c r="AN92" s="230">
        <v>0</v>
      </c>
      <c r="AO92" s="231"/>
      <c r="AP92" s="230"/>
      <c r="AQ92" s="231"/>
      <c r="AR92" s="230">
        <v>0</v>
      </c>
      <c r="AS92" s="231">
        <f t="shared" si="168"/>
        <v>0</v>
      </c>
      <c r="AT92" s="230"/>
      <c r="AU92" s="231"/>
      <c r="AV92" s="230">
        <v>0</v>
      </c>
      <c r="AW92" s="231">
        <f t="shared" si="167"/>
        <v>0</v>
      </c>
      <c r="AX92" s="231"/>
      <c r="AY92" s="231"/>
      <c r="AZ92" s="230">
        <v>0</v>
      </c>
      <c r="BA92" s="231">
        <f>AZ92*E92</f>
        <v>0</v>
      </c>
      <c r="BB92" s="230">
        <v>0</v>
      </c>
      <c r="BC92" s="231">
        <f t="shared" si="183"/>
        <v>0</v>
      </c>
      <c r="BD92" s="230"/>
      <c r="BE92" s="231"/>
      <c r="BF92" s="287"/>
      <c r="BG92" s="231"/>
      <c r="BH92" s="230"/>
      <c r="BI92" s="231"/>
      <c r="BJ92" s="230">
        <f>BH92+BF92+BD92+BB92+AZ92+AX92+AV92+AT92+AR92+AP92+AN92+AL92+AJ92+AH92+AF92+AD92+AB92+Z92</f>
        <v>0</v>
      </c>
      <c r="BK92" s="230">
        <f t="shared" si="147"/>
        <v>0</v>
      </c>
      <c r="BL92" s="543" t="s">
        <v>542</v>
      </c>
      <c r="BM92" s="535"/>
      <c r="BN92" s="441"/>
      <c r="BO92" s="225"/>
      <c r="BP92" s="441"/>
      <c r="BQ92" s="225"/>
      <c r="BR92" s="225"/>
      <c r="BS92" s="225"/>
      <c r="BT92" s="225"/>
      <c r="BU92" s="225"/>
      <c r="BV92" s="530"/>
    </row>
    <row r="93" spans="1:74" s="652" customFormat="1" x14ac:dyDescent="0.25">
      <c r="A93" s="756"/>
      <c r="B93" s="640" t="s">
        <v>792</v>
      </c>
      <c r="C93" s="641" t="s">
        <v>664</v>
      </c>
      <c r="D93" s="641" t="s">
        <v>75</v>
      </c>
      <c r="E93" s="642">
        <v>46000</v>
      </c>
      <c r="F93" s="643">
        <f t="shared" si="149"/>
        <v>30</v>
      </c>
      <c r="G93" s="644">
        <f>E93*F93</f>
        <v>1380000</v>
      </c>
      <c r="H93" s="644">
        <f t="shared" si="178"/>
        <v>276000</v>
      </c>
      <c r="I93" s="644">
        <f t="shared" si="179"/>
        <v>1104000</v>
      </c>
      <c r="J93" s="644"/>
      <c r="K93" s="644"/>
      <c r="L93" s="644"/>
      <c r="M93" s="644"/>
      <c r="N93" s="644"/>
      <c r="O93" s="644"/>
      <c r="P93" s="644"/>
      <c r="Q93" s="644"/>
      <c r="R93" s="645">
        <f t="shared" si="180"/>
        <v>4.5</v>
      </c>
      <c r="S93" s="645">
        <f>F93*0.7</f>
        <v>21</v>
      </c>
      <c r="T93" s="645">
        <f>F93:F93*0.15</f>
        <v>4.5</v>
      </c>
      <c r="U93" s="645"/>
      <c r="V93" s="646">
        <f t="shared" si="150"/>
        <v>207000</v>
      </c>
      <c r="W93" s="646">
        <f t="shared" si="151"/>
        <v>966000</v>
      </c>
      <c r="X93" s="646">
        <f t="shared" si="152"/>
        <v>207000</v>
      </c>
      <c r="Y93" s="646">
        <f t="shared" si="144"/>
        <v>0</v>
      </c>
      <c r="Z93" s="645">
        <v>4</v>
      </c>
      <c r="AA93" s="646">
        <f t="shared" ref="AA93:AA99" si="186">Z93*E93</f>
        <v>184000</v>
      </c>
      <c r="AB93" s="645">
        <v>2</v>
      </c>
      <c r="AC93" s="646">
        <f t="shared" si="140"/>
        <v>92000</v>
      </c>
      <c r="AD93" s="645">
        <v>2</v>
      </c>
      <c r="AE93" s="646">
        <f t="shared" ref="AE93:AE99" si="187">AD93*E93</f>
        <v>92000</v>
      </c>
      <c r="AF93" s="645">
        <v>2</v>
      </c>
      <c r="AG93" s="646">
        <f t="shared" ref="AG93:AG99" si="188">AF93*E93</f>
        <v>92000</v>
      </c>
      <c r="AH93" s="645">
        <v>2</v>
      </c>
      <c r="AI93" s="646">
        <f t="shared" ref="AI93:AI99" si="189">AH93*E93</f>
        <v>92000</v>
      </c>
      <c r="AJ93" s="645">
        <v>1</v>
      </c>
      <c r="AK93" s="646">
        <f t="shared" si="181"/>
        <v>46000</v>
      </c>
      <c r="AL93" s="645">
        <v>2</v>
      </c>
      <c r="AM93" s="646">
        <f t="shared" si="165"/>
        <v>92000</v>
      </c>
      <c r="AN93" s="645">
        <v>0</v>
      </c>
      <c r="AO93" s="646">
        <f t="shared" si="154"/>
        <v>0</v>
      </c>
      <c r="AP93" s="645">
        <v>0</v>
      </c>
      <c r="AQ93" s="646">
        <f t="shared" si="166"/>
        <v>0</v>
      </c>
      <c r="AR93" s="645">
        <v>4</v>
      </c>
      <c r="AS93" s="646">
        <f t="shared" si="168"/>
        <v>184000</v>
      </c>
      <c r="AT93" s="645">
        <v>3</v>
      </c>
      <c r="AU93" s="646">
        <f t="shared" si="155"/>
        <v>138000</v>
      </c>
      <c r="AV93" s="645">
        <v>2</v>
      </c>
      <c r="AW93" s="646">
        <f t="shared" si="167"/>
        <v>92000</v>
      </c>
      <c r="AX93" s="646">
        <v>3</v>
      </c>
      <c r="AY93" s="646">
        <f t="shared" si="182"/>
        <v>138000</v>
      </c>
      <c r="AZ93" s="645">
        <v>1</v>
      </c>
      <c r="BA93" s="646">
        <f t="shared" ref="BA93:BA99" si="190">AZ93*E93</f>
        <v>46000</v>
      </c>
      <c r="BB93" s="645">
        <v>2</v>
      </c>
      <c r="BC93" s="646">
        <f t="shared" si="183"/>
        <v>92000</v>
      </c>
      <c r="BD93" s="645">
        <v>0</v>
      </c>
      <c r="BE93" s="646">
        <f t="shared" si="184"/>
        <v>0</v>
      </c>
      <c r="BF93" s="645">
        <v>0</v>
      </c>
      <c r="BG93" s="646">
        <f t="shared" si="185"/>
        <v>0</v>
      </c>
      <c r="BH93" s="645"/>
      <c r="BI93" s="646">
        <f t="shared" si="146"/>
        <v>0</v>
      </c>
      <c r="BJ93" s="645">
        <f t="shared" si="177"/>
        <v>30</v>
      </c>
      <c r="BK93" s="645">
        <f t="shared" si="147"/>
        <v>1380000</v>
      </c>
      <c r="BL93" s="648" t="s">
        <v>506</v>
      </c>
      <c r="BM93" s="649"/>
      <c r="BN93" s="644"/>
      <c r="BO93" s="650"/>
      <c r="BP93" s="644">
        <f t="shared" si="148"/>
        <v>1380000</v>
      </c>
      <c r="BQ93" s="650"/>
      <c r="BR93" s="650">
        <f t="shared" si="173"/>
        <v>1380000</v>
      </c>
      <c r="BS93" s="650"/>
      <c r="BT93" s="650"/>
      <c r="BU93" s="650"/>
      <c r="BV93" s="651">
        <f t="shared" si="170"/>
        <v>1380000</v>
      </c>
    </row>
    <row r="94" spans="1:74" x14ac:dyDescent="0.25">
      <c r="A94" s="756"/>
      <c r="B94" s="181"/>
      <c r="C94" s="169" t="s">
        <v>871</v>
      </c>
      <c r="D94" s="169" t="s">
        <v>75</v>
      </c>
      <c r="E94" s="208">
        <v>85000</v>
      </c>
      <c r="F94" s="194">
        <f t="shared" si="149"/>
        <v>0</v>
      </c>
      <c r="G94" s="441">
        <f t="shared" si="174"/>
        <v>0</v>
      </c>
      <c r="H94" s="441">
        <v>0</v>
      </c>
      <c r="I94" s="441">
        <v>0</v>
      </c>
      <c r="J94" s="534">
        <f>G94</f>
        <v>0</v>
      </c>
      <c r="K94" s="441"/>
      <c r="L94" s="441"/>
      <c r="M94" s="441"/>
      <c r="N94" s="441"/>
      <c r="O94" s="441"/>
      <c r="P94" s="441"/>
      <c r="Q94" s="441"/>
      <c r="R94" s="230">
        <f t="shared" si="180"/>
        <v>0</v>
      </c>
      <c r="S94" s="230">
        <f>F94*0.7</f>
        <v>0</v>
      </c>
      <c r="T94" s="230">
        <f>F94:F94*0.15</f>
        <v>0</v>
      </c>
      <c r="U94" s="230"/>
      <c r="V94" s="231">
        <f t="shared" si="150"/>
        <v>0</v>
      </c>
      <c r="W94" s="231">
        <f t="shared" si="151"/>
        <v>0</v>
      </c>
      <c r="X94" s="231">
        <f t="shared" si="152"/>
        <v>0</v>
      </c>
      <c r="Y94" s="231"/>
      <c r="Z94" s="230">
        <v>0</v>
      </c>
      <c r="AA94" s="231">
        <f t="shared" si="186"/>
        <v>0</v>
      </c>
      <c r="AB94" s="230">
        <v>0</v>
      </c>
      <c r="AC94" s="231">
        <f t="shared" si="140"/>
        <v>0</v>
      </c>
      <c r="AD94" s="230">
        <v>0</v>
      </c>
      <c r="AE94" s="231">
        <f t="shared" si="187"/>
        <v>0</v>
      </c>
      <c r="AF94" s="230">
        <v>0</v>
      </c>
      <c r="AG94" s="231">
        <f t="shared" si="188"/>
        <v>0</v>
      </c>
      <c r="AH94" s="230">
        <v>0</v>
      </c>
      <c r="AI94" s="231">
        <f t="shared" si="189"/>
        <v>0</v>
      </c>
      <c r="AJ94" s="230">
        <v>0</v>
      </c>
      <c r="AK94" s="231">
        <f t="shared" si="181"/>
        <v>0</v>
      </c>
      <c r="AL94" s="230">
        <v>0</v>
      </c>
      <c r="AM94" s="231">
        <f t="shared" si="165"/>
        <v>0</v>
      </c>
      <c r="AN94" s="230">
        <v>0</v>
      </c>
      <c r="AO94" s="231">
        <f t="shared" si="154"/>
        <v>0</v>
      </c>
      <c r="AP94" s="230">
        <v>0</v>
      </c>
      <c r="AQ94" s="231">
        <f t="shared" si="166"/>
        <v>0</v>
      </c>
      <c r="AR94" s="230">
        <v>0</v>
      </c>
      <c r="AS94" s="231">
        <f t="shared" si="168"/>
        <v>0</v>
      </c>
      <c r="AT94" s="230">
        <v>0</v>
      </c>
      <c r="AU94" s="231">
        <f t="shared" si="155"/>
        <v>0</v>
      </c>
      <c r="AV94" s="230">
        <v>0</v>
      </c>
      <c r="AW94" s="231">
        <f t="shared" si="167"/>
        <v>0</v>
      </c>
      <c r="AX94" s="231">
        <v>0</v>
      </c>
      <c r="AY94" s="231">
        <f t="shared" si="182"/>
        <v>0</v>
      </c>
      <c r="AZ94" s="230">
        <v>0</v>
      </c>
      <c r="BA94" s="231">
        <f t="shared" si="190"/>
        <v>0</v>
      </c>
      <c r="BB94" s="230">
        <v>0</v>
      </c>
      <c r="BC94" s="231">
        <f>BB94*E94</f>
        <v>0</v>
      </c>
      <c r="BD94" s="230">
        <v>0</v>
      </c>
      <c r="BE94" s="231">
        <f t="shared" si="184"/>
        <v>0</v>
      </c>
      <c r="BF94" s="230">
        <v>0</v>
      </c>
      <c r="BG94" s="231">
        <f t="shared" si="185"/>
        <v>0</v>
      </c>
      <c r="BH94" s="230"/>
      <c r="BI94" s="231"/>
      <c r="BJ94" s="230">
        <f t="shared" si="177"/>
        <v>0</v>
      </c>
      <c r="BK94" s="230">
        <f t="shared" si="177"/>
        <v>0</v>
      </c>
      <c r="BL94" s="543" t="s">
        <v>766</v>
      </c>
      <c r="BM94" s="535"/>
      <c r="BN94" s="441"/>
      <c r="BO94" s="225"/>
      <c r="BP94" s="441">
        <f t="shared" si="148"/>
        <v>0</v>
      </c>
      <c r="BQ94" s="225"/>
      <c r="BR94" s="225">
        <f t="shared" si="173"/>
        <v>0</v>
      </c>
      <c r="BS94" s="225"/>
      <c r="BT94" s="225"/>
      <c r="BU94" s="225"/>
      <c r="BV94" s="530">
        <f t="shared" si="170"/>
        <v>0</v>
      </c>
    </row>
    <row r="95" spans="1:74" x14ac:dyDescent="0.25">
      <c r="A95" s="756"/>
      <c r="B95" s="181"/>
      <c r="C95" s="169" t="s">
        <v>888</v>
      </c>
      <c r="D95" s="169" t="s">
        <v>75</v>
      </c>
      <c r="E95" s="208">
        <v>75000</v>
      </c>
      <c r="F95" s="194">
        <f>BJ95</f>
        <v>0</v>
      </c>
      <c r="G95" s="441">
        <f>F95*E95</f>
        <v>0</v>
      </c>
      <c r="H95" s="441">
        <v>0</v>
      </c>
      <c r="I95" s="441">
        <v>0</v>
      </c>
      <c r="J95" s="534">
        <f>G95</f>
        <v>0</v>
      </c>
      <c r="K95" s="441"/>
      <c r="L95" s="441"/>
      <c r="M95" s="441"/>
      <c r="N95" s="441"/>
      <c r="O95" s="441"/>
      <c r="P95" s="441"/>
      <c r="Q95" s="441"/>
      <c r="R95" s="230"/>
      <c r="S95" s="230"/>
      <c r="T95" s="230"/>
      <c r="U95" s="230"/>
      <c r="V95" s="231"/>
      <c r="W95" s="231"/>
      <c r="X95" s="231"/>
      <c r="Y95" s="231"/>
      <c r="Z95" s="230">
        <v>0</v>
      </c>
      <c r="AA95" s="231">
        <f t="shared" si="186"/>
        <v>0</v>
      </c>
      <c r="AB95" s="230">
        <v>0</v>
      </c>
      <c r="AC95" s="231">
        <f t="shared" si="140"/>
        <v>0</v>
      </c>
      <c r="AD95" s="230">
        <v>0</v>
      </c>
      <c r="AE95" s="231">
        <f t="shared" si="187"/>
        <v>0</v>
      </c>
      <c r="AF95" s="230">
        <v>0</v>
      </c>
      <c r="AG95" s="231">
        <f t="shared" si="188"/>
        <v>0</v>
      </c>
      <c r="AH95" s="230">
        <v>0</v>
      </c>
      <c r="AI95" s="231">
        <f t="shared" si="189"/>
        <v>0</v>
      </c>
      <c r="AJ95" s="230">
        <v>0</v>
      </c>
      <c r="AK95" s="231">
        <f t="shared" si="181"/>
        <v>0</v>
      </c>
      <c r="AL95" s="230">
        <v>0</v>
      </c>
      <c r="AM95" s="231">
        <f t="shared" si="165"/>
        <v>0</v>
      </c>
      <c r="AN95" s="230">
        <v>0</v>
      </c>
      <c r="AO95" s="231">
        <f t="shared" si="154"/>
        <v>0</v>
      </c>
      <c r="AP95" s="230">
        <v>0</v>
      </c>
      <c r="AQ95" s="231">
        <f t="shared" si="166"/>
        <v>0</v>
      </c>
      <c r="AR95" s="230">
        <v>0</v>
      </c>
      <c r="AS95" s="231">
        <f t="shared" si="168"/>
        <v>0</v>
      </c>
      <c r="AT95" s="230">
        <v>0</v>
      </c>
      <c r="AU95" s="231">
        <f t="shared" si="155"/>
        <v>0</v>
      </c>
      <c r="AV95" s="230">
        <v>0</v>
      </c>
      <c r="AW95" s="231">
        <f t="shared" si="167"/>
        <v>0</v>
      </c>
      <c r="AX95" s="231">
        <v>0</v>
      </c>
      <c r="AY95" s="231">
        <f t="shared" si="182"/>
        <v>0</v>
      </c>
      <c r="AZ95" s="230">
        <v>0</v>
      </c>
      <c r="BA95" s="231">
        <f t="shared" si="190"/>
        <v>0</v>
      </c>
      <c r="BB95" s="230">
        <v>0</v>
      </c>
      <c r="BC95" s="231">
        <f t="shared" si="183"/>
        <v>0</v>
      </c>
      <c r="BD95" s="230">
        <v>0</v>
      </c>
      <c r="BE95" s="231">
        <f t="shared" si="184"/>
        <v>0</v>
      </c>
      <c r="BF95" s="230">
        <v>0</v>
      </c>
      <c r="BG95" s="231">
        <f t="shared" si="185"/>
        <v>0</v>
      </c>
      <c r="BH95" s="230"/>
      <c r="BI95" s="231"/>
      <c r="BJ95" s="230">
        <f>BH95+BF95+BD95+BB95+AZ95+AX95+AV95+AT95+AR95+AP95+AN95+AL95+AJ95+AH95+AF95+AD95+AB95+Z95</f>
        <v>0</v>
      </c>
      <c r="BK95" s="230">
        <f t="shared" si="177"/>
        <v>0</v>
      </c>
      <c r="BL95" s="543" t="s">
        <v>766</v>
      </c>
      <c r="BM95" s="535"/>
      <c r="BN95" s="441"/>
      <c r="BO95" s="225"/>
      <c r="BP95" s="441"/>
      <c r="BQ95" s="225"/>
      <c r="BR95" s="225"/>
      <c r="BS95" s="225"/>
      <c r="BT95" s="225"/>
      <c r="BU95" s="225"/>
      <c r="BV95" s="530"/>
    </row>
    <row r="96" spans="1:74" x14ac:dyDescent="0.25">
      <c r="A96" s="756"/>
      <c r="B96" s="181" t="s">
        <v>793</v>
      </c>
      <c r="C96" s="169" t="s">
        <v>665</v>
      </c>
      <c r="D96" s="169" t="s">
        <v>75</v>
      </c>
      <c r="E96" s="208">
        <v>41800</v>
      </c>
      <c r="F96" s="194">
        <f>BJ96</f>
        <v>0</v>
      </c>
      <c r="G96" s="441">
        <f t="shared" si="174"/>
        <v>0</v>
      </c>
      <c r="H96" s="441">
        <f t="shared" si="178"/>
        <v>0</v>
      </c>
      <c r="I96" s="441">
        <f t="shared" si="179"/>
        <v>0</v>
      </c>
      <c r="J96" s="441"/>
      <c r="K96" s="441"/>
      <c r="L96" s="441"/>
      <c r="M96" s="441"/>
      <c r="N96" s="441"/>
      <c r="O96" s="441"/>
      <c r="P96" s="441"/>
      <c r="Q96" s="441"/>
      <c r="R96" s="230">
        <f t="shared" si="180"/>
        <v>0</v>
      </c>
      <c r="S96" s="230">
        <f>F96*0.85</f>
        <v>0</v>
      </c>
      <c r="T96" s="230">
        <v>0</v>
      </c>
      <c r="U96" s="230"/>
      <c r="V96" s="231">
        <f t="shared" si="150"/>
        <v>0</v>
      </c>
      <c r="W96" s="231">
        <f t="shared" si="151"/>
        <v>0</v>
      </c>
      <c r="X96" s="231">
        <f t="shared" si="152"/>
        <v>0</v>
      </c>
      <c r="Y96" s="231">
        <f t="shared" si="144"/>
        <v>0</v>
      </c>
      <c r="Z96" s="230">
        <v>0</v>
      </c>
      <c r="AA96" s="231">
        <f t="shared" si="186"/>
        <v>0</v>
      </c>
      <c r="AB96" s="230">
        <v>0</v>
      </c>
      <c r="AC96" s="231">
        <f t="shared" si="140"/>
        <v>0</v>
      </c>
      <c r="AD96" s="230">
        <v>0</v>
      </c>
      <c r="AE96" s="231">
        <f t="shared" si="187"/>
        <v>0</v>
      </c>
      <c r="AF96" s="230">
        <v>0</v>
      </c>
      <c r="AG96" s="231">
        <f t="shared" si="188"/>
        <v>0</v>
      </c>
      <c r="AH96" s="230">
        <v>0</v>
      </c>
      <c r="AI96" s="231">
        <f t="shared" si="189"/>
        <v>0</v>
      </c>
      <c r="AJ96" s="230">
        <v>0</v>
      </c>
      <c r="AK96" s="231">
        <f t="shared" si="181"/>
        <v>0</v>
      </c>
      <c r="AL96" s="230">
        <v>0</v>
      </c>
      <c r="AM96" s="231">
        <f t="shared" si="165"/>
        <v>0</v>
      </c>
      <c r="AN96" s="230">
        <v>0</v>
      </c>
      <c r="AO96" s="231">
        <f t="shared" si="154"/>
        <v>0</v>
      </c>
      <c r="AP96" s="230">
        <v>0</v>
      </c>
      <c r="AQ96" s="231">
        <f t="shared" si="166"/>
        <v>0</v>
      </c>
      <c r="AR96" s="230">
        <v>0</v>
      </c>
      <c r="AS96" s="231">
        <f t="shared" si="168"/>
        <v>0</v>
      </c>
      <c r="AT96" s="230">
        <v>0</v>
      </c>
      <c r="AU96" s="231">
        <f t="shared" si="155"/>
        <v>0</v>
      </c>
      <c r="AV96" s="230">
        <v>0</v>
      </c>
      <c r="AW96" s="231">
        <f t="shared" si="167"/>
        <v>0</v>
      </c>
      <c r="AX96" s="231">
        <v>0</v>
      </c>
      <c r="AY96" s="231">
        <f t="shared" si="182"/>
        <v>0</v>
      </c>
      <c r="AZ96" s="230">
        <v>0</v>
      </c>
      <c r="BA96" s="231">
        <f t="shared" si="190"/>
        <v>0</v>
      </c>
      <c r="BB96" s="230">
        <v>0</v>
      </c>
      <c r="BC96" s="231">
        <f t="shared" si="183"/>
        <v>0</v>
      </c>
      <c r="BD96" s="230">
        <v>0</v>
      </c>
      <c r="BE96" s="231">
        <f t="shared" si="184"/>
        <v>0</v>
      </c>
      <c r="BF96" s="230">
        <v>0</v>
      </c>
      <c r="BG96" s="231">
        <f t="shared" si="185"/>
        <v>0</v>
      </c>
      <c r="BH96" s="230"/>
      <c r="BI96" s="231">
        <f t="shared" si="146"/>
        <v>0</v>
      </c>
      <c r="BJ96" s="230">
        <f t="shared" si="177"/>
        <v>0</v>
      </c>
      <c r="BK96" s="230">
        <f t="shared" si="177"/>
        <v>0</v>
      </c>
      <c r="BL96" s="543" t="s">
        <v>506</v>
      </c>
      <c r="BM96" s="535"/>
      <c r="BN96" s="441"/>
      <c r="BO96" s="225"/>
      <c r="BP96" s="441">
        <f t="shared" si="148"/>
        <v>0</v>
      </c>
      <c r="BQ96" s="225"/>
      <c r="BR96" s="225">
        <f t="shared" si="173"/>
        <v>0</v>
      </c>
      <c r="BS96" s="225"/>
      <c r="BT96" s="225"/>
      <c r="BU96" s="225"/>
      <c r="BV96" s="530">
        <f t="shared" si="170"/>
        <v>0</v>
      </c>
    </row>
    <row r="97" spans="1:74" x14ac:dyDescent="0.25">
      <c r="A97" s="756"/>
      <c r="B97" s="181" t="s">
        <v>794</v>
      </c>
      <c r="C97" s="169" t="s">
        <v>666</v>
      </c>
      <c r="D97" s="169" t="s">
        <v>75</v>
      </c>
      <c r="E97" s="208">
        <v>90000</v>
      </c>
      <c r="F97" s="194">
        <f>BJ97</f>
        <v>0</v>
      </c>
      <c r="G97" s="441">
        <f t="shared" si="174"/>
        <v>0</v>
      </c>
      <c r="H97" s="441">
        <f t="shared" si="178"/>
        <v>0</v>
      </c>
      <c r="I97" s="441">
        <f t="shared" si="179"/>
        <v>0</v>
      </c>
      <c r="J97" s="441"/>
      <c r="K97" s="441"/>
      <c r="L97" s="441"/>
      <c r="M97" s="441"/>
      <c r="N97" s="441"/>
      <c r="O97" s="441"/>
      <c r="P97" s="441"/>
      <c r="Q97" s="441"/>
      <c r="R97" s="230">
        <f t="shared" si="180"/>
        <v>0</v>
      </c>
      <c r="S97" s="230">
        <f>F97*0.7</f>
        <v>0</v>
      </c>
      <c r="T97" s="230">
        <f>F97:F97*0.15</f>
        <v>0</v>
      </c>
      <c r="U97" s="230"/>
      <c r="V97" s="231">
        <f t="shared" si="150"/>
        <v>0</v>
      </c>
      <c r="W97" s="231">
        <f t="shared" si="151"/>
        <v>0</v>
      </c>
      <c r="X97" s="231">
        <f t="shared" si="152"/>
        <v>0</v>
      </c>
      <c r="Y97" s="231">
        <f t="shared" si="144"/>
        <v>0</v>
      </c>
      <c r="Z97" s="230"/>
      <c r="AA97" s="231">
        <f t="shared" si="186"/>
        <v>0</v>
      </c>
      <c r="AB97" s="230">
        <v>0</v>
      </c>
      <c r="AC97" s="231">
        <f t="shared" si="140"/>
        <v>0</v>
      </c>
      <c r="AD97" s="230">
        <v>0</v>
      </c>
      <c r="AE97" s="231">
        <f t="shared" si="187"/>
        <v>0</v>
      </c>
      <c r="AF97" s="230">
        <v>0</v>
      </c>
      <c r="AG97" s="231">
        <f t="shared" si="188"/>
        <v>0</v>
      </c>
      <c r="AH97" s="230">
        <v>0</v>
      </c>
      <c r="AI97" s="231">
        <f t="shared" si="189"/>
        <v>0</v>
      </c>
      <c r="AJ97" s="230">
        <v>0</v>
      </c>
      <c r="AK97" s="231">
        <f t="shared" si="181"/>
        <v>0</v>
      </c>
      <c r="AL97" s="230"/>
      <c r="AM97" s="231">
        <f t="shared" si="165"/>
        <v>0</v>
      </c>
      <c r="AN97" s="230">
        <v>0</v>
      </c>
      <c r="AO97" s="231">
        <f t="shared" si="154"/>
        <v>0</v>
      </c>
      <c r="AP97" s="230"/>
      <c r="AQ97" s="231">
        <f t="shared" si="166"/>
        <v>0</v>
      </c>
      <c r="AR97" s="230"/>
      <c r="AS97" s="231">
        <f t="shared" si="168"/>
        <v>0</v>
      </c>
      <c r="AT97" s="230"/>
      <c r="AU97" s="231">
        <f t="shared" si="155"/>
        <v>0</v>
      </c>
      <c r="AV97" s="230">
        <v>0</v>
      </c>
      <c r="AW97" s="231">
        <f t="shared" si="167"/>
        <v>0</v>
      </c>
      <c r="AX97" s="231"/>
      <c r="AY97" s="231">
        <f t="shared" si="182"/>
        <v>0</v>
      </c>
      <c r="AZ97" s="230"/>
      <c r="BA97" s="231">
        <f t="shared" si="190"/>
        <v>0</v>
      </c>
      <c r="BB97" s="230">
        <v>0</v>
      </c>
      <c r="BC97" s="231">
        <f t="shared" si="183"/>
        <v>0</v>
      </c>
      <c r="BD97" s="230">
        <v>0</v>
      </c>
      <c r="BE97" s="231">
        <f t="shared" si="184"/>
        <v>0</v>
      </c>
      <c r="BF97" s="230"/>
      <c r="BG97" s="231">
        <f t="shared" si="185"/>
        <v>0</v>
      </c>
      <c r="BH97" s="230"/>
      <c r="BI97" s="231">
        <f t="shared" si="146"/>
        <v>0</v>
      </c>
      <c r="BJ97" s="230">
        <f t="shared" si="177"/>
        <v>0</v>
      </c>
      <c r="BK97" s="230">
        <f t="shared" si="177"/>
        <v>0</v>
      </c>
      <c r="BL97" s="543" t="s">
        <v>506</v>
      </c>
      <c r="BM97" s="535"/>
      <c r="BN97" s="441"/>
      <c r="BO97" s="225"/>
      <c r="BP97" s="441">
        <f t="shared" si="148"/>
        <v>0</v>
      </c>
      <c r="BQ97" s="225"/>
      <c r="BR97" s="225">
        <f t="shared" si="173"/>
        <v>0</v>
      </c>
      <c r="BS97" s="225"/>
      <c r="BT97" s="225"/>
      <c r="BU97" s="225"/>
      <c r="BV97" s="530">
        <f t="shared" si="170"/>
        <v>0</v>
      </c>
    </row>
    <row r="98" spans="1:74" s="652" customFormat="1" x14ac:dyDescent="0.25">
      <c r="A98" s="756"/>
      <c r="B98" s="640" t="s">
        <v>795</v>
      </c>
      <c r="C98" s="641" t="s">
        <v>667</v>
      </c>
      <c r="D98" s="641" t="s">
        <v>75</v>
      </c>
      <c r="E98" s="642">
        <v>50000</v>
      </c>
      <c r="F98" s="643">
        <f>BJ98</f>
        <v>7</v>
      </c>
      <c r="G98" s="644">
        <f t="shared" si="174"/>
        <v>350000</v>
      </c>
      <c r="H98" s="644">
        <f t="shared" si="178"/>
        <v>70000</v>
      </c>
      <c r="I98" s="644">
        <f t="shared" si="179"/>
        <v>280000</v>
      </c>
      <c r="J98" s="644"/>
      <c r="K98" s="644"/>
      <c r="L98" s="644"/>
      <c r="M98" s="644"/>
      <c r="N98" s="644"/>
      <c r="O98" s="644"/>
      <c r="P98" s="644"/>
      <c r="Q98" s="644"/>
      <c r="R98" s="645">
        <f t="shared" si="180"/>
        <v>1.05</v>
      </c>
      <c r="S98" s="645">
        <f>F98*0.7</f>
        <v>4.8999999999999995</v>
      </c>
      <c r="T98" s="645">
        <f>F98:F98*0.15</f>
        <v>1.05</v>
      </c>
      <c r="U98" s="645"/>
      <c r="V98" s="646">
        <f t="shared" si="150"/>
        <v>52500</v>
      </c>
      <c r="W98" s="646">
        <f t="shared" si="151"/>
        <v>244999.99999999997</v>
      </c>
      <c r="X98" s="646">
        <f t="shared" si="152"/>
        <v>52500</v>
      </c>
      <c r="Y98" s="646">
        <f t="shared" si="144"/>
        <v>0</v>
      </c>
      <c r="Z98" s="645">
        <v>0</v>
      </c>
      <c r="AA98" s="646">
        <f t="shared" si="186"/>
        <v>0</v>
      </c>
      <c r="AB98" s="645">
        <v>0</v>
      </c>
      <c r="AC98" s="646">
        <f t="shared" si="140"/>
        <v>0</v>
      </c>
      <c r="AD98" s="645">
        <v>0</v>
      </c>
      <c r="AE98" s="646">
        <f t="shared" si="187"/>
        <v>0</v>
      </c>
      <c r="AF98" s="645">
        <v>0</v>
      </c>
      <c r="AG98" s="646">
        <f t="shared" si="188"/>
        <v>0</v>
      </c>
      <c r="AH98" s="645">
        <v>2</v>
      </c>
      <c r="AI98" s="646">
        <f t="shared" si="189"/>
        <v>100000</v>
      </c>
      <c r="AJ98" s="645">
        <v>0</v>
      </c>
      <c r="AK98" s="646">
        <f t="shared" si="181"/>
        <v>0</v>
      </c>
      <c r="AL98" s="645">
        <v>0</v>
      </c>
      <c r="AM98" s="646">
        <f t="shared" si="165"/>
        <v>0</v>
      </c>
      <c r="AN98" s="645">
        <v>0</v>
      </c>
      <c r="AO98" s="646">
        <f t="shared" si="154"/>
        <v>0</v>
      </c>
      <c r="AP98" s="645">
        <v>2</v>
      </c>
      <c r="AQ98" s="646">
        <f t="shared" si="166"/>
        <v>100000</v>
      </c>
      <c r="AR98" s="645">
        <v>2</v>
      </c>
      <c r="AS98" s="646">
        <f t="shared" si="168"/>
        <v>100000</v>
      </c>
      <c r="AT98" s="645">
        <v>0</v>
      </c>
      <c r="AU98" s="646">
        <f t="shared" si="155"/>
        <v>0</v>
      </c>
      <c r="AV98" s="645">
        <v>0</v>
      </c>
      <c r="AW98" s="646">
        <f t="shared" si="167"/>
        <v>0</v>
      </c>
      <c r="AX98" s="646"/>
      <c r="AY98" s="646">
        <f t="shared" si="182"/>
        <v>0</v>
      </c>
      <c r="AZ98" s="645">
        <v>1</v>
      </c>
      <c r="BA98" s="646">
        <f t="shared" si="190"/>
        <v>50000</v>
      </c>
      <c r="BB98" s="645">
        <v>0</v>
      </c>
      <c r="BC98" s="646">
        <f t="shared" si="183"/>
        <v>0</v>
      </c>
      <c r="BD98" s="645">
        <v>0</v>
      </c>
      <c r="BE98" s="646">
        <f t="shared" si="184"/>
        <v>0</v>
      </c>
      <c r="BF98" s="645"/>
      <c r="BG98" s="646">
        <f t="shared" si="185"/>
        <v>0</v>
      </c>
      <c r="BH98" s="645"/>
      <c r="BI98" s="646">
        <f t="shared" si="146"/>
        <v>0</v>
      </c>
      <c r="BJ98" s="645">
        <f t="shared" si="177"/>
        <v>7</v>
      </c>
      <c r="BK98" s="645">
        <f t="shared" si="177"/>
        <v>350000</v>
      </c>
      <c r="BL98" s="648" t="s">
        <v>506</v>
      </c>
      <c r="BM98" s="649"/>
      <c r="BN98" s="644"/>
      <c r="BO98" s="650"/>
      <c r="BP98" s="644">
        <f t="shared" si="148"/>
        <v>350000</v>
      </c>
      <c r="BQ98" s="650"/>
      <c r="BR98" s="650">
        <f t="shared" si="173"/>
        <v>350000</v>
      </c>
      <c r="BS98" s="650"/>
      <c r="BT98" s="650"/>
      <c r="BU98" s="650"/>
      <c r="BV98" s="651">
        <f t="shared" si="170"/>
        <v>350000</v>
      </c>
    </row>
    <row r="99" spans="1:74" x14ac:dyDescent="0.25">
      <c r="A99" s="756"/>
      <c r="B99" s="181" t="s">
        <v>796</v>
      </c>
      <c r="C99" s="169" t="s">
        <v>668</v>
      </c>
      <c r="D99" s="169" t="s">
        <v>75</v>
      </c>
      <c r="E99" s="208">
        <v>80000</v>
      </c>
      <c r="F99" s="194">
        <f>BJ99</f>
        <v>0</v>
      </c>
      <c r="G99" s="441">
        <f t="shared" si="174"/>
        <v>0</v>
      </c>
      <c r="H99" s="441">
        <f t="shared" si="178"/>
        <v>0</v>
      </c>
      <c r="I99" s="441">
        <f t="shared" si="179"/>
        <v>0</v>
      </c>
      <c r="J99" s="441"/>
      <c r="K99" s="441"/>
      <c r="L99" s="441"/>
      <c r="M99" s="441"/>
      <c r="N99" s="441"/>
      <c r="O99" s="441"/>
      <c r="P99" s="441"/>
      <c r="Q99" s="441"/>
      <c r="R99" s="230">
        <f t="shared" si="180"/>
        <v>0</v>
      </c>
      <c r="S99" s="230">
        <f>F99*0.7</f>
        <v>0</v>
      </c>
      <c r="T99" s="230">
        <f>F99:F99*0.15</f>
        <v>0</v>
      </c>
      <c r="U99" s="230"/>
      <c r="V99" s="231">
        <f t="shared" si="150"/>
        <v>0</v>
      </c>
      <c r="W99" s="231">
        <f t="shared" si="151"/>
        <v>0</v>
      </c>
      <c r="X99" s="231">
        <f t="shared" si="152"/>
        <v>0</v>
      </c>
      <c r="Y99" s="231">
        <f t="shared" si="144"/>
        <v>0</v>
      </c>
      <c r="Z99" s="230">
        <v>0</v>
      </c>
      <c r="AA99" s="231">
        <f t="shared" si="186"/>
        <v>0</v>
      </c>
      <c r="AB99" s="230">
        <v>0</v>
      </c>
      <c r="AC99" s="231">
        <f t="shared" si="140"/>
        <v>0</v>
      </c>
      <c r="AD99" s="230">
        <v>0</v>
      </c>
      <c r="AE99" s="231">
        <f t="shared" si="187"/>
        <v>0</v>
      </c>
      <c r="AF99" s="230">
        <v>0</v>
      </c>
      <c r="AG99" s="231">
        <f t="shared" si="188"/>
        <v>0</v>
      </c>
      <c r="AH99" s="230">
        <v>0</v>
      </c>
      <c r="AI99" s="231">
        <f t="shared" si="189"/>
        <v>0</v>
      </c>
      <c r="AJ99" s="230">
        <v>0</v>
      </c>
      <c r="AK99" s="231">
        <f t="shared" si="181"/>
        <v>0</v>
      </c>
      <c r="AL99" s="230">
        <v>0</v>
      </c>
      <c r="AM99" s="231">
        <f t="shared" si="165"/>
        <v>0</v>
      </c>
      <c r="AN99" s="230">
        <v>0</v>
      </c>
      <c r="AO99" s="231">
        <f t="shared" si="154"/>
        <v>0</v>
      </c>
      <c r="AP99" s="230"/>
      <c r="AQ99" s="231">
        <f t="shared" si="166"/>
        <v>0</v>
      </c>
      <c r="AR99" s="230">
        <v>0</v>
      </c>
      <c r="AS99" s="231">
        <f t="shared" si="168"/>
        <v>0</v>
      </c>
      <c r="AT99" s="230">
        <v>0</v>
      </c>
      <c r="AU99" s="231">
        <f t="shared" si="155"/>
        <v>0</v>
      </c>
      <c r="AV99" s="230">
        <v>0</v>
      </c>
      <c r="AW99" s="231">
        <f t="shared" si="167"/>
        <v>0</v>
      </c>
      <c r="AX99" s="231"/>
      <c r="AY99" s="231">
        <f t="shared" si="182"/>
        <v>0</v>
      </c>
      <c r="AZ99" s="230"/>
      <c r="BA99" s="231">
        <f t="shared" si="190"/>
        <v>0</v>
      </c>
      <c r="BB99" s="230">
        <v>0</v>
      </c>
      <c r="BC99" s="231">
        <f t="shared" si="183"/>
        <v>0</v>
      </c>
      <c r="BD99" s="230">
        <v>0</v>
      </c>
      <c r="BE99" s="231">
        <f t="shared" si="184"/>
        <v>0</v>
      </c>
      <c r="BF99" s="230"/>
      <c r="BG99" s="231">
        <f t="shared" si="185"/>
        <v>0</v>
      </c>
      <c r="BH99" s="230"/>
      <c r="BI99" s="231">
        <f t="shared" si="146"/>
        <v>0</v>
      </c>
      <c r="BJ99" s="230">
        <f t="shared" si="177"/>
        <v>0</v>
      </c>
      <c r="BK99" s="230">
        <f t="shared" si="177"/>
        <v>0</v>
      </c>
      <c r="BL99" s="543" t="s">
        <v>506</v>
      </c>
      <c r="BM99" s="535"/>
      <c r="BN99" s="441"/>
      <c r="BO99" s="225"/>
      <c r="BP99" s="441">
        <f t="shared" si="148"/>
        <v>0</v>
      </c>
      <c r="BQ99" s="225"/>
      <c r="BR99" s="225">
        <f t="shared" si="173"/>
        <v>0</v>
      </c>
      <c r="BS99" s="225"/>
      <c r="BT99" s="225"/>
      <c r="BU99" s="225"/>
      <c r="BV99" s="530">
        <f t="shared" si="170"/>
        <v>0</v>
      </c>
    </row>
    <row r="100" spans="1:74" x14ac:dyDescent="0.25">
      <c r="A100" s="756"/>
      <c r="B100" s="555"/>
      <c r="C100" s="556" t="s">
        <v>3</v>
      </c>
      <c r="D100" s="220"/>
      <c r="E100" s="220"/>
      <c r="F100" s="184">
        <f t="shared" ref="F100:BK100" si="191">SUM(F78:F99)</f>
        <v>1227.5</v>
      </c>
      <c r="G100" s="184">
        <f t="shared" si="191"/>
        <v>141855332</v>
      </c>
      <c r="H100" s="184">
        <f t="shared" si="191"/>
        <v>958000</v>
      </c>
      <c r="I100" s="184">
        <f t="shared" si="191"/>
        <v>3832000</v>
      </c>
      <c r="J100" s="184">
        <f t="shared" si="191"/>
        <v>0</v>
      </c>
      <c r="K100" s="184">
        <f t="shared" si="191"/>
        <v>0</v>
      </c>
      <c r="L100" s="184">
        <f t="shared" si="191"/>
        <v>0</v>
      </c>
      <c r="M100" s="184">
        <f t="shared" si="191"/>
        <v>137065332</v>
      </c>
      <c r="N100" s="184">
        <f t="shared" si="191"/>
        <v>0</v>
      </c>
      <c r="O100" s="184">
        <f t="shared" si="191"/>
        <v>0</v>
      </c>
      <c r="P100" s="184">
        <f t="shared" si="191"/>
        <v>0</v>
      </c>
      <c r="Q100" s="184">
        <f t="shared" si="191"/>
        <v>0</v>
      </c>
      <c r="R100" s="184">
        <f t="shared" si="191"/>
        <v>407.42499999999995</v>
      </c>
      <c r="S100" s="184">
        <f t="shared" si="191"/>
        <v>803.42499999999995</v>
      </c>
      <c r="T100" s="184">
        <f t="shared" si="191"/>
        <v>16.650000000000002</v>
      </c>
      <c r="U100" s="184">
        <f t="shared" si="191"/>
        <v>0</v>
      </c>
      <c r="V100" s="184">
        <f t="shared" si="191"/>
        <v>42481453</v>
      </c>
      <c r="W100" s="184">
        <f t="shared" si="191"/>
        <v>89588971</v>
      </c>
      <c r="X100" s="184">
        <f t="shared" si="191"/>
        <v>25184908</v>
      </c>
      <c r="Y100" s="184">
        <f t="shared" si="191"/>
        <v>0</v>
      </c>
      <c r="Z100" s="184">
        <f t="shared" si="191"/>
        <v>124</v>
      </c>
      <c r="AA100" s="184">
        <f t="shared" si="191"/>
        <v>11840000</v>
      </c>
      <c r="AB100" s="184">
        <f t="shared" si="191"/>
        <v>35</v>
      </c>
      <c r="AC100" s="184">
        <f t="shared" si="191"/>
        <v>5492500</v>
      </c>
      <c r="AD100" s="184">
        <f t="shared" si="191"/>
        <v>32</v>
      </c>
      <c r="AE100" s="184">
        <f t="shared" si="191"/>
        <v>2711000</v>
      </c>
      <c r="AF100" s="184">
        <f t="shared" si="191"/>
        <v>192</v>
      </c>
      <c r="AG100" s="184">
        <f t="shared" si="191"/>
        <v>11766732</v>
      </c>
      <c r="AH100" s="184">
        <f t="shared" si="191"/>
        <v>39</v>
      </c>
      <c r="AI100" s="184">
        <f t="shared" si="191"/>
        <v>5464000</v>
      </c>
      <c r="AJ100" s="184">
        <f t="shared" si="191"/>
        <v>46</v>
      </c>
      <c r="AK100" s="184">
        <f t="shared" si="191"/>
        <v>8484000</v>
      </c>
      <c r="AL100" s="184">
        <f t="shared" si="191"/>
        <v>32</v>
      </c>
      <c r="AM100" s="184">
        <f t="shared" si="191"/>
        <v>1925000</v>
      </c>
      <c r="AN100" s="184">
        <f t="shared" si="191"/>
        <v>110</v>
      </c>
      <c r="AO100" s="184">
        <f t="shared" si="191"/>
        <v>10724000</v>
      </c>
      <c r="AP100" s="184">
        <f t="shared" si="191"/>
        <v>29</v>
      </c>
      <c r="AQ100" s="184">
        <f t="shared" si="191"/>
        <v>4993500</v>
      </c>
      <c r="AR100" s="184">
        <f t="shared" si="191"/>
        <v>214</v>
      </c>
      <c r="AS100" s="184">
        <f t="shared" si="191"/>
        <v>29130600</v>
      </c>
      <c r="AT100" s="184">
        <f t="shared" si="191"/>
        <v>39</v>
      </c>
      <c r="AU100" s="184">
        <f t="shared" si="191"/>
        <v>5953900</v>
      </c>
      <c r="AV100" s="184">
        <f t="shared" si="191"/>
        <v>48</v>
      </c>
      <c r="AW100" s="184">
        <f t="shared" si="191"/>
        <v>5558600</v>
      </c>
      <c r="AX100" s="184">
        <f t="shared" si="191"/>
        <v>42.5</v>
      </c>
      <c r="AY100" s="184">
        <f t="shared" si="191"/>
        <v>5501500</v>
      </c>
      <c r="AZ100" s="184">
        <f t="shared" si="191"/>
        <v>112</v>
      </c>
      <c r="BA100" s="184">
        <f t="shared" si="191"/>
        <v>13989000</v>
      </c>
      <c r="BB100" s="184">
        <f t="shared" si="191"/>
        <v>63</v>
      </c>
      <c r="BC100" s="184">
        <f t="shared" si="191"/>
        <v>8727000</v>
      </c>
      <c r="BD100" s="184">
        <f t="shared" si="191"/>
        <v>15</v>
      </c>
      <c r="BE100" s="184">
        <f t="shared" si="191"/>
        <v>3629500</v>
      </c>
      <c r="BF100" s="184">
        <f t="shared" si="191"/>
        <v>55</v>
      </c>
      <c r="BG100" s="184">
        <f t="shared" si="191"/>
        <v>5964500</v>
      </c>
      <c r="BH100" s="184">
        <f t="shared" si="191"/>
        <v>0</v>
      </c>
      <c r="BI100" s="184">
        <f t="shared" si="191"/>
        <v>0</v>
      </c>
      <c r="BJ100" s="184">
        <f t="shared" si="191"/>
        <v>1227.5</v>
      </c>
      <c r="BK100" s="184">
        <f t="shared" si="191"/>
        <v>141855332</v>
      </c>
      <c r="BL100" s="184">
        <f t="shared" ref="BL100:BQ100" si="192">SUM(BL78:BL99)</f>
        <v>0</v>
      </c>
      <c r="BM100" s="184">
        <f t="shared" si="192"/>
        <v>0</v>
      </c>
      <c r="BN100" s="184">
        <f t="shared" si="192"/>
        <v>0</v>
      </c>
      <c r="BO100" s="184">
        <f t="shared" si="192"/>
        <v>0</v>
      </c>
      <c r="BP100" s="184">
        <f t="shared" si="192"/>
        <v>141355332</v>
      </c>
      <c r="BQ100" s="184">
        <f t="shared" si="192"/>
        <v>0</v>
      </c>
      <c r="BR100" s="184">
        <f t="shared" ref="BR100:BV100" si="193">SUM(BR78:BR99)</f>
        <v>141355332</v>
      </c>
      <c r="BS100" s="184">
        <f t="shared" si="193"/>
        <v>0</v>
      </c>
      <c r="BT100" s="184">
        <f t="shared" si="193"/>
        <v>0</v>
      </c>
      <c r="BU100" s="184">
        <f t="shared" si="193"/>
        <v>0</v>
      </c>
      <c r="BV100" s="184">
        <f t="shared" si="193"/>
        <v>141355332</v>
      </c>
    </row>
    <row r="101" spans="1:74" x14ac:dyDescent="0.25">
      <c r="A101" s="756"/>
      <c r="B101" s="181"/>
      <c r="C101" s="526" t="s">
        <v>502</v>
      </c>
      <c r="D101" s="527"/>
      <c r="E101" s="544"/>
      <c r="F101" s="184">
        <f t="shared" ref="F101:AK101" si="194">F100+F76+F52+F39+F34</f>
        <v>33224.5</v>
      </c>
      <c r="G101" s="184">
        <f t="shared" si="194"/>
        <v>304737000</v>
      </c>
      <c r="H101" s="184">
        <f t="shared" si="194"/>
        <v>4342800</v>
      </c>
      <c r="I101" s="184">
        <f t="shared" si="194"/>
        <v>19521000</v>
      </c>
      <c r="J101" s="184">
        <f t="shared" si="194"/>
        <v>0</v>
      </c>
      <c r="K101" s="184">
        <f t="shared" si="194"/>
        <v>0</v>
      </c>
      <c r="L101" s="184">
        <f t="shared" si="194"/>
        <v>29540000</v>
      </c>
      <c r="M101" s="184">
        <f t="shared" si="194"/>
        <v>249900000</v>
      </c>
      <c r="N101" s="184">
        <f t="shared" si="194"/>
        <v>0</v>
      </c>
      <c r="O101" s="184">
        <f t="shared" si="194"/>
        <v>0</v>
      </c>
      <c r="P101" s="184">
        <f t="shared" si="194"/>
        <v>1433200</v>
      </c>
      <c r="Q101" s="184">
        <f t="shared" si="194"/>
        <v>0</v>
      </c>
      <c r="R101" s="184">
        <f t="shared" si="194"/>
        <v>11190.575000000001</v>
      </c>
      <c r="S101" s="184">
        <f t="shared" si="194"/>
        <v>3924.375</v>
      </c>
      <c r="T101" s="184">
        <f t="shared" si="194"/>
        <v>4636.6500000000005</v>
      </c>
      <c r="U101" s="184">
        <f t="shared" si="194"/>
        <v>12320</v>
      </c>
      <c r="V101" s="184">
        <f t="shared" si="194"/>
        <v>81504372.299999997</v>
      </c>
      <c r="W101" s="184">
        <f t="shared" si="194"/>
        <v>130970638.3</v>
      </c>
      <c r="X101" s="184">
        <f t="shared" si="194"/>
        <v>54720021.200000003</v>
      </c>
      <c r="Y101" s="184">
        <f t="shared" si="194"/>
        <v>37602118.200000003</v>
      </c>
      <c r="Z101" s="184">
        <f t="shared" si="194"/>
        <v>674</v>
      </c>
      <c r="AA101" s="184">
        <f t="shared" si="194"/>
        <v>25500000</v>
      </c>
      <c r="AB101" s="184">
        <f t="shared" si="194"/>
        <v>1938</v>
      </c>
      <c r="AC101" s="184">
        <f t="shared" si="194"/>
        <v>20714638</v>
      </c>
      <c r="AD101" s="184">
        <f t="shared" si="194"/>
        <v>683</v>
      </c>
      <c r="AE101" s="184">
        <f t="shared" si="194"/>
        <v>5411000</v>
      </c>
      <c r="AF101" s="184">
        <f t="shared" si="194"/>
        <v>2444</v>
      </c>
      <c r="AG101" s="184">
        <f t="shared" si="194"/>
        <v>29399732</v>
      </c>
      <c r="AH101" s="184">
        <f t="shared" si="194"/>
        <v>1655</v>
      </c>
      <c r="AI101" s="184">
        <f t="shared" si="194"/>
        <v>13734000</v>
      </c>
      <c r="AJ101" s="184">
        <f t="shared" si="194"/>
        <v>1153</v>
      </c>
      <c r="AK101" s="184">
        <f t="shared" si="194"/>
        <v>18019000</v>
      </c>
      <c r="AL101" s="184">
        <f t="shared" ref="AL101:BQ101" si="195">AL100+AL76+AL52+AL39+AL34</f>
        <v>1734</v>
      </c>
      <c r="AM101" s="184">
        <f t="shared" si="195"/>
        <v>8253500</v>
      </c>
      <c r="AN101" s="184">
        <f t="shared" si="195"/>
        <v>2747</v>
      </c>
      <c r="AO101" s="184">
        <f t="shared" si="195"/>
        <v>20529000</v>
      </c>
      <c r="AP101" s="184">
        <f t="shared" si="195"/>
        <v>385</v>
      </c>
      <c r="AQ101" s="184">
        <f t="shared" si="195"/>
        <v>7661500</v>
      </c>
      <c r="AR101" s="184">
        <f t="shared" si="195"/>
        <v>7826</v>
      </c>
      <c r="AS101" s="184">
        <f t="shared" si="195"/>
        <v>51133600</v>
      </c>
      <c r="AT101" s="184">
        <f t="shared" si="195"/>
        <v>1726</v>
      </c>
      <c r="AU101" s="184">
        <f t="shared" si="195"/>
        <v>13783930</v>
      </c>
      <c r="AV101" s="184">
        <f t="shared" si="195"/>
        <v>725</v>
      </c>
      <c r="AW101" s="184">
        <f t="shared" si="195"/>
        <v>13343600</v>
      </c>
      <c r="AX101" s="184">
        <f t="shared" si="195"/>
        <v>6666.5</v>
      </c>
      <c r="AY101" s="184">
        <f t="shared" si="195"/>
        <v>15631500</v>
      </c>
      <c r="AZ101" s="184">
        <f t="shared" si="195"/>
        <v>661</v>
      </c>
      <c r="BA101" s="184">
        <f t="shared" si="195"/>
        <v>21973000</v>
      </c>
      <c r="BB101" s="184">
        <f t="shared" si="195"/>
        <v>533</v>
      </c>
      <c r="BC101" s="184">
        <f t="shared" si="195"/>
        <v>20587000</v>
      </c>
      <c r="BD101" s="184">
        <f t="shared" si="195"/>
        <v>346</v>
      </c>
      <c r="BE101" s="184">
        <f t="shared" si="195"/>
        <v>5397500</v>
      </c>
      <c r="BF101" s="184">
        <f t="shared" si="195"/>
        <v>1328</v>
      </c>
      <c r="BG101" s="184">
        <f t="shared" si="195"/>
        <v>13664500</v>
      </c>
      <c r="BH101" s="184">
        <f t="shared" si="195"/>
        <v>0</v>
      </c>
      <c r="BI101" s="184">
        <f t="shared" si="195"/>
        <v>0</v>
      </c>
      <c r="BJ101" s="184">
        <f t="shared" si="195"/>
        <v>33224.5</v>
      </c>
      <c r="BK101" s="184">
        <f t="shared" si="195"/>
        <v>304737000</v>
      </c>
      <c r="BL101" s="184">
        <f t="shared" si="195"/>
        <v>0</v>
      </c>
      <c r="BM101" s="184">
        <f t="shared" si="195"/>
        <v>0</v>
      </c>
      <c r="BN101" s="184">
        <f t="shared" si="195"/>
        <v>108205668</v>
      </c>
      <c r="BO101" s="184">
        <f t="shared" si="195"/>
        <v>0</v>
      </c>
      <c r="BP101" s="184">
        <f t="shared" si="195"/>
        <v>159005332</v>
      </c>
      <c r="BQ101" s="184">
        <f t="shared" si="195"/>
        <v>0</v>
      </c>
      <c r="BR101" s="184">
        <f t="shared" ref="BR101:BV101" si="196">BR100+BR76+BR52+BR39+BR34</f>
        <v>267211000</v>
      </c>
      <c r="BS101" s="184">
        <f t="shared" si="196"/>
        <v>0</v>
      </c>
      <c r="BT101" s="184">
        <f t="shared" si="196"/>
        <v>0</v>
      </c>
      <c r="BU101" s="184">
        <f t="shared" si="196"/>
        <v>0</v>
      </c>
      <c r="BV101" s="184">
        <f t="shared" si="196"/>
        <v>267211000</v>
      </c>
    </row>
    <row r="102" spans="1:74" x14ac:dyDescent="0.25">
      <c r="A102" s="756"/>
      <c r="B102" s="181"/>
      <c r="C102" s="532" t="s">
        <v>335</v>
      </c>
      <c r="D102" s="545"/>
      <c r="E102" s="545"/>
      <c r="F102" s="184">
        <f t="shared" ref="F102:AK102" si="197">F101+F21+F16</f>
        <v>39730.5</v>
      </c>
      <c r="G102" s="184">
        <f t="shared" si="197"/>
        <v>311534500</v>
      </c>
      <c r="H102" s="184">
        <f t="shared" si="197"/>
        <v>5702300</v>
      </c>
      <c r="I102" s="184">
        <f t="shared" si="197"/>
        <v>24959000</v>
      </c>
      <c r="J102" s="184">
        <f t="shared" si="197"/>
        <v>0</v>
      </c>
      <c r="K102" s="184">
        <f t="shared" si="197"/>
        <v>0</v>
      </c>
      <c r="L102" s="184">
        <f t="shared" si="197"/>
        <v>29540000</v>
      </c>
      <c r="M102" s="184">
        <f t="shared" si="197"/>
        <v>249900000</v>
      </c>
      <c r="N102" s="184">
        <f t="shared" si="197"/>
        <v>0</v>
      </c>
      <c r="O102" s="184">
        <f t="shared" si="197"/>
        <v>0</v>
      </c>
      <c r="P102" s="184">
        <f t="shared" si="197"/>
        <v>1433200</v>
      </c>
      <c r="Q102" s="184">
        <f t="shared" si="197"/>
        <v>0</v>
      </c>
      <c r="R102" s="184">
        <f t="shared" si="197"/>
        <v>12817.075000000001</v>
      </c>
      <c r="S102" s="184">
        <f t="shared" si="197"/>
        <v>5550.875</v>
      </c>
      <c r="T102" s="184">
        <f t="shared" si="197"/>
        <v>6263.1500000000005</v>
      </c>
      <c r="U102" s="184">
        <f t="shared" si="197"/>
        <v>13946.5</v>
      </c>
      <c r="V102" s="184">
        <f t="shared" si="197"/>
        <v>83018072.299999997</v>
      </c>
      <c r="W102" s="184">
        <f t="shared" si="197"/>
        <v>132550213.3</v>
      </c>
      <c r="X102" s="184">
        <f t="shared" si="197"/>
        <v>56246896.200000003</v>
      </c>
      <c r="Y102" s="184">
        <f t="shared" si="197"/>
        <v>39223468.200000003</v>
      </c>
      <c r="Z102" s="184">
        <f t="shared" si="197"/>
        <v>1138</v>
      </c>
      <c r="AA102" s="184">
        <f t="shared" si="197"/>
        <v>25777500</v>
      </c>
      <c r="AB102" s="184">
        <f t="shared" si="197"/>
        <v>2352</v>
      </c>
      <c r="AC102" s="184">
        <f t="shared" si="197"/>
        <v>20984638</v>
      </c>
      <c r="AD102" s="184">
        <f t="shared" si="197"/>
        <v>847</v>
      </c>
      <c r="AE102" s="184">
        <f t="shared" si="197"/>
        <v>5643500</v>
      </c>
      <c r="AF102" s="184">
        <f t="shared" si="197"/>
        <v>2908</v>
      </c>
      <c r="AG102" s="184">
        <f t="shared" si="197"/>
        <v>29677232</v>
      </c>
      <c r="AH102" s="184">
        <f t="shared" si="197"/>
        <v>2079</v>
      </c>
      <c r="AI102" s="184">
        <f t="shared" si="197"/>
        <v>14005500</v>
      </c>
      <c r="AJ102" s="184">
        <f t="shared" si="197"/>
        <v>1567</v>
      </c>
      <c r="AK102" s="184">
        <f t="shared" si="197"/>
        <v>18289000</v>
      </c>
      <c r="AL102" s="184">
        <f t="shared" ref="AL102:BK102" si="198">AL101+AL21+AL16</f>
        <v>2148</v>
      </c>
      <c r="AM102" s="184">
        <f t="shared" si="198"/>
        <v>8703500</v>
      </c>
      <c r="AN102" s="184">
        <f t="shared" si="198"/>
        <v>3011</v>
      </c>
      <c r="AO102" s="184">
        <f t="shared" si="198"/>
        <v>20779000</v>
      </c>
      <c r="AP102" s="184">
        <f t="shared" si="198"/>
        <v>539</v>
      </c>
      <c r="AQ102" s="184">
        <f t="shared" si="198"/>
        <v>7892500</v>
      </c>
      <c r="AR102" s="184">
        <f t="shared" si="198"/>
        <v>8890</v>
      </c>
      <c r="AS102" s="184">
        <f t="shared" si="198"/>
        <v>51501100</v>
      </c>
      <c r="AT102" s="184">
        <f t="shared" si="198"/>
        <v>2130</v>
      </c>
      <c r="AU102" s="184">
        <f t="shared" si="198"/>
        <v>14052430</v>
      </c>
      <c r="AV102" s="184">
        <f t="shared" si="198"/>
        <v>1099</v>
      </c>
      <c r="AW102" s="184">
        <f t="shared" si="198"/>
        <v>13607600</v>
      </c>
      <c r="AX102" s="184">
        <f t="shared" si="198"/>
        <v>7040.5</v>
      </c>
      <c r="AY102" s="184">
        <f t="shared" si="198"/>
        <v>15895500</v>
      </c>
      <c r="AZ102" s="184">
        <f t="shared" si="198"/>
        <v>1075</v>
      </c>
      <c r="BA102" s="184">
        <f t="shared" si="198"/>
        <v>22243000</v>
      </c>
      <c r="BB102" s="184">
        <f t="shared" si="198"/>
        <v>797</v>
      </c>
      <c r="BC102" s="184">
        <f t="shared" si="198"/>
        <v>20834500</v>
      </c>
      <c r="BD102" s="184">
        <f t="shared" si="198"/>
        <v>500</v>
      </c>
      <c r="BE102" s="184">
        <f t="shared" si="198"/>
        <v>5628500</v>
      </c>
      <c r="BF102" s="184">
        <f t="shared" si="198"/>
        <v>1642</v>
      </c>
      <c r="BG102" s="184">
        <f t="shared" si="198"/>
        <v>13919500</v>
      </c>
      <c r="BH102" s="184">
        <f t="shared" si="198"/>
        <v>2</v>
      </c>
      <c r="BI102" s="184">
        <f t="shared" si="198"/>
        <v>2100000</v>
      </c>
      <c r="BJ102" s="184">
        <f t="shared" si="198"/>
        <v>39764.5</v>
      </c>
      <c r="BK102" s="184">
        <f t="shared" si="198"/>
        <v>311534500</v>
      </c>
      <c r="BL102" s="184"/>
      <c r="BM102" s="184">
        <f t="shared" ref="BM102:BV102" si="199">BM101+BM21+BM16</f>
        <v>0</v>
      </c>
      <c r="BN102" s="184">
        <f t="shared" si="199"/>
        <v>108205668</v>
      </c>
      <c r="BO102" s="184">
        <f t="shared" si="199"/>
        <v>1557500</v>
      </c>
      <c r="BP102" s="184">
        <f t="shared" si="199"/>
        <v>161005332</v>
      </c>
      <c r="BQ102" s="184">
        <f t="shared" si="199"/>
        <v>0</v>
      </c>
      <c r="BR102" s="184">
        <f t="shared" si="199"/>
        <v>270768500</v>
      </c>
      <c r="BS102" s="184">
        <f t="shared" si="199"/>
        <v>3240000</v>
      </c>
      <c r="BT102" s="184">
        <f t="shared" si="199"/>
        <v>0</v>
      </c>
      <c r="BU102" s="184">
        <f t="shared" si="199"/>
        <v>3240000</v>
      </c>
      <c r="BV102" s="184">
        <f t="shared" si="199"/>
        <v>274008500</v>
      </c>
    </row>
    <row r="104" spans="1:74" x14ac:dyDescent="0.25">
      <c r="G104" s="293">
        <f>G102-BK102</f>
        <v>0</v>
      </c>
    </row>
    <row r="105" spans="1:74" x14ac:dyDescent="0.25">
      <c r="G105" s="293">
        <f>AA102+AC102+AE102+AG102+AI102+AK102+AM102+AO102+AQ102+AS102+AU102+AW102+AY102+BA102+BC102+BE102+BG102+BI102</f>
        <v>311534500</v>
      </c>
    </row>
    <row r="107" spans="1:74" x14ac:dyDescent="0.25">
      <c r="G107" s="293">
        <f>G102-G105</f>
        <v>0</v>
      </c>
    </row>
  </sheetData>
  <autoFilter ref="A8:BV102" xr:uid="{00000000-0001-0000-0600-000000000000}"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  <filterColumn colId="53" showButton="0"/>
    <filterColumn colId="55" showButton="0"/>
    <filterColumn colId="57" showButton="0"/>
    <filterColumn colId="59" showButton="0"/>
    <filterColumn colId="61" showButton="0"/>
    <filterColumn colId="65" showButton="0"/>
    <filterColumn colId="66" showButton="0"/>
    <filterColumn colId="67" showButton="0"/>
    <filterColumn colId="68" showButton="0"/>
    <filterColumn colId="70" showButton="0"/>
    <filterColumn colId="71" showButton="0"/>
  </autoFilter>
  <mergeCells count="40">
    <mergeCell ref="A1:Q1"/>
    <mergeCell ref="C2:Q2"/>
    <mergeCell ref="C3:Q3"/>
    <mergeCell ref="AD7:AE8"/>
    <mergeCell ref="C8:C9"/>
    <mergeCell ref="D8:D9"/>
    <mergeCell ref="E8:E9"/>
    <mergeCell ref="F8:F9"/>
    <mergeCell ref="G8:G9"/>
    <mergeCell ref="R7:U8"/>
    <mergeCell ref="V7:Y8"/>
    <mergeCell ref="Z7:AA8"/>
    <mergeCell ref="AB7:AC8"/>
    <mergeCell ref="C4:Q4"/>
    <mergeCell ref="C5:Q5"/>
    <mergeCell ref="C6:Q6"/>
    <mergeCell ref="A10:A102"/>
    <mergeCell ref="BV8:BV9"/>
    <mergeCell ref="BF7:BG8"/>
    <mergeCell ref="BH7:BI8"/>
    <mergeCell ref="BJ7:BK8"/>
    <mergeCell ref="BM7:BM9"/>
    <mergeCell ref="BD7:BE8"/>
    <mergeCell ref="BN8:BR8"/>
    <mergeCell ref="BS8:BU8"/>
    <mergeCell ref="AT7:AU8"/>
    <mergeCell ref="AV7:AW8"/>
    <mergeCell ref="AX7:AY8"/>
    <mergeCell ref="AZ7:BA8"/>
    <mergeCell ref="A7:D7"/>
    <mergeCell ref="F7:G7"/>
    <mergeCell ref="H7:Q7"/>
    <mergeCell ref="BB7:BC8"/>
    <mergeCell ref="AF7:AG8"/>
    <mergeCell ref="AH7:AI8"/>
    <mergeCell ref="AN7:AO8"/>
    <mergeCell ref="AP7:AQ8"/>
    <mergeCell ref="AR7:AS8"/>
    <mergeCell ref="AJ7:AK8"/>
    <mergeCell ref="AL7:AM8"/>
  </mergeCells>
  <phoneticPr fontId="3" type="noConversion"/>
  <pageMargins left="0.7" right="0.7" top="0.75" bottom="0.75" header="0.3" footer="0.3"/>
  <pageSetup paperSize="9" scale="1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FF0000"/>
    <pageSetUpPr fitToPage="1"/>
  </sheetPr>
  <dimension ref="A1:BW96"/>
  <sheetViews>
    <sheetView zoomScale="80" zoomScaleNormal="80" workbookViewId="0">
      <pane xSplit="8" ySplit="8" topLeftCell="I78" activePane="bottomRight" state="frozen"/>
      <selection pane="topRight" activeCell="I1" sqref="I1"/>
      <selection pane="bottomLeft" activeCell="A9" sqref="A9"/>
      <selection pane="bottomRight" activeCell="E97" sqref="E97"/>
    </sheetView>
  </sheetViews>
  <sheetFormatPr defaultColWidth="8.7109375" defaultRowHeight="15.75" x14ac:dyDescent="0.25"/>
  <cols>
    <col min="1" max="1" width="11.28515625" style="218" customWidth="1"/>
    <col min="2" max="2" width="7.7109375" style="218" customWidth="1"/>
    <col min="3" max="3" width="11" style="554" customWidth="1"/>
    <col min="4" max="4" width="44.140625" style="292" customWidth="1"/>
    <col min="5" max="5" width="13.140625" style="216" customWidth="1"/>
    <col min="6" max="6" width="14" style="216" customWidth="1"/>
    <col min="7" max="7" width="11.140625" style="216" customWidth="1"/>
    <col min="8" max="8" width="17.5703125" style="216" customWidth="1"/>
    <col min="9" max="10" width="16.7109375" style="216" customWidth="1"/>
    <col min="11" max="11" width="15.28515625" style="216" customWidth="1"/>
    <col min="12" max="12" width="14" style="216" customWidth="1"/>
    <col min="13" max="13" width="15.5703125" style="216" customWidth="1"/>
    <col min="14" max="14" width="15.140625" style="216" customWidth="1"/>
    <col min="15" max="15" width="5.5703125" style="216" customWidth="1"/>
    <col min="16" max="16" width="11.28515625" style="216" customWidth="1"/>
    <col min="17" max="17" width="15.5703125" style="216" customWidth="1"/>
    <col min="18" max="18" width="8.28515625" style="216" customWidth="1"/>
    <col min="19" max="19" width="8.7109375" style="293" customWidth="1"/>
    <col min="20" max="20" width="7.42578125" style="293" customWidth="1"/>
    <col min="21" max="21" width="7" style="293" customWidth="1"/>
    <col min="22" max="22" width="9.28515625" style="293" customWidth="1"/>
    <col min="23" max="23" width="15.5703125" style="217" customWidth="1"/>
    <col min="24" max="24" width="16.28515625" style="217" customWidth="1"/>
    <col min="25" max="25" width="15.28515625" style="217" customWidth="1"/>
    <col min="26" max="26" width="14.28515625" style="217" customWidth="1"/>
    <col min="27" max="27" width="8.140625" style="216" customWidth="1"/>
    <col min="28" max="28" width="15.42578125" style="217" customWidth="1"/>
    <col min="29" max="29" width="8.42578125" style="216" customWidth="1"/>
    <col min="30" max="30" width="15.7109375" style="217" bestFit="1" customWidth="1"/>
    <col min="31" max="31" width="10.140625" style="216" customWidth="1"/>
    <col min="32" max="32" width="17.42578125" style="217" customWidth="1"/>
    <col min="33" max="33" width="7.42578125" style="216" customWidth="1"/>
    <col min="34" max="34" width="14.140625" style="217" customWidth="1"/>
    <col min="35" max="35" width="7.85546875" style="216" bestFit="1" customWidth="1"/>
    <col min="36" max="36" width="16.28515625" style="217" bestFit="1" customWidth="1"/>
    <col min="37" max="37" width="8.5703125" style="216" customWidth="1"/>
    <col min="38" max="38" width="15.140625" style="217" customWidth="1"/>
    <col min="39" max="39" width="9.5703125" style="216" bestFit="1" customWidth="1"/>
    <col min="40" max="40" width="15" style="217" customWidth="1"/>
    <col min="41" max="41" width="8.140625" style="216" bestFit="1" customWidth="1"/>
    <col min="42" max="42" width="15.42578125" style="217" customWidth="1"/>
    <col min="43" max="43" width="7.85546875" style="216" bestFit="1" customWidth="1"/>
    <col min="44" max="44" width="15" style="217" bestFit="1" customWidth="1"/>
    <col min="45" max="45" width="10.85546875" style="216" bestFit="1" customWidth="1"/>
    <col min="46" max="46" width="15.7109375" style="217" bestFit="1" customWidth="1"/>
    <col min="47" max="47" width="9.5703125" style="216" bestFit="1" customWidth="1"/>
    <col min="48" max="48" width="14.140625" style="217" customWidth="1"/>
    <col min="49" max="49" width="7.85546875" style="216" bestFit="1" customWidth="1"/>
    <col min="50" max="50" width="15.85546875" style="217" bestFit="1" customWidth="1"/>
    <col min="51" max="51" width="10.28515625" style="218" customWidth="1"/>
    <col min="52" max="52" width="15.85546875" style="217" bestFit="1" customWidth="1"/>
    <col min="53" max="53" width="9.42578125" style="218" bestFit="1" customWidth="1"/>
    <col min="54" max="54" width="15.7109375" style="217" bestFit="1" customWidth="1"/>
    <col min="55" max="55" width="9.5703125" style="216" bestFit="1" customWidth="1"/>
    <col min="56" max="56" width="15.7109375" style="217" bestFit="1" customWidth="1"/>
    <col min="57" max="57" width="7.7109375" style="216" customWidth="1"/>
    <col min="58" max="58" width="15.85546875" style="217" bestFit="1" customWidth="1"/>
    <col min="59" max="59" width="9.42578125" style="216" bestFit="1" customWidth="1"/>
    <col min="60" max="60" width="15.7109375" style="217" customWidth="1"/>
    <col min="61" max="61" width="10.140625" style="216" customWidth="1"/>
    <col min="62" max="62" width="15" style="217" customWidth="1"/>
    <col min="63" max="63" width="11.140625" style="216" customWidth="1"/>
    <col min="64" max="64" width="17.42578125" style="217" customWidth="1"/>
    <col min="65" max="65" width="26.28515625" style="218" customWidth="1"/>
    <col min="66" max="66" width="5.28515625" style="218" customWidth="1"/>
    <col min="67" max="67" width="17" style="218" customWidth="1"/>
    <col min="68" max="68" width="16.5703125" style="218" customWidth="1"/>
    <col min="69" max="69" width="17" style="218" bestFit="1" customWidth="1"/>
    <col min="70" max="70" width="7.140625" style="218" customWidth="1"/>
    <col min="71" max="71" width="17.42578125" style="218" customWidth="1"/>
    <col min="72" max="74" width="17" style="218" bestFit="1" customWidth="1"/>
    <col min="75" max="75" width="18.140625" style="218" bestFit="1" customWidth="1"/>
    <col min="76" max="85" width="9.140625" style="218" customWidth="1"/>
    <col min="86" max="16384" width="8.7109375" style="218"/>
  </cols>
  <sheetData>
    <row r="1" spans="1:75" ht="21.75" customHeight="1" x14ac:dyDescent="0.25">
      <c r="A1" s="783" t="s">
        <v>159</v>
      </c>
      <c r="B1" s="783"/>
      <c r="C1" s="566"/>
      <c r="D1" s="784" t="s">
        <v>153</v>
      </c>
      <c r="E1" s="784"/>
      <c r="F1" s="784"/>
      <c r="G1" s="784"/>
      <c r="H1" s="784"/>
      <c r="I1" s="784"/>
      <c r="J1" s="784"/>
      <c r="K1" s="784"/>
      <c r="L1" s="784"/>
      <c r="M1" s="784"/>
      <c r="N1" s="784"/>
      <c r="O1" s="784"/>
      <c r="P1" s="784"/>
      <c r="Q1" s="784"/>
      <c r="R1" s="784"/>
      <c r="S1" s="214"/>
      <c r="T1" s="214"/>
      <c r="U1" s="214"/>
      <c r="V1" s="214"/>
      <c r="W1" s="215"/>
      <c r="X1" s="215"/>
      <c r="Y1" s="215"/>
      <c r="Z1" s="215"/>
    </row>
    <row r="2" spans="1:75" ht="18" customHeight="1" x14ac:dyDescent="0.25">
      <c r="A2" s="783" t="s">
        <v>155</v>
      </c>
      <c r="B2" s="783"/>
      <c r="C2" s="566"/>
      <c r="D2" s="784" t="s">
        <v>154</v>
      </c>
      <c r="E2" s="784"/>
      <c r="F2" s="784"/>
      <c r="G2" s="784"/>
      <c r="H2" s="784"/>
      <c r="I2" s="784"/>
      <c r="J2" s="784"/>
      <c r="K2" s="784"/>
      <c r="L2" s="784"/>
      <c r="M2" s="784"/>
      <c r="N2" s="784"/>
      <c r="O2" s="784"/>
      <c r="P2" s="784"/>
      <c r="Q2" s="784"/>
      <c r="R2" s="784"/>
      <c r="S2" s="214"/>
      <c r="T2" s="214"/>
      <c r="U2" s="214"/>
      <c r="V2" s="214"/>
      <c r="W2" s="215"/>
      <c r="X2" s="215"/>
      <c r="Y2" s="215"/>
      <c r="Z2" s="215"/>
      <c r="AA2" s="175" t="s">
        <v>288</v>
      </c>
      <c r="AB2" s="175">
        <v>8.34</v>
      </c>
      <c r="AC2" s="175"/>
      <c r="AD2" s="175">
        <v>2.85</v>
      </c>
      <c r="AE2" s="175"/>
      <c r="AF2" s="175">
        <v>8.3800000000000008</v>
      </c>
      <c r="AG2" s="175"/>
      <c r="AH2" s="175">
        <v>7.49</v>
      </c>
      <c r="AI2" s="175"/>
      <c r="AJ2" s="175">
        <v>3.33</v>
      </c>
      <c r="AK2" s="175"/>
      <c r="AL2" s="175">
        <v>6.64</v>
      </c>
      <c r="AM2" s="175"/>
      <c r="AN2" s="175">
        <v>3.67</v>
      </c>
      <c r="AO2" s="175"/>
      <c r="AP2" s="175">
        <v>5.0599999999999996</v>
      </c>
      <c r="AQ2" s="175"/>
      <c r="AR2" s="175">
        <v>5.94</v>
      </c>
      <c r="AS2" s="175"/>
      <c r="AT2" s="175">
        <v>6.85</v>
      </c>
      <c r="AU2" s="175"/>
      <c r="AV2" s="175">
        <v>7.45</v>
      </c>
      <c r="AW2" s="175"/>
      <c r="AX2" s="175">
        <v>5.13</v>
      </c>
      <c r="AY2" s="203"/>
      <c r="AZ2" s="175">
        <v>4.8600000000000003</v>
      </c>
      <c r="BA2" s="203"/>
      <c r="BB2" s="175">
        <v>5.79</v>
      </c>
      <c r="BC2" s="175"/>
      <c r="BD2" s="175">
        <v>5.3</v>
      </c>
      <c r="BE2" s="175"/>
      <c r="BF2" s="175">
        <v>3.47</v>
      </c>
      <c r="BG2" s="175"/>
      <c r="BH2" s="175">
        <v>9.42</v>
      </c>
      <c r="BI2" s="175"/>
      <c r="BJ2" s="175"/>
      <c r="BK2" s="175"/>
      <c r="BL2" s="175"/>
    </row>
    <row r="3" spans="1:75" ht="18.75" customHeight="1" x14ac:dyDescent="0.25">
      <c r="A3" s="783" t="s">
        <v>156</v>
      </c>
      <c r="B3" s="783"/>
      <c r="C3" s="566"/>
      <c r="D3" s="784" t="s">
        <v>950</v>
      </c>
      <c r="E3" s="784"/>
      <c r="F3" s="784"/>
      <c r="G3" s="784"/>
      <c r="H3" s="784"/>
      <c r="I3" s="784"/>
      <c r="J3" s="784"/>
      <c r="K3" s="784"/>
      <c r="L3" s="784"/>
      <c r="M3" s="784"/>
      <c r="N3" s="784"/>
      <c r="O3" s="784"/>
      <c r="P3" s="784"/>
      <c r="Q3" s="784"/>
      <c r="R3" s="784"/>
      <c r="S3" s="214"/>
      <c r="T3" s="214"/>
      <c r="U3" s="214"/>
      <c r="V3" s="214"/>
      <c r="W3" s="215"/>
      <c r="X3" s="215"/>
      <c r="Y3" s="215"/>
      <c r="Z3" s="215"/>
      <c r="AA3" s="175" t="s">
        <v>286</v>
      </c>
      <c r="AB3" s="175">
        <v>48</v>
      </c>
      <c r="AC3" s="175"/>
      <c r="AD3" s="175">
        <v>23</v>
      </c>
      <c r="AE3" s="175"/>
      <c r="AF3" s="175">
        <v>80</v>
      </c>
      <c r="AG3" s="175"/>
      <c r="AH3" s="175">
        <v>105</v>
      </c>
      <c r="AI3" s="175"/>
      <c r="AJ3" s="175">
        <v>43</v>
      </c>
      <c r="AK3" s="175"/>
      <c r="AL3" s="175">
        <v>75</v>
      </c>
      <c r="AM3" s="175"/>
      <c r="AN3" s="175">
        <v>41</v>
      </c>
      <c r="AO3" s="175"/>
      <c r="AP3" s="175">
        <v>101</v>
      </c>
      <c r="AQ3" s="175"/>
      <c r="AR3" s="175">
        <v>8</v>
      </c>
      <c r="AS3" s="175"/>
      <c r="AT3" s="175">
        <v>33</v>
      </c>
      <c r="AU3" s="175"/>
      <c r="AV3" s="175">
        <v>53</v>
      </c>
      <c r="AW3" s="175"/>
      <c r="AX3" s="175">
        <v>52</v>
      </c>
      <c r="AY3" s="203"/>
      <c r="AZ3" s="175">
        <v>76</v>
      </c>
      <c r="BA3" s="203"/>
      <c r="BB3" s="175">
        <v>82</v>
      </c>
      <c r="BC3" s="175"/>
      <c r="BD3" s="175">
        <v>104</v>
      </c>
      <c r="BE3" s="175"/>
      <c r="BF3" s="175">
        <v>147</v>
      </c>
      <c r="BG3" s="175"/>
      <c r="BH3" s="175">
        <v>54</v>
      </c>
      <c r="BI3" s="175"/>
      <c r="BJ3" s="175"/>
      <c r="BK3" s="175"/>
      <c r="BL3" s="175"/>
    </row>
    <row r="4" spans="1:75" ht="16.5" customHeight="1" x14ac:dyDescent="0.25">
      <c r="A4" s="783" t="s">
        <v>172</v>
      </c>
      <c r="B4" s="783"/>
      <c r="C4" s="566"/>
      <c r="D4" s="784" t="s">
        <v>89</v>
      </c>
      <c r="E4" s="784"/>
      <c r="F4" s="784"/>
      <c r="G4" s="784"/>
      <c r="H4" s="784"/>
      <c r="I4" s="784"/>
      <c r="J4" s="784"/>
      <c r="K4" s="784"/>
      <c r="L4" s="784"/>
      <c r="M4" s="784"/>
      <c r="N4" s="784"/>
      <c r="O4" s="784"/>
      <c r="P4" s="784"/>
      <c r="Q4" s="784"/>
      <c r="R4" s="784"/>
      <c r="S4" s="214"/>
      <c r="T4" s="214"/>
      <c r="U4" s="214"/>
      <c r="V4" s="214"/>
      <c r="W4" s="215"/>
      <c r="X4" s="215"/>
      <c r="Y4" s="215"/>
      <c r="Z4" s="215"/>
      <c r="AA4" s="175" t="s">
        <v>287</v>
      </c>
      <c r="AB4" s="177">
        <f>AB3/1125*100</f>
        <v>4.2666666666666666</v>
      </c>
      <c r="AC4" s="177">
        <f t="shared" ref="AC4:BH4" si="0">AC3/1125*100</f>
        <v>0</v>
      </c>
      <c r="AD4" s="177">
        <f t="shared" si="0"/>
        <v>2.0444444444444447</v>
      </c>
      <c r="AE4" s="177">
        <f t="shared" si="0"/>
        <v>0</v>
      </c>
      <c r="AF4" s="177">
        <f t="shared" si="0"/>
        <v>7.1111111111111107</v>
      </c>
      <c r="AG4" s="177">
        <f t="shared" si="0"/>
        <v>0</v>
      </c>
      <c r="AH4" s="177">
        <f t="shared" si="0"/>
        <v>9.3333333333333339</v>
      </c>
      <c r="AI4" s="177">
        <f t="shared" si="0"/>
        <v>0</v>
      </c>
      <c r="AJ4" s="177">
        <f t="shared" si="0"/>
        <v>3.822222222222222</v>
      </c>
      <c r="AK4" s="177">
        <f t="shared" si="0"/>
        <v>0</v>
      </c>
      <c r="AL4" s="177">
        <f t="shared" si="0"/>
        <v>6.666666666666667</v>
      </c>
      <c r="AM4" s="177">
        <f t="shared" si="0"/>
        <v>0</v>
      </c>
      <c r="AN4" s="177">
        <f t="shared" si="0"/>
        <v>3.6444444444444448</v>
      </c>
      <c r="AO4" s="177">
        <f t="shared" si="0"/>
        <v>0</v>
      </c>
      <c r="AP4" s="177">
        <f t="shared" si="0"/>
        <v>8.9777777777777779</v>
      </c>
      <c r="AQ4" s="177">
        <f t="shared" si="0"/>
        <v>0</v>
      </c>
      <c r="AR4" s="177">
        <f t="shared" si="0"/>
        <v>0.71111111111111114</v>
      </c>
      <c r="AS4" s="177">
        <f t="shared" si="0"/>
        <v>0</v>
      </c>
      <c r="AT4" s="177">
        <f t="shared" si="0"/>
        <v>2.9333333333333331</v>
      </c>
      <c r="AU4" s="177">
        <f t="shared" si="0"/>
        <v>0</v>
      </c>
      <c r="AV4" s="177">
        <f t="shared" si="0"/>
        <v>4.7111111111111112</v>
      </c>
      <c r="AW4" s="177">
        <f t="shared" si="0"/>
        <v>0</v>
      </c>
      <c r="AX4" s="177">
        <f t="shared" si="0"/>
        <v>4.6222222222222218</v>
      </c>
      <c r="AY4" s="219">
        <f t="shared" si="0"/>
        <v>0</v>
      </c>
      <c r="AZ4" s="177">
        <f t="shared" si="0"/>
        <v>6.7555555555555546</v>
      </c>
      <c r="BA4" s="219">
        <f t="shared" si="0"/>
        <v>0</v>
      </c>
      <c r="BB4" s="177">
        <f t="shared" si="0"/>
        <v>7.2888888888888896</v>
      </c>
      <c r="BC4" s="177">
        <f t="shared" si="0"/>
        <v>0</v>
      </c>
      <c r="BD4" s="177">
        <f t="shared" si="0"/>
        <v>9.2444444444444436</v>
      </c>
      <c r="BE4" s="177">
        <f t="shared" si="0"/>
        <v>0</v>
      </c>
      <c r="BF4" s="177">
        <f t="shared" si="0"/>
        <v>13.066666666666665</v>
      </c>
      <c r="BG4" s="177">
        <f t="shared" si="0"/>
        <v>0</v>
      </c>
      <c r="BH4" s="177">
        <f t="shared" si="0"/>
        <v>4.8</v>
      </c>
      <c r="BI4" s="175"/>
      <c r="BJ4" s="175"/>
      <c r="BK4" s="175"/>
      <c r="BL4" s="175"/>
    </row>
    <row r="5" spans="1:75" ht="18.600000000000001" customHeight="1" x14ac:dyDescent="0.25">
      <c r="A5" s="783" t="s">
        <v>173</v>
      </c>
      <c r="B5" s="783"/>
      <c r="C5" s="566"/>
      <c r="D5" s="784" t="s">
        <v>174</v>
      </c>
      <c r="E5" s="784"/>
      <c r="F5" s="784"/>
      <c r="G5" s="784"/>
      <c r="H5" s="784"/>
      <c r="I5" s="784"/>
      <c r="J5" s="784"/>
      <c r="K5" s="784"/>
      <c r="L5" s="784"/>
      <c r="M5" s="784"/>
      <c r="N5" s="784"/>
      <c r="O5" s="784"/>
      <c r="P5" s="784"/>
      <c r="Q5" s="784"/>
      <c r="R5" s="784"/>
      <c r="S5" s="214"/>
      <c r="T5" s="214"/>
      <c r="U5" s="214"/>
      <c r="V5" s="214"/>
      <c r="W5" s="215"/>
      <c r="X5" s="215"/>
      <c r="Y5" s="215"/>
      <c r="Z5" s="21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203"/>
      <c r="AZ5" s="175"/>
      <c r="BA5" s="203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</row>
    <row r="6" spans="1:75" ht="24" customHeight="1" x14ac:dyDescent="0.25">
      <c r="A6" s="758"/>
      <c r="B6" s="758"/>
      <c r="C6" s="758"/>
      <c r="D6" s="758"/>
      <c r="E6" s="758"/>
      <c r="F6" s="760" t="s">
        <v>21</v>
      </c>
      <c r="G6" s="760"/>
      <c r="H6" s="760"/>
      <c r="I6" s="761" t="s">
        <v>152</v>
      </c>
      <c r="J6" s="762"/>
      <c r="K6" s="762"/>
      <c r="L6" s="762"/>
      <c r="M6" s="762"/>
      <c r="N6" s="762"/>
      <c r="O6" s="762"/>
      <c r="P6" s="762"/>
      <c r="Q6" s="762"/>
      <c r="R6" s="763"/>
      <c r="S6" s="773" t="s">
        <v>60</v>
      </c>
      <c r="T6" s="774"/>
      <c r="U6" s="774"/>
      <c r="V6" s="775"/>
      <c r="W6" s="779" t="s">
        <v>38</v>
      </c>
      <c r="X6" s="780"/>
      <c r="Y6" s="780"/>
      <c r="Z6" s="780"/>
      <c r="AA6" s="767" t="s">
        <v>180</v>
      </c>
      <c r="AB6" s="767"/>
      <c r="AC6" s="767" t="s">
        <v>181</v>
      </c>
      <c r="AD6" s="767"/>
      <c r="AE6" s="767" t="s">
        <v>182</v>
      </c>
      <c r="AF6" s="767"/>
      <c r="AG6" s="767" t="s">
        <v>183</v>
      </c>
      <c r="AH6" s="767"/>
      <c r="AI6" s="767" t="s">
        <v>184</v>
      </c>
      <c r="AJ6" s="767"/>
      <c r="AK6" s="767" t="s">
        <v>185</v>
      </c>
      <c r="AL6" s="767"/>
      <c r="AM6" s="767" t="s">
        <v>186</v>
      </c>
      <c r="AN6" s="767"/>
      <c r="AO6" s="767" t="s">
        <v>187</v>
      </c>
      <c r="AP6" s="767"/>
      <c r="AQ6" s="767" t="s">
        <v>188</v>
      </c>
      <c r="AR6" s="767"/>
      <c r="AS6" s="767" t="s">
        <v>189</v>
      </c>
      <c r="AT6" s="767"/>
      <c r="AU6" s="767" t="s">
        <v>190</v>
      </c>
      <c r="AV6" s="767"/>
      <c r="AW6" s="767" t="s">
        <v>191</v>
      </c>
      <c r="AX6" s="767"/>
      <c r="AY6" s="767" t="s">
        <v>192</v>
      </c>
      <c r="AZ6" s="767"/>
      <c r="BA6" s="767" t="s">
        <v>193</v>
      </c>
      <c r="BB6" s="767"/>
      <c r="BC6" s="767" t="s">
        <v>194</v>
      </c>
      <c r="BD6" s="767"/>
      <c r="BE6" s="767" t="s">
        <v>195</v>
      </c>
      <c r="BF6" s="767"/>
      <c r="BG6" s="770" t="s">
        <v>196</v>
      </c>
      <c r="BH6" s="770"/>
      <c r="BI6" s="767" t="s">
        <v>197</v>
      </c>
      <c r="BJ6" s="767"/>
      <c r="BK6" s="767" t="s">
        <v>17</v>
      </c>
      <c r="BL6" s="767"/>
      <c r="BM6" s="740" t="s">
        <v>230</v>
      </c>
    </row>
    <row r="7" spans="1:75" ht="15" customHeight="1" x14ac:dyDescent="0.25">
      <c r="A7" s="220" t="s">
        <v>13</v>
      </c>
      <c r="B7" s="220" t="s">
        <v>1</v>
      </c>
      <c r="C7" s="771" t="s">
        <v>775</v>
      </c>
      <c r="D7" s="759" t="s">
        <v>12</v>
      </c>
      <c r="E7" s="557" t="s">
        <v>14</v>
      </c>
      <c r="F7" s="557"/>
      <c r="G7" s="557"/>
      <c r="H7" s="767" t="s">
        <v>179</v>
      </c>
      <c r="I7" s="180" t="s">
        <v>200</v>
      </c>
      <c r="J7" s="180" t="s">
        <v>201</v>
      </c>
      <c r="K7" s="180" t="s">
        <v>202</v>
      </c>
      <c r="L7" s="180" t="s">
        <v>203</v>
      </c>
      <c r="M7" s="180" t="s">
        <v>204</v>
      </c>
      <c r="N7" s="180" t="s">
        <v>205</v>
      </c>
      <c r="O7" s="180" t="s">
        <v>919</v>
      </c>
      <c r="P7" s="180" t="s">
        <v>206</v>
      </c>
      <c r="Q7" s="180" t="s">
        <v>207</v>
      </c>
      <c r="R7" s="180" t="s">
        <v>768</v>
      </c>
      <c r="S7" s="776"/>
      <c r="T7" s="777"/>
      <c r="U7" s="777"/>
      <c r="V7" s="778"/>
      <c r="W7" s="781"/>
      <c r="X7" s="782"/>
      <c r="Y7" s="782"/>
      <c r="Z7" s="782"/>
      <c r="AA7" s="767"/>
      <c r="AB7" s="767"/>
      <c r="AC7" s="767" t="s">
        <v>43</v>
      </c>
      <c r="AD7" s="767"/>
      <c r="AE7" s="767" t="s">
        <v>44</v>
      </c>
      <c r="AF7" s="767"/>
      <c r="AG7" s="767" t="s">
        <v>45</v>
      </c>
      <c r="AH7" s="767"/>
      <c r="AI7" s="767" t="s">
        <v>46</v>
      </c>
      <c r="AJ7" s="767"/>
      <c r="AK7" s="767" t="s">
        <v>47</v>
      </c>
      <c r="AL7" s="767"/>
      <c r="AM7" s="767" t="s">
        <v>48</v>
      </c>
      <c r="AN7" s="767"/>
      <c r="AO7" s="767" t="s">
        <v>49</v>
      </c>
      <c r="AP7" s="767"/>
      <c r="AQ7" s="767" t="s">
        <v>50</v>
      </c>
      <c r="AR7" s="767"/>
      <c r="AS7" s="767" t="s">
        <v>51</v>
      </c>
      <c r="AT7" s="767"/>
      <c r="AU7" s="767" t="s">
        <v>52</v>
      </c>
      <c r="AV7" s="767"/>
      <c r="AW7" s="767" t="s">
        <v>53</v>
      </c>
      <c r="AX7" s="767"/>
      <c r="AY7" s="767" t="s">
        <v>54</v>
      </c>
      <c r="AZ7" s="767"/>
      <c r="BA7" s="767" t="s">
        <v>55</v>
      </c>
      <c r="BB7" s="767"/>
      <c r="BC7" s="767" t="s">
        <v>40</v>
      </c>
      <c r="BD7" s="767"/>
      <c r="BE7" s="767" t="s">
        <v>37</v>
      </c>
      <c r="BF7" s="767"/>
      <c r="BG7" s="770"/>
      <c r="BH7" s="770"/>
      <c r="BI7" s="767"/>
      <c r="BJ7" s="767"/>
      <c r="BK7" s="767"/>
      <c r="BL7" s="767"/>
      <c r="BM7" s="740"/>
      <c r="BO7" s="746" t="s">
        <v>228</v>
      </c>
      <c r="BP7" s="746"/>
      <c r="BQ7" s="746"/>
      <c r="BR7" s="746"/>
      <c r="BS7" s="746"/>
      <c r="BT7" s="746" t="s">
        <v>229</v>
      </c>
      <c r="BU7" s="746"/>
      <c r="BV7" s="746"/>
      <c r="BW7" s="740" t="s">
        <v>17</v>
      </c>
    </row>
    <row r="8" spans="1:75" ht="42" customHeight="1" x14ac:dyDescent="0.25">
      <c r="A8" s="220"/>
      <c r="B8" s="220" t="s">
        <v>2</v>
      </c>
      <c r="C8" s="772"/>
      <c r="D8" s="759"/>
      <c r="E8" s="557"/>
      <c r="F8" s="559" t="s">
        <v>35</v>
      </c>
      <c r="G8" s="559" t="s">
        <v>23</v>
      </c>
      <c r="H8" s="767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560" t="s">
        <v>7</v>
      </c>
      <c r="T8" s="560" t="s">
        <v>8</v>
      </c>
      <c r="U8" s="560" t="s">
        <v>9</v>
      </c>
      <c r="V8" s="560" t="s">
        <v>10</v>
      </c>
      <c r="W8" s="561" t="s">
        <v>7</v>
      </c>
      <c r="X8" s="561" t="s">
        <v>8</v>
      </c>
      <c r="Y8" s="561" t="s">
        <v>9</v>
      </c>
      <c r="Z8" s="221" t="s">
        <v>10</v>
      </c>
      <c r="AA8" s="557" t="s">
        <v>14</v>
      </c>
      <c r="AB8" s="561" t="s">
        <v>15</v>
      </c>
      <c r="AC8" s="557" t="s">
        <v>14</v>
      </c>
      <c r="AD8" s="561" t="s">
        <v>15</v>
      </c>
      <c r="AE8" s="557" t="s">
        <v>14</v>
      </c>
      <c r="AF8" s="561" t="s">
        <v>15</v>
      </c>
      <c r="AG8" s="557" t="s">
        <v>14</v>
      </c>
      <c r="AH8" s="561" t="s">
        <v>15</v>
      </c>
      <c r="AI8" s="557" t="s">
        <v>14</v>
      </c>
      <c r="AJ8" s="561" t="s">
        <v>15</v>
      </c>
      <c r="AK8" s="557" t="s">
        <v>14</v>
      </c>
      <c r="AL8" s="561" t="s">
        <v>15</v>
      </c>
      <c r="AM8" s="557" t="s">
        <v>14</v>
      </c>
      <c r="AN8" s="561" t="s">
        <v>15</v>
      </c>
      <c r="AO8" s="557" t="s">
        <v>14</v>
      </c>
      <c r="AP8" s="561" t="s">
        <v>15</v>
      </c>
      <c r="AQ8" s="557" t="s">
        <v>14</v>
      </c>
      <c r="AR8" s="561" t="s">
        <v>15</v>
      </c>
      <c r="AS8" s="557" t="s">
        <v>14</v>
      </c>
      <c r="AT8" s="561" t="s">
        <v>15</v>
      </c>
      <c r="AU8" s="557" t="s">
        <v>14</v>
      </c>
      <c r="AV8" s="561" t="s">
        <v>15</v>
      </c>
      <c r="AW8" s="557" t="s">
        <v>14</v>
      </c>
      <c r="AX8" s="561" t="s">
        <v>15</v>
      </c>
      <c r="AY8" s="220" t="s">
        <v>14</v>
      </c>
      <c r="AZ8" s="561" t="s">
        <v>15</v>
      </c>
      <c r="BA8" s="220" t="s">
        <v>14</v>
      </c>
      <c r="BB8" s="561" t="s">
        <v>15</v>
      </c>
      <c r="BC8" s="557" t="s">
        <v>14</v>
      </c>
      <c r="BD8" s="561" t="s">
        <v>15</v>
      </c>
      <c r="BE8" s="557" t="s">
        <v>14</v>
      </c>
      <c r="BF8" s="561" t="s">
        <v>15</v>
      </c>
      <c r="BG8" s="557" t="s">
        <v>14</v>
      </c>
      <c r="BH8" s="561" t="s">
        <v>15</v>
      </c>
      <c r="BI8" s="557" t="s">
        <v>14</v>
      </c>
      <c r="BJ8" s="561" t="s">
        <v>15</v>
      </c>
      <c r="BK8" s="557" t="s">
        <v>14</v>
      </c>
      <c r="BL8" s="561" t="s">
        <v>15</v>
      </c>
      <c r="BM8" s="740"/>
      <c r="BO8" s="550" t="s">
        <v>219</v>
      </c>
      <c r="BP8" s="135" t="s">
        <v>220</v>
      </c>
      <c r="BQ8" s="135" t="s">
        <v>221</v>
      </c>
      <c r="BR8" s="565" t="s">
        <v>222</v>
      </c>
      <c r="BS8" s="135" t="s">
        <v>223</v>
      </c>
      <c r="BT8" s="135" t="s">
        <v>224</v>
      </c>
      <c r="BU8" s="135" t="s">
        <v>225</v>
      </c>
      <c r="BV8" s="135" t="s">
        <v>226</v>
      </c>
      <c r="BW8" s="740"/>
    </row>
    <row r="9" spans="1:75" x14ac:dyDescent="0.25">
      <c r="A9" s="222"/>
      <c r="B9" s="169"/>
      <c r="C9" s="181"/>
      <c r="D9" s="223" t="s">
        <v>316</v>
      </c>
      <c r="E9" s="224"/>
      <c r="F9" s="186"/>
      <c r="G9" s="213"/>
      <c r="H9" s="213" t="s">
        <v>36</v>
      </c>
      <c r="I9" s="186"/>
      <c r="J9" s="559"/>
      <c r="K9" s="559"/>
      <c r="L9" s="559"/>
      <c r="M9" s="559"/>
      <c r="N9" s="559"/>
      <c r="O9" s="559"/>
      <c r="P9" s="557"/>
      <c r="Q9" s="557"/>
      <c r="R9" s="557"/>
      <c r="S9" s="560"/>
      <c r="T9" s="560"/>
      <c r="U9" s="560"/>
      <c r="V9" s="560"/>
      <c r="W9" s="561"/>
      <c r="X9" s="561"/>
      <c r="Y9" s="561"/>
      <c r="Z9" s="561"/>
      <c r="AA9" s="557"/>
      <c r="AB9" s="561"/>
      <c r="AC9" s="557"/>
      <c r="AD9" s="561"/>
      <c r="AE9" s="557"/>
      <c r="AF9" s="561"/>
      <c r="AG9" s="557"/>
      <c r="AH9" s="561"/>
      <c r="AI9" s="557"/>
      <c r="AJ9" s="561"/>
      <c r="AK9" s="557"/>
      <c r="AL9" s="561"/>
      <c r="AM9" s="557"/>
      <c r="AN9" s="561"/>
      <c r="AO9" s="557"/>
      <c r="AP9" s="561"/>
      <c r="AQ9" s="557"/>
      <c r="AR9" s="561"/>
      <c r="AS9" s="557"/>
      <c r="AT9" s="561"/>
      <c r="AU9" s="557"/>
      <c r="AV9" s="561"/>
      <c r="AW9" s="557"/>
      <c r="AX9" s="561"/>
      <c r="AY9" s="220"/>
      <c r="AZ9" s="561"/>
      <c r="BA9" s="220"/>
      <c r="BB9" s="561"/>
      <c r="BC9" s="557"/>
      <c r="BD9" s="561"/>
      <c r="BE9" s="557"/>
      <c r="BF9" s="561"/>
      <c r="BG9" s="557"/>
      <c r="BH9" s="561"/>
      <c r="BI9" s="557"/>
      <c r="BJ9" s="561"/>
      <c r="BK9" s="557"/>
      <c r="BL9" s="561"/>
      <c r="BM9" s="186"/>
      <c r="BO9" s="225"/>
      <c r="BP9" s="225"/>
      <c r="BQ9" s="225"/>
      <c r="BR9" s="225"/>
      <c r="BS9" s="225"/>
      <c r="BT9" s="225"/>
      <c r="BU9" s="225"/>
      <c r="BV9" s="225"/>
      <c r="BW9" s="226">
        <f t="shared" ref="BW9:BW15" si="1">BS9+BV9</f>
        <v>0</v>
      </c>
    </row>
    <row r="10" spans="1:75" x14ac:dyDescent="0.25">
      <c r="A10" s="227"/>
      <c r="B10" s="169"/>
      <c r="C10" s="181"/>
      <c r="D10" s="223" t="s">
        <v>427</v>
      </c>
      <c r="E10" s="193"/>
      <c r="F10" s="186"/>
      <c r="G10" s="213"/>
      <c r="H10" s="213" t="s">
        <v>36</v>
      </c>
      <c r="I10" s="228"/>
      <c r="J10" s="229"/>
      <c r="K10" s="229"/>
      <c r="L10" s="229"/>
      <c r="M10" s="229"/>
      <c r="N10" s="229"/>
      <c r="O10" s="229"/>
      <c r="P10" s="224"/>
      <c r="Q10" s="224"/>
      <c r="R10" s="224"/>
      <c r="S10" s="230"/>
      <c r="T10" s="230"/>
      <c r="U10" s="230"/>
      <c r="V10" s="230"/>
      <c r="W10" s="231"/>
      <c r="X10" s="231"/>
      <c r="Y10" s="231"/>
      <c r="Z10" s="231"/>
      <c r="AA10" s="224"/>
      <c r="AB10" s="231"/>
      <c r="AC10" s="224"/>
      <c r="AD10" s="231"/>
      <c r="AE10" s="224"/>
      <c r="AF10" s="231"/>
      <c r="AG10" s="224"/>
      <c r="AH10" s="231"/>
      <c r="AI10" s="224"/>
      <c r="AJ10" s="231"/>
      <c r="AK10" s="224"/>
      <c r="AL10" s="231"/>
      <c r="AM10" s="224"/>
      <c r="AN10" s="231"/>
      <c r="AO10" s="224"/>
      <c r="AP10" s="231"/>
      <c r="AQ10" s="224"/>
      <c r="AR10" s="231"/>
      <c r="AS10" s="224"/>
      <c r="AT10" s="231"/>
      <c r="AU10" s="224"/>
      <c r="AV10" s="231"/>
      <c r="AW10" s="224"/>
      <c r="AX10" s="231"/>
      <c r="AY10" s="228"/>
      <c r="AZ10" s="231"/>
      <c r="BA10" s="228"/>
      <c r="BB10" s="231"/>
      <c r="BC10" s="224"/>
      <c r="BD10" s="231"/>
      <c r="BE10" s="224"/>
      <c r="BF10" s="231"/>
      <c r="BG10" s="224"/>
      <c r="BH10" s="231"/>
      <c r="BI10" s="224"/>
      <c r="BJ10" s="231"/>
      <c r="BK10" s="188"/>
      <c r="BL10" s="188"/>
      <c r="BM10" s="186"/>
      <c r="BO10" s="225"/>
      <c r="BP10" s="225"/>
      <c r="BQ10" s="225"/>
      <c r="BR10" s="225"/>
      <c r="BS10" s="225">
        <f>BO10+BP10+BQ10+BR10</f>
        <v>0</v>
      </c>
      <c r="BT10" s="225"/>
      <c r="BU10" s="225"/>
      <c r="BV10" s="225">
        <f>BT10+BU10</f>
        <v>0</v>
      </c>
      <c r="BW10" s="226">
        <f t="shared" si="1"/>
        <v>0</v>
      </c>
    </row>
    <row r="11" spans="1:75" x14ac:dyDescent="0.25">
      <c r="A11" s="227"/>
      <c r="B11" s="169"/>
      <c r="C11" s="181"/>
      <c r="D11" s="223" t="s">
        <v>995</v>
      </c>
      <c r="E11" s="193"/>
      <c r="F11" s="186"/>
      <c r="G11" s="213"/>
      <c r="H11" s="213" t="s">
        <v>36</v>
      </c>
      <c r="I11" s="228"/>
      <c r="J11" s="232"/>
      <c r="K11" s="232"/>
      <c r="L11" s="232"/>
      <c r="M11" s="232"/>
      <c r="N11" s="232"/>
      <c r="O11" s="232"/>
      <c r="P11" s="232"/>
      <c r="Q11" s="232"/>
      <c r="R11" s="232"/>
      <c r="S11" s="230"/>
      <c r="T11" s="230"/>
      <c r="U11" s="230"/>
      <c r="V11" s="230"/>
      <c r="W11" s="231"/>
      <c r="X11" s="231"/>
      <c r="Y11" s="231"/>
      <c r="Z11" s="231"/>
      <c r="AA11" s="224"/>
      <c r="AB11" s="231"/>
      <c r="AC11" s="224"/>
      <c r="AD11" s="231"/>
      <c r="AE11" s="224"/>
      <c r="AF11" s="231"/>
      <c r="AG11" s="224"/>
      <c r="AH11" s="231"/>
      <c r="AI11" s="224"/>
      <c r="AJ11" s="231"/>
      <c r="AK11" s="224"/>
      <c r="AL11" s="231"/>
      <c r="AM11" s="224"/>
      <c r="AN11" s="231"/>
      <c r="AO11" s="224"/>
      <c r="AP11" s="231"/>
      <c r="AQ11" s="224"/>
      <c r="AR11" s="231"/>
      <c r="AS11" s="224"/>
      <c r="AT11" s="231"/>
      <c r="AU11" s="224"/>
      <c r="AV11" s="231"/>
      <c r="AW11" s="224"/>
      <c r="AX11" s="231"/>
      <c r="AY11" s="228"/>
      <c r="AZ11" s="231"/>
      <c r="BA11" s="228"/>
      <c r="BB11" s="231"/>
      <c r="BC11" s="224"/>
      <c r="BD11" s="231"/>
      <c r="BE11" s="224"/>
      <c r="BF11" s="231"/>
      <c r="BG11" s="224"/>
      <c r="BH11" s="231"/>
      <c r="BI11" s="224"/>
      <c r="BJ11" s="231"/>
      <c r="BK11" s="188"/>
      <c r="BL11" s="188"/>
      <c r="BM11" s="186"/>
      <c r="BO11" s="225"/>
      <c r="BP11" s="225" t="str">
        <f>H11</f>
        <v xml:space="preserve"> </v>
      </c>
      <c r="BQ11" s="225"/>
      <c r="BR11" s="225"/>
      <c r="BS11" s="225"/>
      <c r="BT11" s="225"/>
      <c r="BU11" s="225"/>
      <c r="BV11" s="225">
        <f>BT11+BU11</f>
        <v>0</v>
      </c>
      <c r="BW11" s="226">
        <f t="shared" si="1"/>
        <v>0</v>
      </c>
    </row>
    <row r="12" spans="1:75" x14ac:dyDescent="0.25">
      <c r="A12" s="227"/>
      <c r="B12" s="169"/>
      <c r="C12" s="181"/>
      <c r="D12" s="213" t="s">
        <v>607</v>
      </c>
      <c r="E12" s="193" t="s">
        <v>69</v>
      </c>
      <c r="F12" s="193" t="s">
        <v>343</v>
      </c>
      <c r="G12" s="233">
        <f>BK12</f>
        <v>50</v>
      </c>
      <c r="H12" s="213">
        <f>G12*F12</f>
        <v>1000000</v>
      </c>
      <c r="I12" s="228"/>
      <c r="J12" s="232"/>
      <c r="K12" s="208"/>
      <c r="L12" s="208"/>
      <c r="M12" s="232"/>
      <c r="N12" s="208">
        <f>H12</f>
        <v>1000000</v>
      </c>
      <c r="O12" s="208"/>
      <c r="P12" s="232"/>
      <c r="Q12" s="232"/>
      <c r="R12" s="232"/>
      <c r="S12" s="230">
        <f>G12*0.25</f>
        <v>12.5</v>
      </c>
      <c r="T12" s="230">
        <f>G12*0.25</f>
        <v>12.5</v>
      </c>
      <c r="U12" s="230">
        <f>G12*0.25</f>
        <v>12.5</v>
      </c>
      <c r="V12" s="230">
        <f>G12*0.25</f>
        <v>12.5</v>
      </c>
      <c r="W12" s="231">
        <f>S12*F12</f>
        <v>250000</v>
      </c>
      <c r="X12" s="231">
        <f>T12*F12</f>
        <v>250000</v>
      </c>
      <c r="Y12" s="231">
        <f>U12*F12</f>
        <v>250000</v>
      </c>
      <c r="Z12" s="231">
        <f>V12*F12</f>
        <v>250000</v>
      </c>
      <c r="AA12" s="224">
        <v>0</v>
      </c>
      <c r="AB12" s="231">
        <f>AA12*F12</f>
        <v>0</v>
      </c>
      <c r="AC12" s="224">
        <v>0</v>
      </c>
      <c r="AD12" s="231">
        <f>AC12*F12</f>
        <v>0</v>
      </c>
      <c r="AE12" s="224">
        <v>0</v>
      </c>
      <c r="AF12" s="231">
        <f>AE12*F12</f>
        <v>0</v>
      </c>
      <c r="AG12" s="224">
        <v>0</v>
      </c>
      <c r="AH12" s="231">
        <f>AG12*F12</f>
        <v>0</v>
      </c>
      <c r="AI12" s="224">
        <v>0</v>
      </c>
      <c r="AJ12" s="231">
        <f>AI12*F12</f>
        <v>0</v>
      </c>
      <c r="AK12" s="224">
        <v>0</v>
      </c>
      <c r="AL12" s="231">
        <f>AK12*F12</f>
        <v>0</v>
      </c>
      <c r="AM12" s="224">
        <v>0</v>
      </c>
      <c r="AN12" s="231">
        <f>AM12*F12</f>
        <v>0</v>
      </c>
      <c r="AO12" s="224">
        <v>0</v>
      </c>
      <c r="AP12" s="231">
        <f>AO12*F12</f>
        <v>0</v>
      </c>
      <c r="AQ12" s="224">
        <v>0</v>
      </c>
      <c r="AR12" s="231">
        <f>AQ12*F12</f>
        <v>0</v>
      </c>
      <c r="AS12" s="224">
        <v>0</v>
      </c>
      <c r="AT12" s="231">
        <f>AS12*F12</f>
        <v>0</v>
      </c>
      <c r="AU12" s="224">
        <v>0</v>
      </c>
      <c r="AV12" s="231">
        <f>AU12*F12</f>
        <v>0</v>
      </c>
      <c r="AW12" s="224">
        <v>0</v>
      </c>
      <c r="AX12" s="231">
        <f>AW12*F12</f>
        <v>0</v>
      </c>
      <c r="AY12" s="228">
        <v>0</v>
      </c>
      <c r="AZ12" s="231">
        <f>AY12*F12</f>
        <v>0</v>
      </c>
      <c r="BA12" s="228">
        <v>0</v>
      </c>
      <c r="BB12" s="231">
        <f>BA12*F12</f>
        <v>0</v>
      </c>
      <c r="BC12" s="224">
        <v>50</v>
      </c>
      <c r="BD12" s="231">
        <f>BC12*F12</f>
        <v>1000000</v>
      </c>
      <c r="BE12" s="224">
        <v>0</v>
      </c>
      <c r="BF12" s="231">
        <f>BE12*F12</f>
        <v>0</v>
      </c>
      <c r="BG12" s="224">
        <v>0</v>
      </c>
      <c r="BH12" s="231">
        <f>BG12*F12</f>
        <v>0</v>
      </c>
      <c r="BI12" s="224"/>
      <c r="BJ12" s="231">
        <f>BI12*F12</f>
        <v>0</v>
      </c>
      <c r="BK12" s="188">
        <f>AA12+AC12+AE12+AG12+AI12+AK12+AM12+AO12+AQ12+AS12+AU12+AW12+AY12+BA12+BC12+BE12+BG12+BI12</f>
        <v>50</v>
      </c>
      <c r="BL12" s="188">
        <f>AB12+AD12+AF12+AH12+AJ12+AL12+AN12+AP12+AR12+AT12+AV12+AX12+AZ12+BB12+BD12+BF12+BH12+BJ12</f>
        <v>1000000</v>
      </c>
      <c r="BM12" s="186" t="s">
        <v>566</v>
      </c>
      <c r="BO12" s="225"/>
      <c r="BP12" s="225"/>
      <c r="BQ12" s="225">
        <f>H12</f>
        <v>1000000</v>
      </c>
      <c r="BR12" s="225"/>
      <c r="BS12" s="225">
        <f>BO12+BP12+BQ12+BR12</f>
        <v>1000000</v>
      </c>
      <c r="BT12" s="225"/>
      <c r="BU12" s="225"/>
      <c r="BV12" s="225"/>
      <c r="BW12" s="226">
        <f t="shared" si="1"/>
        <v>1000000</v>
      </c>
    </row>
    <row r="13" spans="1:75" s="237" customFormat="1" x14ac:dyDescent="0.25">
      <c r="A13" s="234"/>
      <c r="B13" s="220"/>
      <c r="C13" s="555"/>
      <c r="D13" s="223" t="s">
        <v>428</v>
      </c>
      <c r="E13" s="205" t="s">
        <v>111</v>
      </c>
      <c r="F13" s="205" t="s">
        <v>111</v>
      </c>
      <c r="G13" s="235">
        <f t="shared" ref="G13:BL13" si="2">SUM(G12:G12)</f>
        <v>50</v>
      </c>
      <c r="H13" s="235">
        <f t="shared" si="2"/>
        <v>1000000</v>
      </c>
      <c r="I13" s="235">
        <f t="shared" si="2"/>
        <v>0</v>
      </c>
      <c r="J13" s="235">
        <f t="shared" si="2"/>
        <v>0</v>
      </c>
      <c r="K13" s="235">
        <f t="shared" si="2"/>
        <v>0</v>
      </c>
      <c r="L13" s="235">
        <f t="shared" si="2"/>
        <v>0</v>
      </c>
      <c r="M13" s="235">
        <f t="shared" si="2"/>
        <v>0</v>
      </c>
      <c r="N13" s="235">
        <f t="shared" si="2"/>
        <v>1000000</v>
      </c>
      <c r="O13" s="235">
        <f t="shared" si="2"/>
        <v>0</v>
      </c>
      <c r="P13" s="235">
        <f t="shared" si="2"/>
        <v>0</v>
      </c>
      <c r="Q13" s="235">
        <f t="shared" si="2"/>
        <v>0</v>
      </c>
      <c r="R13" s="235">
        <f t="shared" si="2"/>
        <v>0</v>
      </c>
      <c r="S13" s="235">
        <f t="shared" si="2"/>
        <v>12.5</v>
      </c>
      <c r="T13" s="235">
        <f t="shared" si="2"/>
        <v>12.5</v>
      </c>
      <c r="U13" s="235">
        <f t="shared" si="2"/>
        <v>12.5</v>
      </c>
      <c r="V13" s="235">
        <f t="shared" si="2"/>
        <v>12.5</v>
      </c>
      <c r="W13" s="235">
        <f t="shared" si="2"/>
        <v>250000</v>
      </c>
      <c r="X13" s="235">
        <f t="shared" si="2"/>
        <v>250000</v>
      </c>
      <c r="Y13" s="235">
        <f t="shared" si="2"/>
        <v>250000</v>
      </c>
      <c r="Z13" s="235">
        <f t="shared" si="2"/>
        <v>250000</v>
      </c>
      <c r="AA13" s="235">
        <f t="shared" si="2"/>
        <v>0</v>
      </c>
      <c r="AB13" s="235">
        <f t="shared" si="2"/>
        <v>0</v>
      </c>
      <c r="AC13" s="235">
        <f t="shared" si="2"/>
        <v>0</v>
      </c>
      <c r="AD13" s="235">
        <f t="shared" si="2"/>
        <v>0</v>
      </c>
      <c r="AE13" s="235">
        <f t="shared" si="2"/>
        <v>0</v>
      </c>
      <c r="AF13" s="235">
        <f t="shared" si="2"/>
        <v>0</v>
      </c>
      <c r="AG13" s="235">
        <f t="shared" si="2"/>
        <v>0</v>
      </c>
      <c r="AH13" s="235">
        <f t="shared" si="2"/>
        <v>0</v>
      </c>
      <c r="AI13" s="235">
        <f t="shared" si="2"/>
        <v>0</v>
      </c>
      <c r="AJ13" s="235">
        <f t="shared" si="2"/>
        <v>0</v>
      </c>
      <c r="AK13" s="235">
        <f t="shared" si="2"/>
        <v>0</v>
      </c>
      <c r="AL13" s="235">
        <f t="shared" si="2"/>
        <v>0</v>
      </c>
      <c r="AM13" s="235">
        <f t="shared" si="2"/>
        <v>0</v>
      </c>
      <c r="AN13" s="235">
        <f t="shared" si="2"/>
        <v>0</v>
      </c>
      <c r="AO13" s="235">
        <f t="shared" si="2"/>
        <v>0</v>
      </c>
      <c r="AP13" s="235">
        <f t="shared" si="2"/>
        <v>0</v>
      </c>
      <c r="AQ13" s="235">
        <f t="shared" si="2"/>
        <v>0</v>
      </c>
      <c r="AR13" s="235">
        <f t="shared" si="2"/>
        <v>0</v>
      </c>
      <c r="AS13" s="235">
        <f t="shared" si="2"/>
        <v>0</v>
      </c>
      <c r="AT13" s="235">
        <f t="shared" si="2"/>
        <v>0</v>
      </c>
      <c r="AU13" s="235">
        <f t="shared" si="2"/>
        <v>0</v>
      </c>
      <c r="AV13" s="235">
        <f t="shared" si="2"/>
        <v>0</v>
      </c>
      <c r="AW13" s="235">
        <f t="shared" si="2"/>
        <v>0</v>
      </c>
      <c r="AX13" s="235">
        <f t="shared" si="2"/>
        <v>0</v>
      </c>
      <c r="AY13" s="236">
        <f t="shared" si="2"/>
        <v>0</v>
      </c>
      <c r="AZ13" s="235">
        <f t="shared" si="2"/>
        <v>0</v>
      </c>
      <c r="BA13" s="236">
        <f t="shared" si="2"/>
        <v>0</v>
      </c>
      <c r="BB13" s="235">
        <f t="shared" si="2"/>
        <v>0</v>
      </c>
      <c r="BC13" s="235">
        <f t="shared" si="2"/>
        <v>50</v>
      </c>
      <c r="BD13" s="235">
        <f t="shared" si="2"/>
        <v>1000000</v>
      </c>
      <c r="BE13" s="235">
        <f t="shared" si="2"/>
        <v>0</v>
      </c>
      <c r="BF13" s="235">
        <f t="shared" si="2"/>
        <v>0</v>
      </c>
      <c r="BG13" s="235">
        <f t="shared" si="2"/>
        <v>0</v>
      </c>
      <c r="BH13" s="235">
        <f t="shared" si="2"/>
        <v>0</v>
      </c>
      <c r="BI13" s="235">
        <f t="shared" si="2"/>
        <v>0</v>
      </c>
      <c r="BJ13" s="235">
        <f t="shared" si="2"/>
        <v>0</v>
      </c>
      <c r="BK13" s="235">
        <f t="shared" si="2"/>
        <v>50</v>
      </c>
      <c r="BL13" s="235">
        <f t="shared" si="2"/>
        <v>1000000</v>
      </c>
      <c r="BM13" s="204" t="s">
        <v>111</v>
      </c>
      <c r="BO13" s="238">
        <f>SUM(BO10:BO12)</f>
        <v>0</v>
      </c>
      <c r="BP13" s="238">
        <f>SUM(BP11:BP11)</f>
        <v>0</v>
      </c>
      <c r="BQ13" s="238">
        <f>SUM(BQ11:BQ12)</f>
        <v>1000000</v>
      </c>
      <c r="BR13" s="238">
        <f>SUM(BR11:BR11)</f>
        <v>0</v>
      </c>
      <c r="BS13" s="238">
        <f>SUM(BS10:BS12)</f>
        <v>1000000</v>
      </c>
      <c r="BT13" s="238">
        <f>SUM(BT11:BT11)</f>
        <v>0</v>
      </c>
      <c r="BU13" s="238">
        <f>SUM(BU11:BU11)</f>
        <v>0</v>
      </c>
      <c r="BV13" s="238">
        <f>SUM(BV11:BV11)</f>
        <v>0</v>
      </c>
      <c r="BW13" s="239">
        <f t="shared" si="1"/>
        <v>1000000</v>
      </c>
    </row>
    <row r="14" spans="1:75" ht="15" customHeight="1" x14ac:dyDescent="0.25">
      <c r="A14" s="227"/>
      <c r="B14" s="169"/>
      <c r="C14" s="181"/>
      <c r="D14" s="223" t="s">
        <v>429</v>
      </c>
      <c r="E14" s="193"/>
      <c r="F14" s="186"/>
      <c r="G14" s="213"/>
      <c r="H14" s="213" t="s">
        <v>36</v>
      </c>
      <c r="I14" s="228"/>
      <c r="J14" s="240"/>
      <c r="K14" s="240"/>
      <c r="L14" s="240"/>
      <c r="M14" s="240"/>
      <c r="N14" s="240"/>
      <c r="O14" s="240"/>
      <c r="P14" s="240"/>
      <c r="Q14" s="240"/>
      <c r="R14" s="240"/>
      <c r="S14" s="241"/>
      <c r="T14" s="241"/>
      <c r="U14" s="241"/>
      <c r="V14" s="241"/>
      <c r="W14" s="242"/>
      <c r="X14" s="242"/>
      <c r="Y14" s="242"/>
      <c r="Z14" s="242"/>
      <c r="AA14" s="224"/>
      <c r="AB14" s="231">
        <f>AA14*F14</f>
        <v>0</v>
      </c>
      <c r="AC14" s="224"/>
      <c r="AD14" s="231">
        <f>AC14*F14</f>
        <v>0</v>
      </c>
      <c r="AE14" s="224"/>
      <c r="AF14" s="231">
        <f>AE14*F14</f>
        <v>0</v>
      </c>
      <c r="AG14" s="224"/>
      <c r="AH14" s="231">
        <f>AG14*F14</f>
        <v>0</v>
      </c>
      <c r="AI14" s="224"/>
      <c r="AJ14" s="231">
        <f>AI14*F14</f>
        <v>0</v>
      </c>
      <c r="AK14" s="224"/>
      <c r="AL14" s="231">
        <f>AK14*F14</f>
        <v>0</v>
      </c>
      <c r="AM14" s="224"/>
      <c r="AN14" s="231">
        <f>AM14*F14</f>
        <v>0</v>
      </c>
      <c r="AO14" s="224"/>
      <c r="AP14" s="231">
        <f>AO14*F14</f>
        <v>0</v>
      </c>
      <c r="AQ14" s="224"/>
      <c r="AR14" s="231">
        <f>AQ14*F14</f>
        <v>0</v>
      </c>
      <c r="AS14" s="224"/>
      <c r="AT14" s="231">
        <f>AS14*F14</f>
        <v>0</v>
      </c>
      <c r="AU14" s="224"/>
      <c r="AV14" s="231">
        <f>AU14*F14</f>
        <v>0</v>
      </c>
      <c r="AW14" s="224"/>
      <c r="AX14" s="231">
        <f>AW14*F14</f>
        <v>0</v>
      </c>
      <c r="AY14" s="228"/>
      <c r="AZ14" s="231">
        <f>AY14*F14</f>
        <v>0</v>
      </c>
      <c r="BA14" s="228"/>
      <c r="BB14" s="231">
        <f>BA14*F14</f>
        <v>0</v>
      </c>
      <c r="BC14" s="224"/>
      <c r="BD14" s="231">
        <f>BC14*F14</f>
        <v>0</v>
      </c>
      <c r="BE14" s="224"/>
      <c r="BF14" s="231">
        <f>BE14*F14</f>
        <v>0</v>
      </c>
      <c r="BG14" s="224"/>
      <c r="BH14" s="231">
        <f>BG14*F14</f>
        <v>0</v>
      </c>
      <c r="BI14" s="224"/>
      <c r="BJ14" s="231">
        <f>BI14*F14</f>
        <v>0</v>
      </c>
      <c r="BK14" s="188">
        <f>AA14+AC14+AE14+AG14+AI14+AK14+AM14+AO14+AQ14+AS14+AU14+AW14+AY14+BA14+BC14+BE14+BG14+BI14</f>
        <v>0</v>
      </c>
      <c r="BL14" s="188">
        <f>AB14+AD14+AF14+AH14+AJ14+AL14+AN14+AP14+AR14+AT14+AV14+AX14+AZ14+BB14+BD14+BF14+BH14+BJ14</f>
        <v>0</v>
      </c>
      <c r="BM14" s="186"/>
      <c r="BO14" s="225"/>
      <c r="BP14" s="225"/>
      <c r="BQ14" s="225"/>
      <c r="BR14" s="225"/>
      <c r="BS14" s="225"/>
      <c r="BT14" s="225"/>
      <c r="BU14" s="225"/>
      <c r="BV14" s="225"/>
      <c r="BW14" s="226">
        <f t="shared" si="1"/>
        <v>0</v>
      </c>
    </row>
    <row r="15" spans="1:75" s="251" customFormat="1" ht="33.75" customHeight="1" x14ac:dyDescent="0.25">
      <c r="A15" s="243"/>
      <c r="B15" s="244"/>
      <c r="C15" s="244" t="s">
        <v>797</v>
      </c>
      <c r="D15" s="245" t="s">
        <v>669</v>
      </c>
      <c r="E15" s="130" t="s">
        <v>996</v>
      </c>
      <c r="F15" s="246" t="s">
        <v>307</v>
      </c>
      <c r="G15" s="247">
        <f>BK15</f>
        <v>99</v>
      </c>
      <c r="H15" s="246">
        <f>G15*F15</f>
        <v>990000</v>
      </c>
      <c r="I15" s="244"/>
      <c r="J15" s="248">
        <f>0.8*H15</f>
        <v>792000</v>
      </c>
      <c r="K15" s="249"/>
      <c r="L15" s="249"/>
      <c r="M15" s="249"/>
      <c r="N15" s="249"/>
      <c r="O15" s="249"/>
      <c r="P15" s="248"/>
      <c r="Q15" s="248">
        <f>H15*0.2</f>
        <v>198000</v>
      </c>
      <c r="R15" s="248"/>
      <c r="S15" s="250"/>
      <c r="T15" s="250"/>
      <c r="U15" s="250"/>
      <c r="V15" s="250"/>
      <c r="W15" s="247">
        <f>S15*F15</f>
        <v>0</v>
      </c>
      <c r="X15" s="247">
        <f>T15*F15</f>
        <v>0</v>
      </c>
      <c r="Y15" s="247">
        <f>U15*F15</f>
        <v>0</v>
      </c>
      <c r="Z15" s="247">
        <f>V15*F15</f>
        <v>0</v>
      </c>
      <c r="AA15" s="244">
        <v>5</v>
      </c>
      <c r="AB15" s="247">
        <f>AA15*F15</f>
        <v>50000</v>
      </c>
      <c r="AC15" s="244">
        <v>10</v>
      </c>
      <c r="AD15" s="247">
        <f>AC15*F15</f>
        <v>100000</v>
      </c>
      <c r="AE15" s="244">
        <v>3</v>
      </c>
      <c r="AF15" s="247">
        <f>AE15*F15</f>
        <v>30000</v>
      </c>
      <c r="AG15" s="244">
        <v>10</v>
      </c>
      <c r="AH15" s="247">
        <f>AG15*F15</f>
        <v>100000</v>
      </c>
      <c r="AI15" s="244">
        <v>5</v>
      </c>
      <c r="AJ15" s="247">
        <f>AI15*F15</f>
        <v>50000</v>
      </c>
      <c r="AK15" s="244">
        <v>10</v>
      </c>
      <c r="AL15" s="247">
        <f>AK15*F15</f>
        <v>100000</v>
      </c>
      <c r="AM15" s="244">
        <v>5</v>
      </c>
      <c r="AN15" s="247">
        <f>AM15*F15</f>
        <v>50000</v>
      </c>
      <c r="AO15" s="244">
        <v>5</v>
      </c>
      <c r="AP15" s="247">
        <f>AO15*F15</f>
        <v>50000</v>
      </c>
      <c r="AQ15" s="244">
        <v>5</v>
      </c>
      <c r="AR15" s="247">
        <f>AQ15*F15</f>
        <v>50000</v>
      </c>
      <c r="AS15" s="244">
        <v>6</v>
      </c>
      <c r="AT15" s="247">
        <f>AS15*F15</f>
        <v>60000</v>
      </c>
      <c r="AU15" s="244">
        <v>5</v>
      </c>
      <c r="AV15" s="247">
        <f>AU15*F15</f>
        <v>50000</v>
      </c>
      <c r="AW15" s="244">
        <v>5</v>
      </c>
      <c r="AX15" s="247">
        <f>AW15*F15</f>
        <v>50000</v>
      </c>
      <c r="AY15" s="32">
        <v>5</v>
      </c>
      <c r="AZ15" s="247">
        <f>AY15*F15</f>
        <v>50000</v>
      </c>
      <c r="BA15" s="32">
        <v>2</v>
      </c>
      <c r="BB15" s="247">
        <f>BA15*F15</f>
        <v>20000</v>
      </c>
      <c r="BC15" s="244">
        <v>3</v>
      </c>
      <c r="BD15" s="247">
        <f>BC15*F15</f>
        <v>30000</v>
      </c>
      <c r="BE15" s="244">
        <v>10</v>
      </c>
      <c r="BF15" s="247">
        <f>BE15*F15</f>
        <v>100000</v>
      </c>
      <c r="BG15" s="244">
        <v>5</v>
      </c>
      <c r="BH15" s="247">
        <f>BG15*F15</f>
        <v>50000</v>
      </c>
      <c r="BI15" s="244"/>
      <c r="BJ15" s="247">
        <f>BI15*F15</f>
        <v>0</v>
      </c>
      <c r="BK15" s="247">
        <f>AA15+AC15+AE15+AG15+AI15+AK15+AM15+AO15+AQ15+AS15+AU15+AW15+AY15+BA15+BC15+BE15+BG15+BI15</f>
        <v>99</v>
      </c>
      <c r="BL15" s="247">
        <f>AB15+AD15+AF15+AH15+AJ15+AL15+AN15+AP15+AR15+AT15+AV15+AX15+AZ15+BB15+BD15+BF15+BH15+BJ15</f>
        <v>990000</v>
      </c>
      <c r="BM15" s="246" t="s">
        <v>214</v>
      </c>
      <c r="BO15" s="252"/>
      <c r="BP15" s="252">
        <f>H15</f>
        <v>990000</v>
      </c>
      <c r="BQ15" s="252"/>
      <c r="BR15" s="252"/>
      <c r="BS15" s="252">
        <f>BO15+BP15+BQ15+BR15</f>
        <v>990000</v>
      </c>
      <c r="BT15" s="252"/>
      <c r="BU15" s="252"/>
      <c r="BV15" s="252">
        <f>BT15+BU15</f>
        <v>0</v>
      </c>
      <c r="BW15" s="253">
        <f t="shared" si="1"/>
        <v>990000</v>
      </c>
    </row>
    <row r="16" spans="1:75" s="237" customFormat="1" x14ac:dyDescent="0.25">
      <c r="A16" s="234"/>
      <c r="B16" s="220"/>
      <c r="C16" s="555"/>
      <c r="D16" s="223" t="s">
        <v>430</v>
      </c>
      <c r="E16" s="205" t="s">
        <v>111</v>
      </c>
      <c r="F16" s="205"/>
      <c r="G16" s="235">
        <f>G15+G13</f>
        <v>149</v>
      </c>
      <c r="H16" s="235">
        <f t="shared" ref="H16:BS16" si="3">H15+H13</f>
        <v>1990000</v>
      </c>
      <c r="I16" s="235">
        <f t="shared" si="3"/>
        <v>0</v>
      </c>
      <c r="J16" s="235">
        <f t="shared" si="3"/>
        <v>792000</v>
      </c>
      <c r="K16" s="235">
        <f t="shared" si="3"/>
        <v>0</v>
      </c>
      <c r="L16" s="235">
        <f t="shared" si="3"/>
        <v>0</v>
      </c>
      <c r="M16" s="235">
        <f t="shared" si="3"/>
        <v>0</v>
      </c>
      <c r="N16" s="235">
        <f t="shared" si="3"/>
        <v>1000000</v>
      </c>
      <c r="O16" s="235">
        <f t="shared" si="3"/>
        <v>0</v>
      </c>
      <c r="P16" s="235">
        <f t="shared" si="3"/>
        <v>0</v>
      </c>
      <c r="Q16" s="235">
        <f t="shared" si="3"/>
        <v>198000</v>
      </c>
      <c r="R16" s="235">
        <f t="shared" si="3"/>
        <v>0</v>
      </c>
      <c r="S16" s="235">
        <f t="shared" si="3"/>
        <v>12.5</v>
      </c>
      <c r="T16" s="235">
        <f t="shared" si="3"/>
        <v>12.5</v>
      </c>
      <c r="U16" s="235">
        <f t="shared" si="3"/>
        <v>12.5</v>
      </c>
      <c r="V16" s="235">
        <f t="shared" si="3"/>
        <v>12.5</v>
      </c>
      <c r="W16" s="235">
        <f t="shared" si="3"/>
        <v>250000</v>
      </c>
      <c r="X16" s="235">
        <f t="shared" si="3"/>
        <v>250000</v>
      </c>
      <c r="Y16" s="235">
        <f t="shared" si="3"/>
        <v>250000</v>
      </c>
      <c r="Z16" s="235">
        <f t="shared" si="3"/>
        <v>250000</v>
      </c>
      <c r="AA16" s="235">
        <f t="shared" si="3"/>
        <v>5</v>
      </c>
      <c r="AB16" s="235">
        <f t="shared" si="3"/>
        <v>50000</v>
      </c>
      <c r="AC16" s="235">
        <f t="shared" si="3"/>
        <v>10</v>
      </c>
      <c r="AD16" s="235">
        <f t="shared" si="3"/>
        <v>100000</v>
      </c>
      <c r="AE16" s="235">
        <f t="shared" si="3"/>
        <v>3</v>
      </c>
      <c r="AF16" s="235">
        <f t="shared" si="3"/>
        <v>30000</v>
      </c>
      <c r="AG16" s="235">
        <f t="shared" si="3"/>
        <v>10</v>
      </c>
      <c r="AH16" s="235">
        <f t="shared" si="3"/>
        <v>100000</v>
      </c>
      <c r="AI16" s="235">
        <f t="shared" si="3"/>
        <v>5</v>
      </c>
      <c r="AJ16" s="235">
        <f t="shared" si="3"/>
        <v>50000</v>
      </c>
      <c r="AK16" s="235">
        <f t="shared" si="3"/>
        <v>10</v>
      </c>
      <c r="AL16" s="235">
        <f t="shared" si="3"/>
        <v>100000</v>
      </c>
      <c r="AM16" s="235">
        <f t="shared" si="3"/>
        <v>5</v>
      </c>
      <c r="AN16" s="235">
        <f t="shared" si="3"/>
        <v>50000</v>
      </c>
      <c r="AO16" s="235">
        <f t="shared" si="3"/>
        <v>5</v>
      </c>
      <c r="AP16" s="235">
        <f t="shared" si="3"/>
        <v>50000</v>
      </c>
      <c r="AQ16" s="235">
        <f t="shared" si="3"/>
        <v>5</v>
      </c>
      <c r="AR16" s="235">
        <f t="shared" si="3"/>
        <v>50000</v>
      </c>
      <c r="AS16" s="235">
        <f t="shared" si="3"/>
        <v>6</v>
      </c>
      <c r="AT16" s="235">
        <f t="shared" si="3"/>
        <v>60000</v>
      </c>
      <c r="AU16" s="235">
        <f t="shared" si="3"/>
        <v>5</v>
      </c>
      <c r="AV16" s="235">
        <f t="shared" si="3"/>
        <v>50000</v>
      </c>
      <c r="AW16" s="235">
        <f t="shared" si="3"/>
        <v>5</v>
      </c>
      <c r="AX16" s="235">
        <f t="shared" si="3"/>
        <v>50000</v>
      </c>
      <c r="AY16" s="236">
        <f t="shared" si="3"/>
        <v>5</v>
      </c>
      <c r="AZ16" s="235">
        <f t="shared" si="3"/>
        <v>50000</v>
      </c>
      <c r="BA16" s="236">
        <f t="shared" si="3"/>
        <v>2</v>
      </c>
      <c r="BB16" s="235">
        <f t="shared" si="3"/>
        <v>20000</v>
      </c>
      <c r="BC16" s="235">
        <f t="shared" si="3"/>
        <v>53</v>
      </c>
      <c r="BD16" s="235">
        <f t="shared" si="3"/>
        <v>1030000</v>
      </c>
      <c r="BE16" s="235">
        <f t="shared" si="3"/>
        <v>10</v>
      </c>
      <c r="BF16" s="235">
        <f t="shared" si="3"/>
        <v>100000</v>
      </c>
      <c r="BG16" s="235">
        <f t="shared" si="3"/>
        <v>5</v>
      </c>
      <c r="BH16" s="235">
        <f t="shared" si="3"/>
        <v>50000</v>
      </c>
      <c r="BI16" s="235">
        <f t="shared" si="3"/>
        <v>0</v>
      </c>
      <c r="BJ16" s="235">
        <f t="shared" si="3"/>
        <v>0</v>
      </c>
      <c r="BK16" s="235">
        <f t="shared" si="3"/>
        <v>149</v>
      </c>
      <c r="BL16" s="235">
        <f t="shared" si="3"/>
        <v>1990000</v>
      </c>
      <c r="BM16" s="235"/>
      <c r="BN16" s="235"/>
      <c r="BO16" s="235">
        <f t="shared" si="3"/>
        <v>0</v>
      </c>
      <c r="BP16" s="235">
        <f t="shared" si="3"/>
        <v>990000</v>
      </c>
      <c r="BQ16" s="235">
        <f t="shared" si="3"/>
        <v>1000000</v>
      </c>
      <c r="BR16" s="235">
        <f t="shared" si="3"/>
        <v>0</v>
      </c>
      <c r="BS16" s="235">
        <f t="shared" si="3"/>
        <v>1990000</v>
      </c>
      <c r="BT16" s="235">
        <f>BT15+BT13</f>
        <v>0</v>
      </c>
      <c r="BU16" s="235">
        <f>BU15+BU13</f>
        <v>0</v>
      </c>
      <c r="BV16" s="235">
        <f>BV15+BV13</f>
        <v>0</v>
      </c>
      <c r="BW16" s="235">
        <f>BW15+BW13</f>
        <v>1990000</v>
      </c>
    </row>
    <row r="17" spans="1:75" x14ac:dyDescent="0.25">
      <c r="A17" s="227"/>
      <c r="B17" s="169"/>
      <c r="C17" s="181"/>
      <c r="D17" s="223" t="s">
        <v>431</v>
      </c>
      <c r="E17" s="193"/>
      <c r="F17" s="186"/>
      <c r="G17" s="213"/>
      <c r="H17" s="213" t="s">
        <v>36</v>
      </c>
      <c r="I17" s="228"/>
      <c r="J17" s="231"/>
      <c r="K17" s="231"/>
      <c r="L17" s="231"/>
      <c r="M17" s="231"/>
      <c r="N17" s="231"/>
      <c r="O17" s="231"/>
      <c r="P17" s="231"/>
      <c r="Q17" s="231"/>
      <c r="R17" s="231"/>
      <c r="S17" s="230"/>
      <c r="T17" s="230"/>
      <c r="U17" s="230"/>
      <c r="V17" s="230"/>
      <c r="W17" s="231"/>
      <c r="X17" s="231"/>
      <c r="Y17" s="231"/>
      <c r="Z17" s="231"/>
      <c r="AA17" s="254"/>
      <c r="AB17" s="231">
        <f t="shared" ref="AB17:AB32" si="4">AA17*F17</f>
        <v>0</v>
      </c>
      <c r="AC17" s="254"/>
      <c r="AD17" s="231">
        <f t="shared" ref="AD17:AD32" si="5">AC17*F17</f>
        <v>0</v>
      </c>
      <c r="AE17" s="254"/>
      <c r="AF17" s="231">
        <f t="shared" ref="AF17:AF32" si="6">AE17*F17</f>
        <v>0</v>
      </c>
      <c r="AG17" s="254"/>
      <c r="AH17" s="231">
        <f>AG17*F17</f>
        <v>0</v>
      </c>
      <c r="AI17" s="254"/>
      <c r="AJ17" s="231">
        <f t="shared" ref="AJ17:AJ32" si="7">AI17*F17</f>
        <v>0</v>
      </c>
      <c r="AK17" s="224"/>
      <c r="AL17" s="231">
        <f t="shared" ref="AL17:AL32" si="8">AK17*F17</f>
        <v>0</v>
      </c>
      <c r="AM17" s="254"/>
      <c r="AN17" s="231">
        <f t="shared" ref="AN17:AN30" si="9">AM17*F17</f>
        <v>0</v>
      </c>
      <c r="AO17" s="224"/>
      <c r="AP17" s="231">
        <f t="shared" ref="AP17:AP32" si="10">AO17*F17</f>
        <v>0</v>
      </c>
      <c r="AQ17" s="254"/>
      <c r="AR17" s="231">
        <f t="shared" ref="AR17:AR32" si="11">AQ17*F17</f>
        <v>0</v>
      </c>
      <c r="AS17" s="254"/>
      <c r="AT17" s="231">
        <f t="shared" ref="AT17:AT32" si="12">AS17*F17</f>
        <v>0</v>
      </c>
      <c r="AU17" s="224"/>
      <c r="AV17" s="231">
        <f t="shared" ref="AV17:AV32" si="13">AU17*F17</f>
        <v>0</v>
      </c>
      <c r="AW17" s="224"/>
      <c r="AX17" s="231">
        <f t="shared" ref="AX17:AX32" si="14">AW17*F17</f>
        <v>0</v>
      </c>
      <c r="AY17" s="228"/>
      <c r="AZ17" s="231">
        <f t="shared" ref="AZ17:AZ32" si="15">AY17*F17</f>
        <v>0</v>
      </c>
      <c r="BA17" s="255"/>
      <c r="BB17" s="231">
        <f t="shared" ref="BB17:BB32" si="16">BA17*F17</f>
        <v>0</v>
      </c>
      <c r="BC17" s="254"/>
      <c r="BD17" s="231">
        <f t="shared" ref="BD17:BD32" si="17">BC17*F17</f>
        <v>0</v>
      </c>
      <c r="BE17" s="254"/>
      <c r="BF17" s="231">
        <f t="shared" ref="BF17:BF32" si="18">BE17*F17</f>
        <v>0</v>
      </c>
      <c r="BG17" s="254"/>
      <c r="BH17" s="231">
        <f t="shared" ref="BH17:BH32" si="19">BG17*F17</f>
        <v>0</v>
      </c>
      <c r="BI17" s="254"/>
      <c r="BJ17" s="231">
        <f t="shared" ref="BJ17:BJ28" si="20">BI17*F17</f>
        <v>0</v>
      </c>
      <c r="BK17" s="188"/>
      <c r="BL17" s="188"/>
      <c r="BM17" s="186"/>
      <c r="BO17" s="225"/>
      <c r="BP17" s="225"/>
      <c r="BQ17" s="225"/>
      <c r="BR17" s="225"/>
      <c r="BS17" s="225"/>
      <c r="BT17" s="225"/>
      <c r="BU17" s="225"/>
      <c r="BV17" s="225"/>
      <c r="BW17" s="226">
        <f>BS17+BV17</f>
        <v>0</v>
      </c>
    </row>
    <row r="18" spans="1:75" x14ac:dyDescent="0.25">
      <c r="A18" s="227"/>
      <c r="B18" s="169"/>
      <c r="C18" s="181"/>
      <c r="D18" s="223" t="s">
        <v>432</v>
      </c>
      <c r="E18" s="193"/>
      <c r="F18" s="186"/>
      <c r="G18" s="228"/>
      <c r="H18" s="213" t="s">
        <v>36</v>
      </c>
      <c r="I18" s="228"/>
      <c r="J18" s="231"/>
      <c r="K18" s="231"/>
      <c r="L18" s="231"/>
      <c r="M18" s="231"/>
      <c r="N18" s="231"/>
      <c r="O18" s="231"/>
      <c r="P18" s="231"/>
      <c r="Q18" s="231"/>
      <c r="R18" s="231"/>
      <c r="S18" s="230"/>
      <c r="T18" s="230"/>
      <c r="U18" s="230"/>
      <c r="V18" s="230"/>
      <c r="W18" s="231"/>
      <c r="X18" s="231"/>
      <c r="Y18" s="231"/>
      <c r="Z18" s="231"/>
      <c r="AA18" s="254"/>
      <c r="AB18" s="231">
        <f t="shared" si="4"/>
        <v>0</v>
      </c>
      <c r="AC18" s="254"/>
      <c r="AD18" s="231">
        <f t="shared" si="5"/>
        <v>0</v>
      </c>
      <c r="AE18" s="254"/>
      <c r="AF18" s="231">
        <f t="shared" si="6"/>
        <v>0</v>
      </c>
      <c r="AG18" s="254"/>
      <c r="AH18" s="231">
        <f>AG18*F18</f>
        <v>0</v>
      </c>
      <c r="AI18" s="254"/>
      <c r="AJ18" s="231">
        <f t="shared" si="7"/>
        <v>0</v>
      </c>
      <c r="AK18" s="224"/>
      <c r="AL18" s="231">
        <f t="shared" si="8"/>
        <v>0</v>
      </c>
      <c r="AM18" s="254"/>
      <c r="AN18" s="231">
        <f t="shared" si="9"/>
        <v>0</v>
      </c>
      <c r="AO18" s="224"/>
      <c r="AP18" s="231">
        <f t="shared" si="10"/>
        <v>0</v>
      </c>
      <c r="AQ18" s="254"/>
      <c r="AR18" s="231">
        <f t="shared" si="11"/>
        <v>0</v>
      </c>
      <c r="AS18" s="254"/>
      <c r="AT18" s="231">
        <f t="shared" si="12"/>
        <v>0</v>
      </c>
      <c r="AU18" s="224"/>
      <c r="AV18" s="231">
        <f t="shared" si="13"/>
        <v>0</v>
      </c>
      <c r="AW18" s="224"/>
      <c r="AX18" s="231">
        <f t="shared" si="14"/>
        <v>0</v>
      </c>
      <c r="AY18" s="228"/>
      <c r="AZ18" s="231">
        <f t="shared" si="15"/>
        <v>0</v>
      </c>
      <c r="BA18" s="255"/>
      <c r="BB18" s="231">
        <f t="shared" si="16"/>
        <v>0</v>
      </c>
      <c r="BC18" s="254"/>
      <c r="BD18" s="231">
        <f t="shared" si="17"/>
        <v>0</v>
      </c>
      <c r="BE18" s="254"/>
      <c r="BF18" s="231">
        <f t="shared" si="18"/>
        <v>0</v>
      </c>
      <c r="BG18" s="254"/>
      <c r="BH18" s="231">
        <f t="shared" si="19"/>
        <v>0</v>
      </c>
      <c r="BI18" s="254"/>
      <c r="BJ18" s="231">
        <f t="shared" si="20"/>
        <v>0</v>
      </c>
      <c r="BK18" s="188"/>
      <c r="BL18" s="188"/>
      <c r="BM18" s="186"/>
      <c r="BO18" s="225"/>
      <c r="BP18" s="225"/>
      <c r="BQ18" s="225"/>
      <c r="BR18" s="225"/>
      <c r="BS18" s="225"/>
      <c r="BT18" s="225"/>
      <c r="BU18" s="225"/>
      <c r="BV18" s="225"/>
      <c r="BW18" s="226">
        <f>BS18+BV18</f>
        <v>0</v>
      </c>
    </row>
    <row r="19" spans="1:75" s="251" customFormat="1" x14ac:dyDescent="0.25">
      <c r="A19" s="243"/>
      <c r="B19" s="244"/>
      <c r="C19" s="244" t="s">
        <v>798</v>
      </c>
      <c r="D19" s="256" t="s">
        <v>78</v>
      </c>
      <c r="E19" s="130" t="s">
        <v>71</v>
      </c>
      <c r="F19" s="246">
        <v>500000</v>
      </c>
      <c r="G19" s="244">
        <f>BK19</f>
        <v>1</v>
      </c>
      <c r="H19" s="246">
        <f>G19*F19</f>
        <v>500000</v>
      </c>
      <c r="I19" s="244">
        <f>H19*0.2</f>
        <v>100000</v>
      </c>
      <c r="J19" s="249">
        <f>H19*0.8</f>
        <v>400000</v>
      </c>
      <c r="K19" s="249"/>
      <c r="L19" s="249"/>
      <c r="M19" s="249"/>
      <c r="N19" s="249"/>
      <c r="O19" s="249"/>
      <c r="P19" s="248"/>
      <c r="Q19" s="248"/>
      <c r="R19" s="248"/>
      <c r="S19" s="250"/>
      <c r="T19" s="250">
        <f>G19</f>
        <v>1</v>
      </c>
      <c r="U19" s="250"/>
      <c r="V19" s="250"/>
      <c r="W19" s="247">
        <f t="shared" ref="W19:W31" si="21">S19*F19</f>
        <v>0</v>
      </c>
      <c r="X19" s="247">
        <f t="shared" ref="X19:X31" si="22">T19*F19</f>
        <v>500000</v>
      </c>
      <c r="Y19" s="247">
        <f t="shared" ref="Y19:Y31" si="23">U19*F19</f>
        <v>0</v>
      </c>
      <c r="Z19" s="247">
        <f>V19*F19</f>
        <v>0</v>
      </c>
      <c r="AA19" s="257">
        <v>0</v>
      </c>
      <c r="AB19" s="247">
        <f t="shared" si="4"/>
        <v>0</v>
      </c>
      <c r="AC19" s="258"/>
      <c r="AD19" s="247">
        <f t="shared" si="5"/>
        <v>0</v>
      </c>
      <c r="AE19" s="258">
        <v>0</v>
      </c>
      <c r="AF19" s="247">
        <f t="shared" si="6"/>
        <v>0</v>
      </c>
      <c r="AG19" s="258">
        <v>0</v>
      </c>
      <c r="AH19" s="247">
        <f>AG19*F19</f>
        <v>0</v>
      </c>
      <c r="AI19" s="258"/>
      <c r="AJ19" s="247">
        <f t="shared" si="7"/>
        <v>0</v>
      </c>
      <c r="AK19" s="244"/>
      <c r="AL19" s="247">
        <f t="shared" si="8"/>
        <v>0</v>
      </c>
      <c r="AM19" s="258"/>
      <c r="AN19" s="247">
        <f t="shared" si="9"/>
        <v>0</v>
      </c>
      <c r="AO19" s="244"/>
      <c r="AP19" s="247">
        <f t="shared" si="10"/>
        <v>0</v>
      </c>
      <c r="AQ19" s="258"/>
      <c r="AR19" s="247">
        <f t="shared" si="11"/>
        <v>0</v>
      </c>
      <c r="AS19" s="258"/>
      <c r="AT19" s="247">
        <f t="shared" si="12"/>
        <v>0</v>
      </c>
      <c r="AU19" s="244"/>
      <c r="AV19" s="247">
        <f t="shared" si="13"/>
        <v>0</v>
      </c>
      <c r="AW19" s="244">
        <v>0</v>
      </c>
      <c r="AX19" s="247">
        <f t="shared" si="14"/>
        <v>0</v>
      </c>
      <c r="AY19" s="32">
        <v>0</v>
      </c>
      <c r="AZ19" s="247">
        <f t="shared" si="15"/>
        <v>0</v>
      </c>
      <c r="BA19" s="259"/>
      <c r="BB19" s="247">
        <f t="shared" si="16"/>
        <v>0</v>
      </c>
      <c r="BC19" s="258">
        <v>0</v>
      </c>
      <c r="BD19" s="247">
        <f t="shared" si="17"/>
        <v>0</v>
      </c>
      <c r="BE19" s="258"/>
      <c r="BF19" s="247">
        <f t="shared" si="18"/>
        <v>0</v>
      </c>
      <c r="BG19" s="258">
        <v>0</v>
      </c>
      <c r="BH19" s="247">
        <f t="shared" si="19"/>
        <v>0</v>
      </c>
      <c r="BI19" s="258">
        <v>1</v>
      </c>
      <c r="BJ19" s="247">
        <f t="shared" si="20"/>
        <v>500000</v>
      </c>
      <c r="BK19" s="247">
        <f t="shared" ref="BK19:BK32" si="24">AA19+AC19+AE19+AG19+AI19+AK19+AM19+AO19+AQ19+AS19+AU19+AW19+AY19+BA19+BC19+BE19+BG19+BI19</f>
        <v>1</v>
      </c>
      <c r="BL19" s="247">
        <f t="shared" ref="BL19:BL32" si="25">AB19+AD19+AF19+AH19+AJ19+AL19+AN19+AP19+AR19+AT19+AV19+AX19+AZ19+BB19+BD19+BF19+BH19+BJ19</f>
        <v>500000</v>
      </c>
      <c r="BM19" s="246" t="s">
        <v>210</v>
      </c>
      <c r="BO19" s="252"/>
      <c r="BP19" s="252">
        <f>BL19</f>
        <v>500000</v>
      </c>
      <c r="BQ19" s="252"/>
      <c r="BR19" s="252"/>
      <c r="BS19" s="252">
        <f>BO19+BP19+BQ19+BR19</f>
        <v>500000</v>
      </c>
      <c r="BT19" s="252"/>
      <c r="BU19" s="252"/>
      <c r="BV19" s="252">
        <f>BT19+BU19</f>
        <v>0</v>
      </c>
      <c r="BW19" s="253">
        <f>BS19+BV19</f>
        <v>500000</v>
      </c>
    </row>
    <row r="20" spans="1:75" s="251" customFormat="1" x14ac:dyDescent="0.25">
      <c r="A20" s="243"/>
      <c r="B20" s="258"/>
      <c r="C20" s="244" t="s">
        <v>799</v>
      </c>
      <c r="D20" s="256" t="s">
        <v>900</v>
      </c>
      <c r="E20" s="130" t="s">
        <v>69</v>
      </c>
      <c r="F20" s="246">
        <v>450000</v>
      </c>
      <c r="G20" s="247">
        <f>BK20</f>
        <v>0</v>
      </c>
      <c r="H20" s="260">
        <f>BL20</f>
        <v>0</v>
      </c>
      <c r="I20" s="244">
        <f>0.2*H20</f>
        <v>0</v>
      </c>
      <c r="J20" s="248">
        <f>0.8*H20</f>
        <v>0</v>
      </c>
      <c r="K20" s="249"/>
      <c r="L20" s="249"/>
      <c r="M20" s="248"/>
      <c r="N20" s="249"/>
      <c r="O20" s="249"/>
      <c r="P20" s="248"/>
      <c r="Q20" s="248"/>
      <c r="R20" s="248"/>
      <c r="S20" s="250">
        <f>G20*0.25</f>
        <v>0</v>
      </c>
      <c r="T20" s="250">
        <f>G20*0.25</f>
        <v>0</v>
      </c>
      <c r="U20" s="250">
        <f>G20*0.25</f>
        <v>0</v>
      </c>
      <c r="V20" s="250">
        <f>G20*0.25</f>
        <v>0</v>
      </c>
      <c r="W20" s="247">
        <f t="shared" si="21"/>
        <v>0</v>
      </c>
      <c r="X20" s="247">
        <f t="shared" si="22"/>
        <v>0</v>
      </c>
      <c r="Y20" s="247">
        <f t="shared" si="23"/>
        <v>0</v>
      </c>
      <c r="Z20" s="247">
        <f>H20-SUM(W20:Y20)</f>
        <v>0</v>
      </c>
      <c r="AA20" s="257">
        <v>0</v>
      </c>
      <c r="AB20" s="231">
        <f t="shared" si="4"/>
        <v>0</v>
      </c>
      <c r="AC20" s="244">
        <v>0</v>
      </c>
      <c r="AD20" s="231">
        <f t="shared" si="5"/>
        <v>0</v>
      </c>
      <c r="AE20" s="244">
        <v>0</v>
      </c>
      <c r="AF20" s="231">
        <f t="shared" si="6"/>
        <v>0</v>
      </c>
      <c r="AG20" s="244">
        <v>0</v>
      </c>
      <c r="AH20" s="247">
        <f>AG20*F20</f>
        <v>0</v>
      </c>
      <c r="AI20" s="244">
        <v>0</v>
      </c>
      <c r="AJ20" s="247">
        <f t="shared" si="7"/>
        <v>0</v>
      </c>
      <c r="AK20" s="244">
        <v>0</v>
      </c>
      <c r="AL20" s="231">
        <f t="shared" si="8"/>
        <v>0</v>
      </c>
      <c r="AM20" s="244">
        <v>0</v>
      </c>
      <c r="AN20" s="231">
        <f t="shared" si="9"/>
        <v>0</v>
      </c>
      <c r="AO20" s="244">
        <v>0</v>
      </c>
      <c r="AP20" s="231">
        <f t="shared" si="10"/>
        <v>0</v>
      </c>
      <c r="AQ20" s="244">
        <v>0</v>
      </c>
      <c r="AR20" s="231">
        <f t="shared" si="11"/>
        <v>0</v>
      </c>
      <c r="AS20" s="244">
        <v>0</v>
      </c>
      <c r="AT20" s="231">
        <f t="shared" si="12"/>
        <v>0</v>
      </c>
      <c r="AU20" s="244">
        <v>0</v>
      </c>
      <c r="AV20" s="231">
        <f t="shared" si="13"/>
        <v>0</v>
      </c>
      <c r="AW20" s="244">
        <v>0</v>
      </c>
      <c r="AX20" s="231">
        <f t="shared" si="14"/>
        <v>0</v>
      </c>
      <c r="AY20" s="32">
        <v>0</v>
      </c>
      <c r="AZ20" s="231">
        <f t="shared" si="15"/>
        <v>0</v>
      </c>
      <c r="BA20" s="32">
        <v>0</v>
      </c>
      <c r="BB20" s="231">
        <f t="shared" si="16"/>
        <v>0</v>
      </c>
      <c r="BC20" s="244">
        <v>0</v>
      </c>
      <c r="BD20" s="231">
        <f t="shared" si="17"/>
        <v>0</v>
      </c>
      <c r="BE20" s="244">
        <v>0</v>
      </c>
      <c r="BF20" s="231">
        <f t="shared" si="18"/>
        <v>0</v>
      </c>
      <c r="BG20" s="244">
        <v>0</v>
      </c>
      <c r="BH20" s="247">
        <f t="shared" si="19"/>
        <v>0</v>
      </c>
      <c r="BI20" s="244">
        <v>0</v>
      </c>
      <c r="BJ20" s="247">
        <f t="shared" si="20"/>
        <v>0</v>
      </c>
      <c r="BK20" s="247">
        <f t="shared" si="24"/>
        <v>0</v>
      </c>
      <c r="BL20" s="247">
        <f t="shared" si="25"/>
        <v>0</v>
      </c>
      <c r="BM20" s="246" t="s">
        <v>210</v>
      </c>
      <c r="BO20" s="252">
        <f>BL20</f>
        <v>0</v>
      </c>
      <c r="BP20" s="252"/>
      <c r="BQ20" s="252"/>
      <c r="BR20" s="252"/>
      <c r="BS20" s="252">
        <f t="shared" ref="BS20:BS32" si="26">BO20+BP20+BQ20+BR20</f>
        <v>0</v>
      </c>
      <c r="BT20" s="252"/>
      <c r="BU20" s="252"/>
      <c r="BV20" s="252">
        <f t="shared" ref="BV20:BV31" si="27">BT20+BU20</f>
        <v>0</v>
      </c>
      <c r="BW20" s="253">
        <f t="shared" ref="BW20:BW32" si="28">BS20+BV20</f>
        <v>0</v>
      </c>
    </row>
    <row r="21" spans="1:75" x14ac:dyDescent="0.25">
      <c r="A21" s="227"/>
      <c r="B21" s="261"/>
      <c r="C21" s="553"/>
      <c r="D21" s="213" t="s">
        <v>544</v>
      </c>
      <c r="E21" s="193"/>
      <c r="F21" s="262">
        <v>300000</v>
      </c>
      <c r="G21" s="233">
        <f t="shared" ref="G21:G30" si="29">BK21</f>
        <v>0</v>
      </c>
      <c r="H21" s="263">
        <f t="shared" ref="H21:H27" si="30">BL21</f>
        <v>0</v>
      </c>
      <c r="I21" s="228"/>
      <c r="J21" s="208"/>
      <c r="K21" s="208"/>
      <c r="L21" s="208"/>
      <c r="M21" s="264">
        <f>H21</f>
        <v>0</v>
      </c>
      <c r="N21" s="208"/>
      <c r="O21" s="208"/>
      <c r="P21" s="232"/>
      <c r="Q21" s="232"/>
      <c r="R21" s="232"/>
      <c r="S21" s="230"/>
      <c r="T21" s="230"/>
      <c r="U21" s="230"/>
      <c r="V21" s="230">
        <v>0</v>
      </c>
      <c r="W21" s="231">
        <f t="shared" si="21"/>
        <v>0</v>
      </c>
      <c r="X21" s="231">
        <f t="shared" si="22"/>
        <v>0</v>
      </c>
      <c r="Y21" s="231">
        <f t="shared" si="23"/>
        <v>0</v>
      </c>
      <c r="Z21" s="231">
        <f t="shared" ref="Z21:Z27" si="31">V21*F21</f>
        <v>0</v>
      </c>
      <c r="AA21" s="265">
        <v>0</v>
      </c>
      <c r="AB21" s="231">
        <f t="shared" si="4"/>
        <v>0</v>
      </c>
      <c r="AC21" s="229">
        <v>0</v>
      </c>
      <c r="AD21" s="231">
        <f t="shared" si="5"/>
        <v>0</v>
      </c>
      <c r="AE21" s="229">
        <v>0</v>
      </c>
      <c r="AF21" s="231">
        <f t="shared" si="6"/>
        <v>0</v>
      </c>
      <c r="AG21" s="229">
        <v>0</v>
      </c>
      <c r="AH21" s="231">
        <f>AG21*F21</f>
        <v>0</v>
      </c>
      <c r="AI21" s="229">
        <v>0</v>
      </c>
      <c r="AJ21" s="231">
        <f t="shared" si="7"/>
        <v>0</v>
      </c>
      <c r="AK21" s="224">
        <v>0</v>
      </c>
      <c r="AL21" s="231">
        <f t="shared" si="8"/>
        <v>0</v>
      </c>
      <c r="AM21" s="229"/>
      <c r="AN21" s="231">
        <f t="shared" si="9"/>
        <v>0</v>
      </c>
      <c r="AO21" s="224"/>
      <c r="AP21" s="231">
        <f t="shared" si="10"/>
        <v>0</v>
      </c>
      <c r="AQ21" s="229"/>
      <c r="AR21" s="231">
        <f t="shared" si="11"/>
        <v>0</v>
      </c>
      <c r="AS21" s="229">
        <v>0</v>
      </c>
      <c r="AT21" s="231">
        <f t="shared" si="12"/>
        <v>0</v>
      </c>
      <c r="AU21" s="224">
        <v>0</v>
      </c>
      <c r="AV21" s="231">
        <f t="shared" si="13"/>
        <v>0</v>
      </c>
      <c r="AW21" s="224">
        <v>0</v>
      </c>
      <c r="AX21" s="231">
        <f t="shared" si="14"/>
        <v>0</v>
      </c>
      <c r="AY21" s="228">
        <v>0</v>
      </c>
      <c r="AZ21" s="231">
        <f t="shared" si="15"/>
        <v>0</v>
      </c>
      <c r="BA21" s="169">
        <v>0</v>
      </c>
      <c r="BB21" s="231">
        <f t="shared" si="16"/>
        <v>0</v>
      </c>
      <c r="BC21" s="229">
        <v>0</v>
      </c>
      <c r="BD21" s="231">
        <f t="shared" si="17"/>
        <v>0</v>
      </c>
      <c r="BE21" s="229">
        <v>0</v>
      </c>
      <c r="BF21" s="231">
        <f t="shared" si="18"/>
        <v>0</v>
      </c>
      <c r="BG21" s="229">
        <v>0</v>
      </c>
      <c r="BH21" s="231">
        <f t="shared" si="19"/>
        <v>0</v>
      </c>
      <c r="BI21" s="229">
        <v>0</v>
      </c>
      <c r="BJ21" s="247">
        <f t="shared" si="20"/>
        <v>0</v>
      </c>
      <c r="BK21" s="188">
        <f t="shared" si="24"/>
        <v>0</v>
      </c>
      <c r="BL21" s="188">
        <f t="shared" si="25"/>
        <v>0</v>
      </c>
      <c r="BM21" s="186" t="s">
        <v>291</v>
      </c>
      <c r="BO21" s="225"/>
      <c r="BP21" s="225"/>
      <c r="BQ21" s="225">
        <f>BL21</f>
        <v>0</v>
      </c>
      <c r="BR21" s="225"/>
      <c r="BS21" s="225">
        <f t="shared" si="26"/>
        <v>0</v>
      </c>
      <c r="BT21" s="225"/>
      <c r="BU21" s="225"/>
      <c r="BV21" s="225">
        <f t="shared" si="27"/>
        <v>0</v>
      </c>
      <c r="BW21" s="226">
        <f t="shared" si="28"/>
        <v>0</v>
      </c>
    </row>
    <row r="22" spans="1:75" x14ac:dyDescent="0.25">
      <c r="A22" s="227"/>
      <c r="B22" s="261"/>
      <c r="C22" s="553"/>
      <c r="D22" s="213" t="s">
        <v>545</v>
      </c>
      <c r="E22" s="193" t="s">
        <v>959</v>
      </c>
      <c r="F22" s="262">
        <f>4.82688*100000</f>
        <v>482688</v>
      </c>
      <c r="G22" s="233">
        <f t="shared" si="29"/>
        <v>61</v>
      </c>
      <c r="H22" s="263">
        <f t="shared" si="30"/>
        <v>29446968</v>
      </c>
      <c r="I22" s="228"/>
      <c r="J22" s="208"/>
      <c r="K22" s="208"/>
      <c r="L22" s="208"/>
      <c r="M22" s="264">
        <f t="shared" ref="M22:M29" si="32">H22</f>
        <v>29446968</v>
      </c>
      <c r="N22" s="208"/>
      <c r="O22" s="208"/>
      <c r="P22" s="232"/>
      <c r="Q22" s="232"/>
      <c r="R22" s="232"/>
      <c r="S22" s="230"/>
      <c r="T22" s="230"/>
      <c r="U22" s="230"/>
      <c r="V22" s="230">
        <v>40</v>
      </c>
      <c r="W22" s="231">
        <f t="shared" si="21"/>
        <v>0</v>
      </c>
      <c r="X22" s="231">
        <f t="shared" si="22"/>
        <v>0</v>
      </c>
      <c r="Y22" s="231">
        <f t="shared" si="23"/>
        <v>0</v>
      </c>
      <c r="Z22" s="231">
        <f t="shared" si="31"/>
        <v>19307520</v>
      </c>
      <c r="AA22" s="266">
        <v>9</v>
      </c>
      <c r="AB22" s="231">
        <f t="shared" si="4"/>
        <v>4344192</v>
      </c>
      <c r="AC22" s="229">
        <v>3</v>
      </c>
      <c r="AD22" s="231">
        <f t="shared" si="5"/>
        <v>1448064</v>
      </c>
      <c r="AE22" s="229">
        <v>7</v>
      </c>
      <c r="AF22" s="231">
        <f t="shared" si="6"/>
        <v>3378816</v>
      </c>
      <c r="AG22" s="229">
        <v>12</v>
      </c>
      <c r="AH22" s="231">
        <f>(AG22*F22)+3000</f>
        <v>5795256</v>
      </c>
      <c r="AI22" s="229">
        <v>2</v>
      </c>
      <c r="AJ22" s="231">
        <f t="shared" si="7"/>
        <v>965376</v>
      </c>
      <c r="AK22" s="224">
        <v>1</v>
      </c>
      <c r="AL22" s="231">
        <f t="shared" si="8"/>
        <v>482688</v>
      </c>
      <c r="AM22" s="229">
        <v>8</v>
      </c>
      <c r="AN22" s="231">
        <f t="shared" si="9"/>
        <v>3861504</v>
      </c>
      <c r="AO22" s="224">
        <v>2</v>
      </c>
      <c r="AP22" s="231">
        <f t="shared" si="10"/>
        <v>965376</v>
      </c>
      <c r="AQ22" s="229">
        <v>2</v>
      </c>
      <c r="AR22" s="231">
        <f t="shared" si="11"/>
        <v>965376</v>
      </c>
      <c r="AS22" s="229">
        <v>3</v>
      </c>
      <c r="AT22" s="231">
        <f t="shared" si="12"/>
        <v>1448064</v>
      </c>
      <c r="AU22" s="224">
        <v>2</v>
      </c>
      <c r="AV22" s="231">
        <f t="shared" si="13"/>
        <v>965376</v>
      </c>
      <c r="AW22" s="224">
        <v>1</v>
      </c>
      <c r="AX22" s="231">
        <f t="shared" si="14"/>
        <v>482688</v>
      </c>
      <c r="AY22" s="228">
        <v>2</v>
      </c>
      <c r="AZ22" s="231">
        <f t="shared" si="15"/>
        <v>965376</v>
      </c>
      <c r="BA22" s="169">
        <v>2</v>
      </c>
      <c r="BB22" s="231">
        <f t="shared" si="16"/>
        <v>965376</v>
      </c>
      <c r="BC22" s="229">
        <v>1</v>
      </c>
      <c r="BD22" s="231">
        <f t="shared" si="17"/>
        <v>482688</v>
      </c>
      <c r="BE22" s="229">
        <v>2</v>
      </c>
      <c r="BF22" s="231">
        <f t="shared" si="18"/>
        <v>965376</v>
      </c>
      <c r="BG22" s="229">
        <v>2</v>
      </c>
      <c r="BH22" s="231">
        <f t="shared" si="19"/>
        <v>965376</v>
      </c>
      <c r="BI22" s="229">
        <v>0</v>
      </c>
      <c r="BJ22" s="247">
        <f t="shared" si="20"/>
        <v>0</v>
      </c>
      <c r="BK22" s="188">
        <f t="shared" si="24"/>
        <v>61</v>
      </c>
      <c r="BL22" s="188">
        <f t="shared" si="25"/>
        <v>29446968</v>
      </c>
      <c r="BM22" s="186" t="s">
        <v>291</v>
      </c>
      <c r="BO22" s="225"/>
      <c r="BP22" s="225"/>
      <c r="BQ22" s="225"/>
      <c r="BR22" s="225"/>
      <c r="BS22" s="225">
        <f t="shared" si="26"/>
        <v>0</v>
      </c>
      <c r="BT22" s="225"/>
      <c r="BU22" s="225">
        <f t="shared" ref="BU22:BU27" si="33">BL22</f>
        <v>29446968</v>
      </c>
      <c r="BV22" s="225">
        <f t="shared" si="27"/>
        <v>29446968</v>
      </c>
      <c r="BW22" s="226">
        <f t="shared" si="28"/>
        <v>29446968</v>
      </c>
    </row>
    <row r="23" spans="1:75" ht="31.5" x14ac:dyDescent="0.25">
      <c r="A23" s="227"/>
      <c r="B23" s="261"/>
      <c r="C23" s="553"/>
      <c r="D23" s="267" t="s">
        <v>929</v>
      </c>
      <c r="E23" s="193" t="s">
        <v>959</v>
      </c>
      <c r="F23" s="262">
        <v>123568</v>
      </c>
      <c r="G23" s="233">
        <f t="shared" si="29"/>
        <v>169</v>
      </c>
      <c r="H23" s="263">
        <f t="shared" si="30"/>
        <v>20882992</v>
      </c>
      <c r="I23" s="228"/>
      <c r="J23" s="208"/>
      <c r="K23" s="208"/>
      <c r="L23" s="208"/>
      <c r="M23" s="264">
        <f t="shared" si="32"/>
        <v>20882992</v>
      </c>
      <c r="N23" s="208"/>
      <c r="O23" s="208"/>
      <c r="P23" s="232"/>
      <c r="Q23" s="232"/>
      <c r="R23" s="232"/>
      <c r="S23" s="230"/>
      <c r="T23" s="230"/>
      <c r="U23" s="230"/>
      <c r="V23" s="230">
        <v>143</v>
      </c>
      <c r="W23" s="231">
        <f t="shared" si="21"/>
        <v>0</v>
      </c>
      <c r="X23" s="231">
        <f t="shared" si="22"/>
        <v>0</v>
      </c>
      <c r="Y23" s="231">
        <f t="shared" si="23"/>
        <v>0</v>
      </c>
      <c r="Z23" s="231">
        <f t="shared" si="31"/>
        <v>17670224</v>
      </c>
      <c r="AA23" s="265">
        <v>16</v>
      </c>
      <c r="AB23" s="231">
        <f t="shared" si="4"/>
        <v>1977088</v>
      </c>
      <c r="AC23" s="229">
        <v>14</v>
      </c>
      <c r="AD23" s="231">
        <f t="shared" si="5"/>
        <v>1729952</v>
      </c>
      <c r="AE23" s="229">
        <v>14</v>
      </c>
      <c r="AF23" s="231">
        <f t="shared" si="6"/>
        <v>1729952</v>
      </c>
      <c r="AG23" s="229">
        <v>15</v>
      </c>
      <c r="AH23" s="231">
        <f t="shared" ref="AH23:AH32" si="34">AG23*F23</f>
        <v>1853520</v>
      </c>
      <c r="AI23" s="229">
        <v>12</v>
      </c>
      <c r="AJ23" s="231">
        <f t="shared" si="7"/>
        <v>1482816</v>
      </c>
      <c r="AK23" s="224">
        <v>12</v>
      </c>
      <c r="AL23" s="231">
        <f t="shared" si="8"/>
        <v>1482816</v>
      </c>
      <c r="AM23" s="229">
        <v>15</v>
      </c>
      <c r="AN23" s="231">
        <f t="shared" si="9"/>
        <v>1853520</v>
      </c>
      <c r="AO23" s="224">
        <v>2</v>
      </c>
      <c r="AP23" s="231">
        <f t="shared" si="10"/>
        <v>247136</v>
      </c>
      <c r="AQ23" s="229">
        <v>11</v>
      </c>
      <c r="AR23" s="231">
        <f t="shared" si="11"/>
        <v>1359248</v>
      </c>
      <c r="AS23" s="229">
        <v>13</v>
      </c>
      <c r="AT23" s="231">
        <f t="shared" si="12"/>
        <v>1606384</v>
      </c>
      <c r="AU23" s="224">
        <v>12</v>
      </c>
      <c r="AV23" s="231">
        <f t="shared" si="13"/>
        <v>1482816</v>
      </c>
      <c r="AW23" s="224">
        <v>1</v>
      </c>
      <c r="AX23" s="231">
        <f t="shared" si="14"/>
        <v>123568</v>
      </c>
      <c r="AY23" s="228">
        <v>2</v>
      </c>
      <c r="AZ23" s="231">
        <f t="shared" si="15"/>
        <v>247136</v>
      </c>
      <c r="BA23" s="169">
        <v>13</v>
      </c>
      <c r="BB23" s="231">
        <f t="shared" si="16"/>
        <v>1606384</v>
      </c>
      <c r="BC23" s="229">
        <v>13</v>
      </c>
      <c r="BD23" s="231">
        <f t="shared" si="17"/>
        <v>1606384</v>
      </c>
      <c r="BE23" s="229">
        <v>2</v>
      </c>
      <c r="BF23" s="231">
        <f t="shared" si="18"/>
        <v>247136</v>
      </c>
      <c r="BG23" s="229">
        <v>2</v>
      </c>
      <c r="BH23" s="231">
        <f t="shared" si="19"/>
        <v>247136</v>
      </c>
      <c r="BI23" s="229">
        <v>0</v>
      </c>
      <c r="BJ23" s="247">
        <f t="shared" si="20"/>
        <v>0</v>
      </c>
      <c r="BK23" s="188">
        <f t="shared" si="24"/>
        <v>169</v>
      </c>
      <c r="BL23" s="188">
        <f t="shared" si="25"/>
        <v>20882992</v>
      </c>
      <c r="BM23" s="186" t="s">
        <v>291</v>
      </c>
      <c r="BO23" s="225"/>
      <c r="BP23" s="225"/>
      <c r="BQ23" s="225"/>
      <c r="BR23" s="225"/>
      <c r="BS23" s="225">
        <f t="shared" si="26"/>
        <v>0</v>
      </c>
      <c r="BT23" s="225"/>
      <c r="BU23" s="225">
        <f t="shared" si="33"/>
        <v>20882992</v>
      </c>
      <c r="BV23" s="225">
        <f t="shared" si="27"/>
        <v>20882992</v>
      </c>
      <c r="BW23" s="226">
        <f t="shared" si="28"/>
        <v>20882992</v>
      </c>
    </row>
    <row r="24" spans="1:75" ht="31.5" x14ac:dyDescent="0.25">
      <c r="A24" s="227"/>
      <c r="B24" s="261"/>
      <c r="C24" s="553"/>
      <c r="D24" s="267" t="s">
        <v>930</v>
      </c>
      <c r="E24" s="193" t="s">
        <v>959</v>
      </c>
      <c r="F24" s="262">
        <v>55725</v>
      </c>
      <c r="G24" s="233">
        <f t="shared" si="29"/>
        <v>131</v>
      </c>
      <c r="H24" s="263">
        <f t="shared" si="30"/>
        <v>7299975</v>
      </c>
      <c r="I24" s="228"/>
      <c r="J24" s="208"/>
      <c r="K24" s="208"/>
      <c r="L24" s="208"/>
      <c r="M24" s="264">
        <f t="shared" si="32"/>
        <v>7299975</v>
      </c>
      <c r="N24" s="208"/>
      <c r="O24" s="208"/>
      <c r="P24" s="232"/>
      <c r="Q24" s="232"/>
      <c r="R24" s="232"/>
      <c r="S24" s="230"/>
      <c r="T24" s="230"/>
      <c r="U24" s="230"/>
      <c r="V24" s="230">
        <v>40</v>
      </c>
      <c r="W24" s="231">
        <f t="shared" si="21"/>
        <v>0</v>
      </c>
      <c r="X24" s="231">
        <f t="shared" si="22"/>
        <v>0</v>
      </c>
      <c r="Y24" s="231">
        <f t="shared" si="23"/>
        <v>0</v>
      </c>
      <c r="Z24" s="231">
        <f t="shared" si="31"/>
        <v>2229000</v>
      </c>
      <c r="AA24" s="265">
        <v>14</v>
      </c>
      <c r="AB24" s="231">
        <f t="shared" si="4"/>
        <v>780150</v>
      </c>
      <c r="AC24" s="229">
        <v>4</v>
      </c>
      <c r="AD24" s="231">
        <f t="shared" si="5"/>
        <v>222900</v>
      </c>
      <c r="AE24" s="229">
        <v>14</v>
      </c>
      <c r="AF24" s="231">
        <f t="shared" si="6"/>
        <v>780150</v>
      </c>
      <c r="AG24" s="229">
        <v>20</v>
      </c>
      <c r="AH24" s="231">
        <f t="shared" si="34"/>
        <v>1114500</v>
      </c>
      <c r="AI24" s="229">
        <v>14</v>
      </c>
      <c r="AJ24" s="231">
        <f t="shared" si="7"/>
        <v>780150</v>
      </c>
      <c r="AK24" s="224">
        <v>12</v>
      </c>
      <c r="AL24" s="231">
        <f t="shared" si="8"/>
        <v>668700</v>
      </c>
      <c r="AM24" s="229">
        <v>8</v>
      </c>
      <c r="AN24" s="231">
        <f t="shared" si="9"/>
        <v>445800</v>
      </c>
      <c r="AO24" s="224">
        <v>0</v>
      </c>
      <c r="AP24" s="231">
        <f t="shared" si="10"/>
        <v>0</v>
      </c>
      <c r="AQ24" s="229">
        <v>5</v>
      </c>
      <c r="AR24" s="231">
        <f t="shared" si="11"/>
        <v>278625</v>
      </c>
      <c r="AS24" s="229">
        <v>1</v>
      </c>
      <c r="AT24" s="231">
        <f t="shared" si="12"/>
        <v>55725</v>
      </c>
      <c r="AU24" s="224">
        <v>11</v>
      </c>
      <c r="AV24" s="231">
        <f t="shared" si="13"/>
        <v>612975</v>
      </c>
      <c r="AW24" s="224">
        <v>1</v>
      </c>
      <c r="AX24" s="231">
        <f t="shared" si="14"/>
        <v>55725</v>
      </c>
      <c r="AY24" s="228">
        <v>1</v>
      </c>
      <c r="AZ24" s="231">
        <f t="shared" si="15"/>
        <v>55725</v>
      </c>
      <c r="BA24" s="169">
        <v>3</v>
      </c>
      <c r="BB24" s="231">
        <f t="shared" si="16"/>
        <v>167175</v>
      </c>
      <c r="BC24" s="229">
        <v>20</v>
      </c>
      <c r="BD24" s="231">
        <f t="shared" si="17"/>
        <v>1114500</v>
      </c>
      <c r="BE24" s="229">
        <v>0</v>
      </c>
      <c r="BF24" s="231">
        <f t="shared" si="18"/>
        <v>0</v>
      </c>
      <c r="BG24" s="229">
        <v>3</v>
      </c>
      <c r="BH24" s="231">
        <f t="shared" si="19"/>
        <v>167175</v>
      </c>
      <c r="BI24" s="229">
        <v>0</v>
      </c>
      <c r="BJ24" s="247">
        <f t="shared" si="20"/>
        <v>0</v>
      </c>
      <c r="BK24" s="188">
        <f t="shared" si="24"/>
        <v>131</v>
      </c>
      <c r="BL24" s="188">
        <f t="shared" si="25"/>
        <v>7299975</v>
      </c>
      <c r="BM24" s="186" t="s">
        <v>291</v>
      </c>
      <c r="BO24" s="225"/>
      <c r="BP24" s="225"/>
      <c r="BQ24" s="225"/>
      <c r="BR24" s="225"/>
      <c r="BS24" s="225">
        <f t="shared" si="26"/>
        <v>0</v>
      </c>
      <c r="BT24" s="225"/>
      <c r="BU24" s="225">
        <f t="shared" si="33"/>
        <v>7299975</v>
      </c>
      <c r="BV24" s="225">
        <f t="shared" si="27"/>
        <v>7299975</v>
      </c>
      <c r="BW24" s="226">
        <f t="shared" si="28"/>
        <v>7299975</v>
      </c>
    </row>
    <row r="25" spans="1:75" ht="31.5" x14ac:dyDescent="0.25">
      <c r="A25" s="227"/>
      <c r="B25" s="261"/>
      <c r="C25" s="553"/>
      <c r="D25" s="267" t="s">
        <v>546</v>
      </c>
      <c r="E25" s="193" t="s">
        <v>16</v>
      </c>
      <c r="F25" s="262">
        <v>0</v>
      </c>
      <c r="G25" s="233">
        <f t="shared" si="29"/>
        <v>47</v>
      </c>
      <c r="H25" s="263">
        <f t="shared" si="30"/>
        <v>0</v>
      </c>
      <c r="I25" s="228"/>
      <c r="J25" s="208"/>
      <c r="K25" s="208"/>
      <c r="L25" s="208"/>
      <c r="M25" s="264">
        <f t="shared" si="32"/>
        <v>0</v>
      </c>
      <c r="N25" s="208"/>
      <c r="O25" s="208"/>
      <c r="P25" s="232"/>
      <c r="Q25" s="232"/>
      <c r="R25" s="232"/>
      <c r="S25" s="230"/>
      <c r="T25" s="230"/>
      <c r="U25" s="230"/>
      <c r="V25" s="230"/>
      <c r="W25" s="231">
        <f t="shared" si="21"/>
        <v>0</v>
      </c>
      <c r="X25" s="231">
        <f t="shared" si="22"/>
        <v>0</v>
      </c>
      <c r="Y25" s="231">
        <f t="shared" si="23"/>
        <v>0</v>
      </c>
      <c r="Z25" s="231">
        <f t="shared" si="31"/>
        <v>0</v>
      </c>
      <c r="AA25" s="265">
        <v>0</v>
      </c>
      <c r="AB25" s="231">
        <f t="shared" si="4"/>
        <v>0</v>
      </c>
      <c r="AC25" s="229">
        <v>0</v>
      </c>
      <c r="AD25" s="231">
        <f t="shared" si="5"/>
        <v>0</v>
      </c>
      <c r="AE25" s="229">
        <v>0</v>
      </c>
      <c r="AF25" s="231">
        <f t="shared" si="6"/>
        <v>0</v>
      </c>
      <c r="AG25" s="229">
        <v>0</v>
      </c>
      <c r="AH25" s="231">
        <f t="shared" si="34"/>
        <v>0</v>
      </c>
      <c r="AI25" s="229">
        <v>28</v>
      </c>
      <c r="AJ25" s="231">
        <f t="shared" si="7"/>
        <v>0</v>
      </c>
      <c r="AK25" s="224">
        <v>0</v>
      </c>
      <c r="AL25" s="231">
        <f t="shared" si="8"/>
        <v>0</v>
      </c>
      <c r="AM25" s="229"/>
      <c r="AN25" s="231">
        <f t="shared" si="9"/>
        <v>0</v>
      </c>
      <c r="AO25" s="224"/>
      <c r="AP25" s="231">
        <f t="shared" si="10"/>
        <v>0</v>
      </c>
      <c r="AQ25" s="229"/>
      <c r="AR25" s="231">
        <f t="shared" si="11"/>
        <v>0</v>
      </c>
      <c r="AS25" s="229">
        <v>0</v>
      </c>
      <c r="AT25" s="231">
        <f t="shared" si="12"/>
        <v>0</v>
      </c>
      <c r="AU25" s="224">
        <v>0</v>
      </c>
      <c r="AV25" s="231">
        <f t="shared" si="13"/>
        <v>0</v>
      </c>
      <c r="AW25" s="224">
        <v>0</v>
      </c>
      <c r="AX25" s="231">
        <f t="shared" si="14"/>
        <v>0</v>
      </c>
      <c r="AY25" s="228">
        <v>19</v>
      </c>
      <c r="AZ25" s="231">
        <f t="shared" si="15"/>
        <v>0</v>
      </c>
      <c r="BA25" s="169">
        <v>0</v>
      </c>
      <c r="BB25" s="231">
        <f t="shared" si="16"/>
        <v>0</v>
      </c>
      <c r="BC25" s="229">
        <v>0</v>
      </c>
      <c r="BD25" s="231">
        <f t="shared" si="17"/>
        <v>0</v>
      </c>
      <c r="BE25" s="229">
        <v>0</v>
      </c>
      <c r="BF25" s="231">
        <f t="shared" si="18"/>
        <v>0</v>
      </c>
      <c r="BG25" s="229">
        <v>0</v>
      </c>
      <c r="BH25" s="231">
        <f t="shared" si="19"/>
        <v>0</v>
      </c>
      <c r="BI25" s="229">
        <v>0</v>
      </c>
      <c r="BJ25" s="247">
        <f t="shared" si="20"/>
        <v>0</v>
      </c>
      <c r="BK25" s="188">
        <f t="shared" si="24"/>
        <v>47</v>
      </c>
      <c r="BL25" s="188">
        <f t="shared" si="25"/>
        <v>0</v>
      </c>
      <c r="BM25" s="186" t="s">
        <v>291</v>
      </c>
      <c r="BO25" s="225"/>
      <c r="BP25" s="225"/>
      <c r="BQ25" s="225"/>
      <c r="BR25" s="225"/>
      <c r="BS25" s="225">
        <f t="shared" si="26"/>
        <v>0</v>
      </c>
      <c r="BT25" s="225"/>
      <c r="BU25" s="225">
        <f t="shared" si="33"/>
        <v>0</v>
      </c>
      <c r="BV25" s="225">
        <f t="shared" si="27"/>
        <v>0</v>
      </c>
      <c r="BW25" s="226">
        <f t="shared" si="28"/>
        <v>0</v>
      </c>
    </row>
    <row r="26" spans="1:75" x14ac:dyDescent="0.25">
      <c r="A26" s="227"/>
      <c r="B26" s="261"/>
      <c r="C26" s="553"/>
      <c r="D26" s="267" t="s">
        <v>547</v>
      </c>
      <c r="E26" s="193" t="s">
        <v>16</v>
      </c>
      <c r="F26" s="262">
        <v>0</v>
      </c>
      <c r="G26" s="233">
        <f t="shared" si="29"/>
        <v>31</v>
      </c>
      <c r="H26" s="263">
        <f t="shared" si="30"/>
        <v>0</v>
      </c>
      <c r="I26" s="228"/>
      <c r="J26" s="208"/>
      <c r="K26" s="208"/>
      <c r="L26" s="208"/>
      <c r="M26" s="264">
        <f t="shared" si="32"/>
        <v>0</v>
      </c>
      <c r="N26" s="208"/>
      <c r="O26" s="208"/>
      <c r="P26" s="232"/>
      <c r="Q26" s="232"/>
      <c r="R26" s="232"/>
      <c r="S26" s="230"/>
      <c r="T26" s="230"/>
      <c r="U26" s="230"/>
      <c r="V26" s="230"/>
      <c r="W26" s="231">
        <f t="shared" si="21"/>
        <v>0</v>
      </c>
      <c r="X26" s="231">
        <f t="shared" si="22"/>
        <v>0</v>
      </c>
      <c r="Y26" s="231">
        <f t="shared" si="23"/>
        <v>0</v>
      </c>
      <c r="Z26" s="231">
        <f t="shared" si="31"/>
        <v>0</v>
      </c>
      <c r="AA26" s="265">
        <v>0</v>
      </c>
      <c r="AB26" s="231">
        <f t="shared" si="4"/>
        <v>0</v>
      </c>
      <c r="AC26" s="229">
        <v>0</v>
      </c>
      <c r="AD26" s="231">
        <f t="shared" si="5"/>
        <v>0</v>
      </c>
      <c r="AE26" s="229">
        <v>0</v>
      </c>
      <c r="AF26" s="231">
        <f t="shared" si="6"/>
        <v>0</v>
      </c>
      <c r="AG26" s="229">
        <v>0</v>
      </c>
      <c r="AH26" s="231">
        <f t="shared" si="34"/>
        <v>0</v>
      </c>
      <c r="AI26" s="229">
        <v>12</v>
      </c>
      <c r="AJ26" s="231">
        <f t="shared" si="7"/>
        <v>0</v>
      </c>
      <c r="AK26" s="224">
        <v>0</v>
      </c>
      <c r="AL26" s="231">
        <f t="shared" si="8"/>
        <v>0</v>
      </c>
      <c r="AM26" s="229"/>
      <c r="AN26" s="231">
        <f t="shared" si="9"/>
        <v>0</v>
      </c>
      <c r="AO26" s="224"/>
      <c r="AP26" s="231">
        <f t="shared" si="10"/>
        <v>0</v>
      </c>
      <c r="AQ26" s="229"/>
      <c r="AR26" s="231">
        <f t="shared" si="11"/>
        <v>0</v>
      </c>
      <c r="AS26" s="229">
        <v>0</v>
      </c>
      <c r="AT26" s="231">
        <f t="shared" si="12"/>
        <v>0</v>
      </c>
      <c r="AU26" s="224">
        <v>0</v>
      </c>
      <c r="AV26" s="231">
        <f t="shared" si="13"/>
        <v>0</v>
      </c>
      <c r="AW26" s="224">
        <v>0</v>
      </c>
      <c r="AX26" s="231">
        <f t="shared" si="14"/>
        <v>0</v>
      </c>
      <c r="AY26" s="228">
        <v>19</v>
      </c>
      <c r="AZ26" s="231">
        <f t="shared" si="15"/>
        <v>0</v>
      </c>
      <c r="BA26" s="169">
        <v>0</v>
      </c>
      <c r="BB26" s="231">
        <f t="shared" si="16"/>
        <v>0</v>
      </c>
      <c r="BC26" s="229">
        <v>0</v>
      </c>
      <c r="BD26" s="231">
        <f t="shared" si="17"/>
        <v>0</v>
      </c>
      <c r="BE26" s="229">
        <v>0</v>
      </c>
      <c r="BF26" s="231">
        <f t="shared" si="18"/>
        <v>0</v>
      </c>
      <c r="BG26" s="229">
        <v>0</v>
      </c>
      <c r="BH26" s="231">
        <f t="shared" si="19"/>
        <v>0</v>
      </c>
      <c r="BI26" s="229">
        <v>0</v>
      </c>
      <c r="BJ26" s="247">
        <f t="shared" si="20"/>
        <v>0</v>
      </c>
      <c r="BK26" s="188">
        <f t="shared" si="24"/>
        <v>31</v>
      </c>
      <c r="BL26" s="188">
        <f t="shared" si="25"/>
        <v>0</v>
      </c>
      <c r="BM26" s="186" t="s">
        <v>291</v>
      </c>
      <c r="BO26" s="225"/>
      <c r="BP26" s="225"/>
      <c r="BQ26" s="225"/>
      <c r="BR26" s="225"/>
      <c r="BS26" s="225">
        <f t="shared" si="26"/>
        <v>0</v>
      </c>
      <c r="BT26" s="225"/>
      <c r="BU26" s="225">
        <f t="shared" si="33"/>
        <v>0</v>
      </c>
      <c r="BV26" s="225">
        <f t="shared" si="27"/>
        <v>0</v>
      </c>
      <c r="BW26" s="226">
        <f t="shared" si="28"/>
        <v>0</v>
      </c>
    </row>
    <row r="27" spans="1:75" x14ac:dyDescent="0.25">
      <c r="A27" s="227"/>
      <c r="B27" s="261"/>
      <c r="C27" s="553"/>
      <c r="D27" s="267" t="s">
        <v>548</v>
      </c>
      <c r="E27" s="193" t="s">
        <v>880</v>
      </c>
      <c r="F27" s="262">
        <v>0</v>
      </c>
      <c r="G27" s="233">
        <f t="shared" si="29"/>
        <v>19</v>
      </c>
      <c r="H27" s="263">
        <f t="shared" si="30"/>
        <v>0</v>
      </c>
      <c r="I27" s="228"/>
      <c r="J27" s="208"/>
      <c r="K27" s="208"/>
      <c r="L27" s="208"/>
      <c r="M27" s="264">
        <f t="shared" si="32"/>
        <v>0</v>
      </c>
      <c r="N27" s="208"/>
      <c r="O27" s="208"/>
      <c r="P27" s="232"/>
      <c r="Q27" s="232"/>
      <c r="R27" s="232"/>
      <c r="S27" s="230"/>
      <c r="T27" s="230"/>
      <c r="U27" s="230"/>
      <c r="V27" s="230"/>
      <c r="W27" s="231">
        <f t="shared" si="21"/>
        <v>0</v>
      </c>
      <c r="X27" s="231">
        <f t="shared" si="22"/>
        <v>0</v>
      </c>
      <c r="Y27" s="231">
        <f t="shared" si="23"/>
        <v>0</v>
      </c>
      <c r="Z27" s="231">
        <f t="shared" si="31"/>
        <v>0</v>
      </c>
      <c r="AA27" s="265">
        <v>0</v>
      </c>
      <c r="AB27" s="231">
        <f t="shared" si="4"/>
        <v>0</v>
      </c>
      <c r="AC27" s="229">
        <v>0</v>
      </c>
      <c r="AD27" s="231">
        <f t="shared" si="5"/>
        <v>0</v>
      </c>
      <c r="AE27" s="229">
        <v>0</v>
      </c>
      <c r="AF27" s="231">
        <f t="shared" si="6"/>
        <v>0</v>
      </c>
      <c r="AG27" s="229">
        <v>0</v>
      </c>
      <c r="AH27" s="231">
        <f t="shared" si="34"/>
        <v>0</v>
      </c>
      <c r="AI27" s="229"/>
      <c r="AJ27" s="231">
        <f t="shared" si="7"/>
        <v>0</v>
      </c>
      <c r="AK27" s="224">
        <v>0</v>
      </c>
      <c r="AL27" s="231">
        <f t="shared" si="8"/>
        <v>0</v>
      </c>
      <c r="AM27" s="229"/>
      <c r="AN27" s="231">
        <f t="shared" si="9"/>
        <v>0</v>
      </c>
      <c r="AO27" s="224"/>
      <c r="AP27" s="231">
        <f t="shared" si="10"/>
        <v>0</v>
      </c>
      <c r="AQ27" s="229"/>
      <c r="AR27" s="231">
        <f t="shared" si="11"/>
        <v>0</v>
      </c>
      <c r="AS27" s="229">
        <v>0</v>
      </c>
      <c r="AT27" s="231">
        <f t="shared" si="12"/>
        <v>0</v>
      </c>
      <c r="AU27" s="224">
        <v>0</v>
      </c>
      <c r="AV27" s="231">
        <f t="shared" si="13"/>
        <v>0</v>
      </c>
      <c r="AW27" s="224"/>
      <c r="AX27" s="231">
        <f t="shared" si="14"/>
        <v>0</v>
      </c>
      <c r="AY27" s="228">
        <v>19</v>
      </c>
      <c r="AZ27" s="231">
        <f t="shared" si="15"/>
        <v>0</v>
      </c>
      <c r="BA27" s="169">
        <v>0</v>
      </c>
      <c r="BB27" s="231">
        <f t="shared" si="16"/>
        <v>0</v>
      </c>
      <c r="BC27" s="229">
        <v>0</v>
      </c>
      <c r="BD27" s="231">
        <f t="shared" si="17"/>
        <v>0</v>
      </c>
      <c r="BE27" s="229">
        <v>0</v>
      </c>
      <c r="BF27" s="231">
        <f t="shared" si="18"/>
        <v>0</v>
      </c>
      <c r="BG27" s="229">
        <v>0</v>
      </c>
      <c r="BH27" s="231">
        <f t="shared" si="19"/>
        <v>0</v>
      </c>
      <c r="BI27" s="229">
        <v>0</v>
      </c>
      <c r="BJ27" s="247">
        <f t="shared" si="20"/>
        <v>0</v>
      </c>
      <c r="BK27" s="188">
        <f t="shared" si="24"/>
        <v>19</v>
      </c>
      <c r="BL27" s="188">
        <f t="shared" si="25"/>
        <v>0</v>
      </c>
      <c r="BM27" s="186" t="s">
        <v>291</v>
      </c>
      <c r="BO27" s="225"/>
      <c r="BP27" s="225"/>
      <c r="BQ27" s="225"/>
      <c r="BR27" s="225"/>
      <c r="BS27" s="225">
        <f t="shared" si="26"/>
        <v>0</v>
      </c>
      <c r="BT27" s="225"/>
      <c r="BU27" s="225">
        <f t="shared" si="33"/>
        <v>0</v>
      </c>
      <c r="BV27" s="225">
        <f t="shared" si="27"/>
        <v>0</v>
      </c>
      <c r="BW27" s="226">
        <f t="shared" si="28"/>
        <v>0</v>
      </c>
    </row>
    <row r="28" spans="1:75" ht="31.5" x14ac:dyDescent="0.25">
      <c r="A28" s="227"/>
      <c r="B28" s="261"/>
      <c r="C28" s="553"/>
      <c r="D28" s="267" t="s">
        <v>956</v>
      </c>
      <c r="E28" s="193" t="s">
        <v>653</v>
      </c>
      <c r="F28" s="262">
        <v>20000</v>
      </c>
      <c r="G28" s="233">
        <f>BK28</f>
        <v>1080</v>
      </c>
      <c r="H28" s="263">
        <f>BL28</f>
        <v>21600000</v>
      </c>
      <c r="I28" s="228"/>
      <c r="J28" s="208"/>
      <c r="K28" s="208"/>
      <c r="L28" s="208"/>
      <c r="M28" s="264">
        <f t="shared" si="32"/>
        <v>21600000</v>
      </c>
      <c r="N28" s="208"/>
      <c r="O28" s="208"/>
      <c r="P28" s="232"/>
      <c r="Q28" s="232"/>
      <c r="R28" s="232"/>
      <c r="S28" s="230"/>
      <c r="T28" s="230"/>
      <c r="U28" s="230"/>
      <c r="V28" s="230">
        <v>17</v>
      </c>
      <c r="W28" s="231">
        <f t="shared" si="21"/>
        <v>0</v>
      </c>
      <c r="X28" s="231">
        <f t="shared" si="22"/>
        <v>0</v>
      </c>
      <c r="Y28" s="231">
        <f t="shared" si="23"/>
        <v>0</v>
      </c>
      <c r="Z28" s="231"/>
      <c r="AA28" s="265">
        <v>48</v>
      </c>
      <c r="AB28" s="231">
        <f t="shared" si="4"/>
        <v>960000</v>
      </c>
      <c r="AC28" s="229">
        <v>36</v>
      </c>
      <c r="AD28" s="231">
        <f t="shared" si="5"/>
        <v>720000</v>
      </c>
      <c r="AE28" s="229">
        <v>48</v>
      </c>
      <c r="AF28" s="231">
        <f t="shared" si="6"/>
        <v>960000</v>
      </c>
      <c r="AG28" s="229">
        <v>60</v>
      </c>
      <c r="AH28" s="231">
        <f t="shared" si="34"/>
        <v>1200000</v>
      </c>
      <c r="AI28" s="229">
        <v>24</v>
      </c>
      <c r="AJ28" s="231">
        <f t="shared" si="7"/>
        <v>480000</v>
      </c>
      <c r="AK28" s="224">
        <v>48</v>
      </c>
      <c r="AL28" s="231">
        <f t="shared" si="8"/>
        <v>960000</v>
      </c>
      <c r="AM28" s="229">
        <v>60</v>
      </c>
      <c r="AN28" s="231">
        <f t="shared" si="9"/>
        <v>1200000</v>
      </c>
      <c r="AO28" s="224">
        <v>96</v>
      </c>
      <c r="AP28" s="231">
        <f t="shared" si="10"/>
        <v>1920000</v>
      </c>
      <c r="AQ28" s="229">
        <v>24</v>
      </c>
      <c r="AR28" s="231">
        <f t="shared" si="11"/>
        <v>480000</v>
      </c>
      <c r="AS28" s="229">
        <v>36</v>
      </c>
      <c r="AT28" s="231">
        <f t="shared" si="12"/>
        <v>720000</v>
      </c>
      <c r="AU28" s="224">
        <v>72</v>
      </c>
      <c r="AV28" s="231">
        <f t="shared" si="13"/>
        <v>1440000</v>
      </c>
      <c r="AW28" s="224">
        <v>60</v>
      </c>
      <c r="AX28" s="231">
        <f t="shared" si="14"/>
        <v>1200000</v>
      </c>
      <c r="AY28" s="228">
        <v>108</v>
      </c>
      <c r="AZ28" s="231">
        <f t="shared" si="15"/>
        <v>2160000</v>
      </c>
      <c r="BA28" s="169">
        <v>108</v>
      </c>
      <c r="BB28" s="231">
        <f t="shared" si="16"/>
        <v>2160000</v>
      </c>
      <c r="BC28" s="229">
        <v>36</v>
      </c>
      <c r="BD28" s="231">
        <f t="shared" si="17"/>
        <v>720000</v>
      </c>
      <c r="BE28" s="229">
        <v>144</v>
      </c>
      <c r="BF28" s="231">
        <f t="shared" si="18"/>
        <v>2880000</v>
      </c>
      <c r="BG28" s="229">
        <v>72</v>
      </c>
      <c r="BH28" s="231">
        <f t="shared" si="19"/>
        <v>1440000</v>
      </c>
      <c r="BI28" s="229">
        <v>0</v>
      </c>
      <c r="BJ28" s="247">
        <f t="shared" si="20"/>
        <v>0</v>
      </c>
      <c r="BK28" s="188">
        <f>AA28+AC28+AE28+AG28+AI28+AK28+AM28+AO28+AQ28+AS28+AU28+AW28+AY28+BA28+BC28+BE28+BG28+BI28</f>
        <v>1080</v>
      </c>
      <c r="BL28" s="188">
        <f>AB28+AD28+AF28+AH28+AJ28+AL28+AN28+AP28+AR28+AT28+AV28+AX28+AZ28+BB28+BD28+BF28+BH28+BJ28</f>
        <v>21600000</v>
      </c>
      <c r="BM28" s="186" t="s">
        <v>291</v>
      </c>
      <c r="BO28" s="225"/>
      <c r="BP28" s="225"/>
      <c r="BQ28" s="225"/>
      <c r="BR28" s="225"/>
      <c r="BS28" s="225"/>
      <c r="BT28" s="225">
        <f>H28</f>
        <v>21600000</v>
      </c>
      <c r="BU28" s="225"/>
      <c r="BV28" s="225">
        <f t="shared" si="27"/>
        <v>21600000</v>
      </c>
      <c r="BW28" s="226">
        <f t="shared" si="28"/>
        <v>21600000</v>
      </c>
    </row>
    <row r="29" spans="1:75" ht="31.5" x14ac:dyDescent="0.25">
      <c r="A29" s="227"/>
      <c r="B29" s="261"/>
      <c r="C29" s="553"/>
      <c r="D29" s="267" t="s">
        <v>549</v>
      </c>
      <c r="E29" s="193" t="s">
        <v>653</v>
      </c>
      <c r="F29" s="262">
        <v>40000</v>
      </c>
      <c r="G29" s="233">
        <f>BK29</f>
        <v>204</v>
      </c>
      <c r="H29" s="262">
        <f>G29*F29</f>
        <v>8160000</v>
      </c>
      <c r="I29" s="228"/>
      <c r="J29" s="208"/>
      <c r="K29" s="208"/>
      <c r="L29" s="208"/>
      <c r="M29" s="264">
        <f t="shared" si="32"/>
        <v>8160000</v>
      </c>
      <c r="N29" s="208"/>
      <c r="O29" s="208"/>
      <c r="P29" s="232"/>
      <c r="Q29" s="232"/>
      <c r="R29" s="232"/>
      <c r="S29" s="230"/>
      <c r="T29" s="230"/>
      <c r="U29" s="230"/>
      <c r="V29" s="230">
        <v>0</v>
      </c>
      <c r="W29" s="231">
        <f t="shared" si="21"/>
        <v>0</v>
      </c>
      <c r="X29" s="231">
        <f t="shared" si="22"/>
        <v>0</v>
      </c>
      <c r="Y29" s="231">
        <f t="shared" si="23"/>
        <v>0</v>
      </c>
      <c r="Z29" s="231">
        <f>V29*F29</f>
        <v>0</v>
      </c>
      <c r="AA29" s="265">
        <v>12</v>
      </c>
      <c r="AB29" s="231">
        <f t="shared" si="4"/>
        <v>480000</v>
      </c>
      <c r="AC29" s="229">
        <v>12</v>
      </c>
      <c r="AD29" s="231">
        <f t="shared" si="5"/>
        <v>480000</v>
      </c>
      <c r="AE29" s="229">
        <v>12</v>
      </c>
      <c r="AF29" s="231">
        <f t="shared" si="6"/>
        <v>480000</v>
      </c>
      <c r="AG29" s="229">
        <v>12</v>
      </c>
      <c r="AH29" s="231">
        <f t="shared" si="34"/>
        <v>480000</v>
      </c>
      <c r="AI29" s="229">
        <v>12</v>
      </c>
      <c r="AJ29" s="231">
        <f t="shared" si="7"/>
        <v>480000</v>
      </c>
      <c r="AK29" s="224">
        <v>12</v>
      </c>
      <c r="AL29" s="231">
        <f t="shared" si="8"/>
        <v>480000</v>
      </c>
      <c r="AM29" s="229">
        <v>12</v>
      </c>
      <c r="AN29" s="231">
        <f t="shared" si="9"/>
        <v>480000</v>
      </c>
      <c r="AO29" s="224">
        <v>12</v>
      </c>
      <c r="AP29" s="231">
        <f t="shared" si="10"/>
        <v>480000</v>
      </c>
      <c r="AQ29" s="229">
        <v>12</v>
      </c>
      <c r="AR29" s="231">
        <f t="shared" si="11"/>
        <v>480000</v>
      </c>
      <c r="AS29" s="229">
        <v>12</v>
      </c>
      <c r="AT29" s="231">
        <f t="shared" si="12"/>
        <v>480000</v>
      </c>
      <c r="AU29" s="224">
        <v>12</v>
      </c>
      <c r="AV29" s="231">
        <f t="shared" si="13"/>
        <v>480000</v>
      </c>
      <c r="AW29" s="224">
        <v>12</v>
      </c>
      <c r="AX29" s="231">
        <f t="shared" si="14"/>
        <v>480000</v>
      </c>
      <c r="AY29" s="228">
        <v>12</v>
      </c>
      <c r="AZ29" s="231">
        <f t="shared" si="15"/>
        <v>480000</v>
      </c>
      <c r="BA29" s="169">
        <v>12</v>
      </c>
      <c r="BB29" s="231">
        <f t="shared" si="16"/>
        <v>480000</v>
      </c>
      <c r="BC29" s="229">
        <v>12</v>
      </c>
      <c r="BD29" s="231">
        <f t="shared" si="17"/>
        <v>480000</v>
      </c>
      <c r="BE29" s="229">
        <v>12</v>
      </c>
      <c r="BF29" s="231">
        <f t="shared" si="18"/>
        <v>480000</v>
      </c>
      <c r="BG29" s="229">
        <v>12</v>
      </c>
      <c r="BH29" s="231">
        <f t="shared" si="19"/>
        <v>480000</v>
      </c>
      <c r="BI29" s="229">
        <v>0</v>
      </c>
      <c r="BJ29" s="247">
        <v>0</v>
      </c>
      <c r="BK29" s="188">
        <f t="shared" si="24"/>
        <v>204</v>
      </c>
      <c r="BL29" s="188">
        <f t="shared" si="25"/>
        <v>8160000</v>
      </c>
      <c r="BM29" s="186" t="s">
        <v>291</v>
      </c>
      <c r="BO29" s="225"/>
      <c r="BP29" s="225"/>
      <c r="BQ29" s="225"/>
      <c r="BR29" s="225"/>
      <c r="BS29" s="225">
        <f t="shared" si="26"/>
        <v>0</v>
      </c>
      <c r="BT29" s="225">
        <f>BL29</f>
        <v>8160000</v>
      </c>
      <c r="BU29" s="225"/>
      <c r="BV29" s="225">
        <f t="shared" si="27"/>
        <v>8160000</v>
      </c>
      <c r="BW29" s="226">
        <f t="shared" si="28"/>
        <v>8160000</v>
      </c>
    </row>
    <row r="30" spans="1:75" ht="31.5" x14ac:dyDescent="0.25">
      <c r="A30" s="227"/>
      <c r="B30" s="261"/>
      <c r="C30" s="244" t="s">
        <v>800</v>
      </c>
      <c r="D30" s="267" t="s">
        <v>670</v>
      </c>
      <c r="E30" s="193" t="s">
        <v>507</v>
      </c>
      <c r="F30" s="262">
        <v>250000</v>
      </c>
      <c r="G30" s="233">
        <f t="shared" si="29"/>
        <v>0</v>
      </c>
      <c r="H30" s="262">
        <f>G30*F30</f>
        <v>0</v>
      </c>
      <c r="I30" s="228">
        <f>H30*0.2</f>
        <v>0</v>
      </c>
      <c r="J30" s="208">
        <f>H30*0.8</f>
        <v>0</v>
      </c>
      <c r="K30" s="208"/>
      <c r="L30" s="208"/>
      <c r="M30" s="208"/>
      <c r="N30" s="208"/>
      <c r="O30" s="208"/>
      <c r="P30" s="232"/>
      <c r="Q30" s="232"/>
      <c r="R30" s="232"/>
      <c r="S30" s="230"/>
      <c r="T30" s="230">
        <f>G30</f>
        <v>0</v>
      </c>
      <c r="U30" s="230"/>
      <c r="V30" s="230"/>
      <c r="W30" s="231">
        <f t="shared" si="21"/>
        <v>0</v>
      </c>
      <c r="X30" s="231">
        <f t="shared" si="22"/>
        <v>0</v>
      </c>
      <c r="Y30" s="231">
        <f t="shared" si="23"/>
        <v>0</v>
      </c>
      <c r="Z30" s="231">
        <f>V30*F30</f>
        <v>0</v>
      </c>
      <c r="AA30" s="265">
        <v>0</v>
      </c>
      <c r="AB30" s="231">
        <f t="shared" si="4"/>
        <v>0</v>
      </c>
      <c r="AC30" s="229"/>
      <c r="AD30" s="231">
        <f t="shared" si="5"/>
        <v>0</v>
      </c>
      <c r="AE30" s="229">
        <v>0</v>
      </c>
      <c r="AF30" s="231">
        <f t="shared" si="6"/>
        <v>0</v>
      </c>
      <c r="AG30" s="229"/>
      <c r="AH30" s="231">
        <f t="shared" si="34"/>
        <v>0</v>
      </c>
      <c r="AI30" s="229"/>
      <c r="AJ30" s="231">
        <f t="shared" si="7"/>
        <v>0</v>
      </c>
      <c r="AK30" s="224">
        <v>0</v>
      </c>
      <c r="AL30" s="231">
        <f t="shared" si="8"/>
        <v>0</v>
      </c>
      <c r="AM30" s="229"/>
      <c r="AN30" s="231">
        <f t="shared" si="9"/>
        <v>0</v>
      </c>
      <c r="AO30" s="224"/>
      <c r="AP30" s="231">
        <f t="shared" si="10"/>
        <v>0</v>
      </c>
      <c r="AQ30" s="229"/>
      <c r="AR30" s="231">
        <f t="shared" si="11"/>
        <v>0</v>
      </c>
      <c r="AS30" s="229"/>
      <c r="AT30" s="231">
        <f t="shared" si="12"/>
        <v>0</v>
      </c>
      <c r="AU30" s="224"/>
      <c r="AV30" s="231">
        <f t="shared" si="13"/>
        <v>0</v>
      </c>
      <c r="AW30" s="224">
        <v>0</v>
      </c>
      <c r="AX30" s="231">
        <f t="shared" si="14"/>
        <v>0</v>
      </c>
      <c r="AY30" s="228">
        <v>0</v>
      </c>
      <c r="AZ30" s="231">
        <f t="shared" si="15"/>
        <v>0</v>
      </c>
      <c r="BA30" s="169">
        <v>0</v>
      </c>
      <c r="BB30" s="231">
        <f t="shared" si="16"/>
        <v>0</v>
      </c>
      <c r="BC30" s="229">
        <v>0</v>
      </c>
      <c r="BD30" s="231">
        <f t="shared" si="17"/>
        <v>0</v>
      </c>
      <c r="BE30" s="229">
        <v>0</v>
      </c>
      <c r="BF30" s="231">
        <f t="shared" si="18"/>
        <v>0</v>
      </c>
      <c r="BG30" s="229">
        <v>0</v>
      </c>
      <c r="BH30" s="231">
        <f t="shared" si="19"/>
        <v>0</v>
      </c>
      <c r="BI30" s="229">
        <v>0</v>
      </c>
      <c r="BJ30" s="231">
        <f>BI30*F30</f>
        <v>0</v>
      </c>
      <c r="BK30" s="188">
        <f t="shared" si="24"/>
        <v>0</v>
      </c>
      <c r="BL30" s="188">
        <f t="shared" si="25"/>
        <v>0</v>
      </c>
      <c r="BM30" s="186" t="s">
        <v>210</v>
      </c>
      <c r="BO30" s="225"/>
      <c r="BP30" s="225"/>
      <c r="BQ30" s="225"/>
      <c r="BR30" s="225"/>
      <c r="BS30" s="225">
        <f t="shared" si="26"/>
        <v>0</v>
      </c>
      <c r="BT30" s="225"/>
      <c r="BU30" s="225"/>
      <c r="BV30" s="225">
        <f t="shared" si="27"/>
        <v>0</v>
      </c>
      <c r="BW30" s="226">
        <f t="shared" si="28"/>
        <v>0</v>
      </c>
    </row>
    <row r="31" spans="1:75" s="131" customFormat="1" x14ac:dyDescent="0.25">
      <c r="A31" s="268"/>
      <c r="B31" s="269"/>
      <c r="C31" s="244" t="s">
        <v>801</v>
      </c>
      <c r="D31" s="245" t="s">
        <v>986</v>
      </c>
      <c r="E31" s="130" t="s">
        <v>77</v>
      </c>
      <c r="F31" s="130">
        <v>6000</v>
      </c>
      <c r="G31" s="197">
        <f>BK31</f>
        <v>6462</v>
      </c>
      <c r="H31" s="197">
        <f t="shared" ref="H31:H32" si="35">BL31</f>
        <v>35802000</v>
      </c>
      <c r="I31" s="269">
        <f>H31*0.1</f>
        <v>3580200</v>
      </c>
      <c r="J31" s="606">
        <f>H31*0.8</f>
        <v>28641600</v>
      </c>
      <c r="K31" s="606"/>
      <c r="L31" s="606"/>
      <c r="M31" s="606"/>
      <c r="N31" s="606"/>
      <c r="O31" s="606"/>
      <c r="P31" s="607"/>
      <c r="Q31" s="607">
        <f>H31*0.1</f>
        <v>3580200</v>
      </c>
      <c r="R31" s="607"/>
      <c r="S31" s="198">
        <f>G31*0.25</f>
        <v>1615.5</v>
      </c>
      <c r="T31" s="198">
        <f>G31*0.25</f>
        <v>1615.5</v>
      </c>
      <c r="U31" s="198">
        <f>G31*0.25</f>
        <v>1615.5</v>
      </c>
      <c r="V31" s="198">
        <f>G31*0.25</f>
        <v>1615.5</v>
      </c>
      <c r="W31" s="197">
        <f t="shared" si="21"/>
        <v>9693000</v>
      </c>
      <c r="X31" s="197">
        <f t="shared" si="22"/>
        <v>9693000</v>
      </c>
      <c r="Y31" s="197">
        <f t="shared" si="23"/>
        <v>9693000</v>
      </c>
      <c r="Z31" s="197">
        <f>V31*F31</f>
        <v>9693000</v>
      </c>
      <c r="AA31" s="265">
        <v>600</v>
      </c>
      <c r="AB31" s="197">
        <f t="shared" si="4"/>
        <v>3600000</v>
      </c>
      <c r="AC31" s="608">
        <v>300</v>
      </c>
      <c r="AD31" s="197">
        <f t="shared" si="5"/>
        <v>1800000</v>
      </c>
      <c r="AE31" s="608">
        <v>82</v>
      </c>
      <c r="AF31" s="197">
        <f t="shared" si="6"/>
        <v>492000</v>
      </c>
      <c r="AG31" s="608">
        <v>400</v>
      </c>
      <c r="AH31" s="197">
        <f t="shared" si="34"/>
        <v>2400000</v>
      </c>
      <c r="AI31" s="608">
        <v>400</v>
      </c>
      <c r="AJ31" s="197">
        <f t="shared" si="7"/>
        <v>2400000</v>
      </c>
      <c r="AK31" s="269">
        <v>200</v>
      </c>
      <c r="AL31" s="197">
        <f t="shared" si="8"/>
        <v>1200000</v>
      </c>
      <c r="AM31" s="608">
        <v>600</v>
      </c>
      <c r="AN31" s="197">
        <v>630000</v>
      </c>
      <c r="AO31" s="269">
        <v>130</v>
      </c>
      <c r="AP31" s="197">
        <f t="shared" si="10"/>
        <v>780000</v>
      </c>
      <c r="AQ31" s="608">
        <v>450</v>
      </c>
      <c r="AR31" s="197">
        <f t="shared" si="11"/>
        <v>2700000</v>
      </c>
      <c r="AS31" s="608">
        <v>600</v>
      </c>
      <c r="AT31" s="231">
        <f t="shared" si="12"/>
        <v>3600000</v>
      </c>
      <c r="AU31" s="269">
        <v>400</v>
      </c>
      <c r="AV31" s="197">
        <f t="shared" si="13"/>
        <v>2400000</v>
      </c>
      <c r="AW31" s="269">
        <v>50</v>
      </c>
      <c r="AX31" s="197">
        <f t="shared" si="14"/>
        <v>300000</v>
      </c>
      <c r="AY31" s="32">
        <v>400</v>
      </c>
      <c r="AZ31" s="197">
        <f t="shared" si="15"/>
        <v>2400000</v>
      </c>
      <c r="BA31" s="259">
        <v>500</v>
      </c>
      <c r="BB31" s="197">
        <f t="shared" si="16"/>
        <v>3000000</v>
      </c>
      <c r="BC31" s="608">
        <v>350</v>
      </c>
      <c r="BD31" s="197">
        <f t="shared" si="17"/>
        <v>2100000</v>
      </c>
      <c r="BE31" s="608">
        <v>200</v>
      </c>
      <c r="BF31" s="197">
        <f t="shared" si="18"/>
        <v>1200000</v>
      </c>
      <c r="BG31" s="608">
        <v>800</v>
      </c>
      <c r="BH31" s="197">
        <f t="shared" si="19"/>
        <v>4800000</v>
      </c>
      <c r="BI31" s="608"/>
      <c r="BJ31" s="197">
        <f>BI31*F31</f>
        <v>0</v>
      </c>
      <c r="BK31" s="197">
        <f t="shared" si="24"/>
        <v>6462</v>
      </c>
      <c r="BL31" s="197">
        <f t="shared" si="25"/>
        <v>35802000</v>
      </c>
      <c r="BM31" s="130" t="s">
        <v>213</v>
      </c>
      <c r="BO31" s="609"/>
      <c r="BP31" s="609"/>
      <c r="BQ31" s="609">
        <f>BL31</f>
        <v>35802000</v>
      </c>
      <c r="BR31" s="609"/>
      <c r="BS31" s="609">
        <f t="shared" si="26"/>
        <v>35802000</v>
      </c>
      <c r="BT31" s="609"/>
      <c r="BU31" s="609"/>
      <c r="BV31" s="609">
        <f t="shared" si="27"/>
        <v>0</v>
      </c>
      <c r="BW31" s="610">
        <f t="shared" si="28"/>
        <v>35802000</v>
      </c>
    </row>
    <row r="32" spans="1:75" s="131" customFormat="1" ht="26.25" customHeight="1" x14ac:dyDescent="0.25">
      <c r="A32" s="268"/>
      <c r="B32" s="269"/>
      <c r="C32" s="244" t="s">
        <v>803</v>
      </c>
      <c r="D32" s="245" t="s">
        <v>987</v>
      </c>
      <c r="E32" s="130" t="s">
        <v>77</v>
      </c>
      <c r="F32" s="130">
        <v>5000</v>
      </c>
      <c r="G32" s="197">
        <f>BK32</f>
        <v>3655</v>
      </c>
      <c r="H32" s="197">
        <f t="shared" si="35"/>
        <v>18275000</v>
      </c>
      <c r="I32" s="269">
        <f>H32*0.1</f>
        <v>1827500</v>
      </c>
      <c r="J32" s="606">
        <f>H32*0.8</f>
        <v>14620000</v>
      </c>
      <c r="K32" s="606"/>
      <c r="L32" s="606"/>
      <c r="M32" s="606"/>
      <c r="N32" s="606"/>
      <c r="O32" s="606"/>
      <c r="P32" s="607"/>
      <c r="Q32" s="607">
        <f>H32*0.1</f>
        <v>1827500</v>
      </c>
      <c r="R32" s="607"/>
      <c r="S32" s="198"/>
      <c r="T32" s="198"/>
      <c r="U32" s="198"/>
      <c r="V32" s="198"/>
      <c r="W32" s="197"/>
      <c r="X32" s="197"/>
      <c r="Y32" s="197"/>
      <c r="Z32" s="197"/>
      <c r="AA32" s="265">
        <v>0</v>
      </c>
      <c r="AB32" s="197">
        <f t="shared" si="4"/>
        <v>0</v>
      </c>
      <c r="AC32" s="608">
        <v>0</v>
      </c>
      <c r="AD32" s="197">
        <f t="shared" si="5"/>
        <v>0</v>
      </c>
      <c r="AE32" s="608">
        <v>400</v>
      </c>
      <c r="AF32" s="197">
        <f t="shared" si="6"/>
        <v>2000000</v>
      </c>
      <c r="AG32" s="608">
        <v>200</v>
      </c>
      <c r="AH32" s="197">
        <f t="shared" si="34"/>
        <v>1000000</v>
      </c>
      <c r="AI32" s="608">
        <v>0</v>
      </c>
      <c r="AJ32" s="197">
        <f t="shared" si="7"/>
        <v>0</v>
      </c>
      <c r="AK32" s="269">
        <v>346</v>
      </c>
      <c r="AL32" s="197">
        <f t="shared" si="8"/>
        <v>1730000</v>
      </c>
      <c r="AM32" s="608">
        <v>0</v>
      </c>
      <c r="AN32" s="197">
        <f>AM32*F32</f>
        <v>0</v>
      </c>
      <c r="AO32" s="269">
        <v>500</v>
      </c>
      <c r="AP32" s="197">
        <f t="shared" si="10"/>
        <v>2500000</v>
      </c>
      <c r="AQ32" s="608">
        <v>100</v>
      </c>
      <c r="AR32" s="197">
        <f t="shared" si="11"/>
        <v>500000</v>
      </c>
      <c r="AS32" s="608">
        <v>0</v>
      </c>
      <c r="AT32" s="231">
        <f t="shared" si="12"/>
        <v>0</v>
      </c>
      <c r="AU32" s="269">
        <v>400</v>
      </c>
      <c r="AV32" s="197">
        <f t="shared" si="13"/>
        <v>2000000</v>
      </c>
      <c r="AW32" s="269">
        <v>400</v>
      </c>
      <c r="AX32" s="197">
        <f t="shared" si="14"/>
        <v>2000000</v>
      </c>
      <c r="AY32" s="32">
        <v>200</v>
      </c>
      <c r="AZ32" s="197">
        <f t="shared" si="15"/>
        <v>1000000</v>
      </c>
      <c r="BA32" s="259">
        <v>0</v>
      </c>
      <c r="BB32" s="197">
        <f t="shared" si="16"/>
        <v>0</v>
      </c>
      <c r="BC32" s="608">
        <v>500</v>
      </c>
      <c r="BD32" s="197">
        <f t="shared" si="17"/>
        <v>2500000</v>
      </c>
      <c r="BE32" s="608">
        <v>209</v>
      </c>
      <c r="BF32" s="197">
        <f t="shared" si="18"/>
        <v>1045000</v>
      </c>
      <c r="BG32" s="608">
        <v>400</v>
      </c>
      <c r="BH32" s="197">
        <f t="shared" si="19"/>
        <v>2000000</v>
      </c>
      <c r="BI32" s="608"/>
      <c r="BJ32" s="197">
        <f>BI32*F32</f>
        <v>0</v>
      </c>
      <c r="BK32" s="197">
        <f t="shared" si="24"/>
        <v>3655</v>
      </c>
      <c r="BL32" s="197">
        <f t="shared" si="25"/>
        <v>18275000</v>
      </c>
      <c r="BM32" s="130" t="s">
        <v>213</v>
      </c>
      <c r="BO32" s="609"/>
      <c r="BP32" s="609"/>
      <c r="BQ32" s="609">
        <f>BL32</f>
        <v>18275000</v>
      </c>
      <c r="BR32" s="609"/>
      <c r="BS32" s="609">
        <f t="shared" si="26"/>
        <v>18275000</v>
      </c>
      <c r="BT32" s="609"/>
      <c r="BU32" s="609"/>
      <c r="BV32" s="609"/>
      <c r="BW32" s="610">
        <f t="shared" si="28"/>
        <v>18275000</v>
      </c>
    </row>
    <row r="33" spans="1:75" s="237" customFormat="1" x14ac:dyDescent="0.25">
      <c r="A33" s="234"/>
      <c r="B33" s="556"/>
      <c r="C33" s="555"/>
      <c r="D33" s="223" t="s">
        <v>3</v>
      </c>
      <c r="E33" s="205"/>
      <c r="F33" s="205"/>
      <c r="G33" s="220">
        <f>SUM(G19:G32)</f>
        <v>11860</v>
      </c>
      <c r="H33" s="220">
        <f>SUM(H19:H32)</f>
        <v>141966935</v>
      </c>
      <c r="I33" s="220">
        <f t="shared" ref="I33:BJ33" si="36">SUM(I19:I32)</f>
        <v>5507700</v>
      </c>
      <c r="J33" s="220">
        <f t="shared" si="36"/>
        <v>43661600</v>
      </c>
      <c r="K33" s="220">
        <f t="shared" si="36"/>
        <v>0</v>
      </c>
      <c r="L33" s="220">
        <f t="shared" si="36"/>
        <v>0</v>
      </c>
      <c r="M33" s="220">
        <f t="shared" si="36"/>
        <v>87389935</v>
      </c>
      <c r="N33" s="220">
        <f t="shared" si="36"/>
        <v>0</v>
      </c>
      <c r="O33" s="220">
        <f t="shared" si="36"/>
        <v>0</v>
      </c>
      <c r="P33" s="220">
        <f t="shared" si="36"/>
        <v>0</v>
      </c>
      <c r="Q33" s="220">
        <f t="shared" si="36"/>
        <v>5407700</v>
      </c>
      <c r="R33" s="220">
        <f t="shared" si="36"/>
        <v>0</v>
      </c>
      <c r="S33" s="220">
        <f t="shared" si="36"/>
        <v>1615.5</v>
      </c>
      <c r="T33" s="220">
        <f t="shared" si="36"/>
        <v>1616.5</v>
      </c>
      <c r="U33" s="220">
        <f t="shared" si="36"/>
        <v>1615.5</v>
      </c>
      <c r="V33" s="220">
        <f t="shared" si="36"/>
        <v>1855.5</v>
      </c>
      <c r="W33" s="220">
        <f t="shared" si="36"/>
        <v>9693000</v>
      </c>
      <c r="X33" s="220">
        <f t="shared" si="36"/>
        <v>10193000</v>
      </c>
      <c r="Y33" s="220">
        <f t="shared" si="36"/>
        <v>9693000</v>
      </c>
      <c r="Z33" s="220">
        <f t="shared" si="36"/>
        <v>48899744</v>
      </c>
      <c r="AA33" s="220">
        <f t="shared" si="36"/>
        <v>699</v>
      </c>
      <c r="AB33" s="220">
        <f t="shared" si="36"/>
        <v>12141430</v>
      </c>
      <c r="AC33" s="220">
        <f t="shared" si="36"/>
        <v>369</v>
      </c>
      <c r="AD33" s="220">
        <f t="shared" si="36"/>
        <v>6400916</v>
      </c>
      <c r="AE33" s="220">
        <f t="shared" si="36"/>
        <v>577</v>
      </c>
      <c r="AF33" s="220">
        <f t="shared" si="36"/>
        <v>9820918</v>
      </c>
      <c r="AG33" s="220">
        <f t="shared" si="36"/>
        <v>719</v>
      </c>
      <c r="AH33" s="220">
        <f t="shared" si="36"/>
        <v>13843276</v>
      </c>
      <c r="AI33" s="220">
        <f t="shared" si="36"/>
        <v>504</v>
      </c>
      <c r="AJ33" s="220">
        <f t="shared" si="36"/>
        <v>6588342</v>
      </c>
      <c r="AK33" s="220">
        <f t="shared" si="36"/>
        <v>631</v>
      </c>
      <c r="AL33" s="220">
        <f t="shared" si="36"/>
        <v>7004204</v>
      </c>
      <c r="AM33" s="220">
        <f t="shared" si="36"/>
        <v>703</v>
      </c>
      <c r="AN33" s="220">
        <f t="shared" si="36"/>
        <v>8470824</v>
      </c>
      <c r="AO33" s="220">
        <f t="shared" si="36"/>
        <v>742</v>
      </c>
      <c r="AP33" s="220">
        <f t="shared" si="36"/>
        <v>6892512</v>
      </c>
      <c r="AQ33" s="220">
        <f t="shared" si="36"/>
        <v>604</v>
      </c>
      <c r="AR33" s="220">
        <f t="shared" si="36"/>
        <v>6763249</v>
      </c>
      <c r="AS33" s="220">
        <f t="shared" si="36"/>
        <v>665</v>
      </c>
      <c r="AT33" s="220">
        <f t="shared" si="36"/>
        <v>7910173</v>
      </c>
      <c r="AU33" s="220">
        <f t="shared" si="36"/>
        <v>909</v>
      </c>
      <c r="AV33" s="220">
        <f t="shared" si="36"/>
        <v>9381167</v>
      </c>
      <c r="AW33" s="220">
        <f t="shared" si="36"/>
        <v>525</v>
      </c>
      <c r="AX33" s="220">
        <f t="shared" si="36"/>
        <v>4641981</v>
      </c>
      <c r="AY33" s="220">
        <f t="shared" si="36"/>
        <v>782</v>
      </c>
      <c r="AZ33" s="220">
        <f t="shared" si="36"/>
        <v>7308237</v>
      </c>
      <c r="BA33" s="220">
        <f t="shared" si="36"/>
        <v>638</v>
      </c>
      <c r="BB33" s="220">
        <f t="shared" si="36"/>
        <v>8378935</v>
      </c>
      <c r="BC33" s="220">
        <f t="shared" si="36"/>
        <v>932</v>
      </c>
      <c r="BD33" s="220">
        <f t="shared" si="36"/>
        <v>9003572</v>
      </c>
      <c r="BE33" s="220">
        <f t="shared" si="36"/>
        <v>569</v>
      </c>
      <c r="BF33" s="220">
        <f t="shared" si="36"/>
        <v>6817512</v>
      </c>
      <c r="BG33" s="220">
        <f t="shared" si="36"/>
        <v>1291</v>
      </c>
      <c r="BH33" s="220">
        <f t="shared" si="36"/>
        <v>10099687</v>
      </c>
      <c r="BI33" s="220">
        <f t="shared" si="36"/>
        <v>1</v>
      </c>
      <c r="BJ33" s="220">
        <f t="shared" si="36"/>
        <v>500000</v>
      </c>
      <c r="BK33" s="270">
        <f>SUM(BK19:BK32)</f>
        <v>11860</v>
      </c>
      <c r="BL33" s="270">
        <f>SUM(BL19:BL32)</f>
        <v>141966935</v>
      </c>
      <c r="BM33" s="220"/>
      <c r="BN33" s="220"/>
      <c r="BO33" s="239">
        <f>SUM(BO19:BO32)</f>
        <v>0</v>
      </c>
      <c r="BP33" s="239">
        <f t="shared" ref="BP33:BW33" si="37">SUM(BP19:BP32)</f>
        <v>500000</v>
      </c>
      <c r="BQ33" s="239">
        <f t="shared" si="37"/>
        <v>54077000</v>
      </c>
      <c r="BR33" s="239">
        <f t="shared" si="37"/>
        <v>0</v>
      </c>
      <c r="BS33" s="239">
        <f t="shared" si="37"/>
        <v>54577000</v>
      </c>
      <c r="BT33" s="239">
        <f t="shared" si="37"/>
        <v>29760000</v>
      </c>
      <c r="BU33" s="239">
        <f t="shared" si="37"/>
        <v>57629935</v>
      </c>
      <c r="BV33" s="239">
        <f t="shared" si="37"/>
        <v>87389935</v>
      </c>
      <c r="BW33" s="239">
        <f t="shared" si="37"/>
        <v>141966935</v>
      </c>
    </row>
    <row r="34" spans="1:75" s="176" customFormat="1" x14ac:dyDescent="0.25">
      <c r="A34" s="271"/>
      <c r="B34" s="169">
        <v>21340</v>
      </c>
      <c r="C34" s="181"/>
      <c r="D34" s="558" t="s">
        <v>671</v>
      </c>
      <c r="E34" s="229"/>
      <c r="F34" s="208"/>
      <c r="G34" s="194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89"/>
      <c r="T34" s="189"/>
      <c r="U34" s="189"/>
      <c r="V34" s="189"/>
      <c r="W34" s="188"/>
      <c r="X34" s="188"/>
      <c r="Y34" s="188"/>
      <c r="Z34" s="188"/>
      <c r="AA34" s="189"/>
      <c r="AB34" s="188"/>
      <c r="AC34" s="189"/>
      <c r="AD34" s="188"/>
      <c r="AE34" s="189"/>
      <c r="AF34" s="188"/>
      <c r="AG34" s="189"/>
      <c r="AH34" s="188"/>
      <c r="AI34" s="189"/>
      <c r="AJ34" s="188"/>
      <c r="AK34" s="189"/>
      <c r="AL34" s="188"/>
      <c r="AM34" s="189"/>
      <c r="AN34" s="188"/>
      <c r="AO34" s="189"/>
      <c r="AP34" s="188"/>
      <c r="AQ34" s="189"/>
      <c r="AR34" s="188"/>
      <c r="AS34" s="189"/>
      <c r="AT34" s="188"/>
      <c r="AU34" s="189"/>
      <c r="AV34" s="188"/>
      <c r="AW34" s="189"/>
      <c r="AX34" s="188"/>
      <c r="AY34" s="272"/>
      <c r="AZ34" s="188"/>
      <c r="BA34" s="273"/>
      <c r="BB34" s="188"/>
      <c r="BC34" s="189"/>
      <c r="BD34" s="188"/>
      <c r="BE34" s="189"/>
      <c r="BF34" s="188"/>
      <c r="BG34" s="189"/>
      <c r="BH34" s="188"/>
      <c r="BI34" s="189"/>
      <c r="BJ34" s="188"/>
      <c r="BK34" s="189"/>
      <c r="BL34" s="188"/>
      <c r="BM34" s="178"/>
      <c r="BN34" s="201"/>
      <c r="BO34" s="195">
        <f>H34</f>
        <v>0</v>
      </c>
      <c r="BP34" s="190"/>
      <c r="BQ34" s="190"/>
      <c r="BR34" s="190"/>
      <c r="BS34" s="190">
        <f t="shared" ref="BS34:BS39" si="38">BO34+BP34+BQ34+BR34</f>
        <v>0</v>
      </c>
      <c r="BT34" s="190"/>
      <c r="BU34" s="190"/>
      <c r="BV34" s="190">
        <f>BT34+BU34</f>
        <v>0</v>
      </c>
      <c r="BW34" s="191">
        <f t="shared" ref="BW34:BW39" si="39">BS34+BV34</f>
        <v>0</v>
      </c>
    </row>
    <row r="35" spans="1:75" s="176" customFormat="1" x14ac:dyDescent="0.25">
      <c r="A35" s="271"/>
      <c r="B35" s="169"/>
      <c r="C35" s="244" t="s">
        <v>802</v>
      </c>
      <c r="D35" s="274" t="s">
        <v>776</v>
      </c>
      <c r="E35" s="229" t="s">
        <v>75</v>
      </c>
      <c r="F35" s="208">
        <v>6000</v>
      </c>
      <c r="G35" s="197">
        <f>BK35</f>
        <v>148</v>
      </c>
      <c r="H35" s="195">
        <f>G35*F35</f>
        <v>888000</v>
      </c>
      <c r="I35" s="195">
        <f>H35*0.1</f>
        <v>88800</v>
      </c>
      <c r="J35" s="195">
        <f>H35*0.8</f>
        <v>710400</v>
      </c>
      <c r="K35" s="195"/>
      <c r="L35" s="195"/>
      <c r="M35" s="195"/>
      <c r="N35" s="195"/>
      <c r="O35" s="195"/>
      <c r="P35" s="195"/>
      <c r="Q35" s="195">
        <f>H35*0.1</f>
        <v>88800</v>
      </c>
      <c r="R35" s="195"/>
      <c r="S35" s="198">
        <f>G35*0.15</f>
        <v>22.2</v>
      </c>
      <c r="T35" s="198">
        <f>G35*0.7</f>
        <v>103.6</v>
      </c>
      <c r="U35" s="198">
        <f>G35:G35*0.15</f>
        <v>22.2</v>
      </c>
      <c r="V35" s="198"/>
      <c r="W35" s="197">
        <f>S35*F35</f>
        <v>133200</v>
      </c>
      <c r="X35" s="197">
        <f>T35*F35</f>
        <v>621600</v>
      </c>
      <c r="Y35" s="197">
        <f>U35*F35</f>
        <v>133200</v>
      </c>
      <c r="Z35" s="197">
        <f>V35*F35</f>
        <v>0</v>
      </c>
      <c r="AA35" s="189">
        <v>0</v>
      </c>
      <c r="AB35" s="188">
        <f>AA35*F35</f>
        <v>0</v>
      </c>
      <c r="AC35" s="189">
        <v>5</v>
      </c>
      <c r="AD35" s="188">
        <f>AC35*F35</f>
        <v>30000</v>
      </c>
      <c r="AE35" s="189">
        <v>10</v>
      </c>
      <c r="AF35" s="188">
        <f>AE35*F35</f>
        <v>60000</v>
      </c>
      <c r="AG35" s="189">
        <v>4</v>
      </c>
      <c r="AH35" s="188">
        <f>AG35*F35</f>
        <v>24000</v>
      </c>
      <c r="AI35" s="189">
        <v>15</v>
      </c>
      <c r="AJ35" s="188">
        <f>AI35*F35</f>
        <v>90000</v>
      </c>
      <c r="AK35" s="189">
        <v>5</v>
      </c>
      <c r="AL35" s="188">
        <f>AK35*F35</f>
        <v>30000</v>
      </c>
      <c r="AM35" s="189">
        <v>10</v>
      </c>
      <c r="AN35" s="188">
        <f>AM35*F35</f>
        <v>60000</v>
      </c>
      <c r="AO35" s="189">
        <v>10</v>
      </c>
      <c r="AP35" s="188">
        <f>AO35*F35</f>
        <v>60000</v>
      </c>
      <c r="AQ35" s="189">
        <v>0</v>
      </c>
      <c r="AR35" s="188">
        <f>AQ35*F35</f>
        <v>0</v>
      </c>
      <c r="AS35" s="189">
        <v>0</v>
      </c>
      <c r="AT35" s="188">
        <f>AS35*F35</f>
        <v>0</v>
      </c>
      <c r="AU35" s="189">
        <v>14</v>
      </c>
      <c r="AV35" s="188">
        <f>AU35*F35</f>
        <v>84000</v>
      </c>
      <c r="AW35" s="189">
        <v>3</v>
      </c>
      <c r="AX35" s="188">
        <f>AW35*F35</f>
        <v>18000</v>
      </c>
      <c r="AY35" s="272">
        <v>0</v>
      </c>
      <c r="AZ35" s="188">
        <f>AY35*F35</f>
        <v>0</v>
      </c>
      <c r="BA35" s="273">
        <v>30</v>
      </c>
      <c r="BB35" s="188">
        <f>BA35*F35</f>
        <v>180000</v>
      </c>
      <c r="BC35" s="189">
        <v>12</v>
      </c>
      <c r="BD35" s="188">
        <f>BC35*F35</f>
        <v>72000</v>
      </c>
      <c r="BE35" s="189">
        <v>10</v>
      </c>
      <c r="BF35" s="188">
        <f>BE35*F35</f>
        <v>60000</v>
      </c>
      <c r="BG35" s="189">
        <v>20</v>
      </c>
      <c r="BH35" s="188">
        <f>BG35*F35</f>
        <v>120000</v>
      </c>
      <c r="BI35" s="189"/>
      <c r="BJ35" s="188">
        <f>BI35*F35</f>
        <v>0</v>
      </c>
      <c r="BK35" s="188">
        <f t="shared" ref="BK35:BL39" si="40">AA35+AC35+AE35+AG35+AI35+AK35+AM35+AO35+AQ35+AS35+AU35+AW35+AY35+BA35+BC35+BE35+BG35+BI35</f>
        <v>148</v>
      </c>
      <c r="BL35" s="188">
        <f t="shared" si="40"/>
        <v>888000</v>
      </c>
      <c r="BM35" s="212" t="s">
        <v>216</v>
      </c>
      <c r="BN35" s="201"/>
      <c r="BO35" s="195"/>
      <c r="BP35" s="190"/>
      <c r="BQ35" s="190">
        <f>H35</f>
        <v>888000</v>
      </c>
      <c r="BR35" s="190"/>
      <c r="BS35" s="190">
        <f t="shared" si="38"/>
        <v>888000</v>
      </c>
      <c r="BT35" s="190"/>
      <c r="BU35" s="190"/>
      <c r="BV35" s="190"/>
      <c r="BW35" s="191">
        <f t="shared" si="39"/>
        <v>888000</v>
      </c>
    </row>
    <row r="36" spans="1:75" s="175" customFormat="1" ht="31.5" x14ac:dyDescent="0.25">
      <c r="A36" s="268"/>
      <c r="B36" s="229"/>
      <c r="C36" s="244" t="s">
        <v>804</v>
      </c>
      <c r="D36" s="274" t="s">
        <v>778</v>
      </c>
      <c r="E36" s="229" t="s">
        <v>75</v>
      </c>
      <c r="F36" s="208">
        <v>9000</v>
      </c>
      <c r="G36" s="197">
        <f>BK36</f>
        <v>205</v>
      </c>
      <c r="H36" s="195">
        <f>G36*F36</f>
        <v>1845000</v>
      </c>
      <c r="I36" s="195">
        <f>H36*0.1</f>
        <v>184500</v>
      </c>
      <c r="J36" s="195">
        <f>H36*0.8</f>
        <v>1476000</v>
      </c>
      <c r="K36" s="195"/>
      <c r="L36" s="195"/>
      <c r="M36" s="195"/>
      <c r="N36" s="195"/>
      <c r="O36" s="195"/>
      <c r="P36" s="195"/>
      <c r="Q36" s="195">
        <f>H36*0.1</f>
        <v>184500</v>
      </c>
      <c r="R36" s="195"/>
      <c r="S36" s="198">
        <f>G36*0.15</f>
        <v>30.75</v>
      </c>
      <c r="T36" s="198">
        <f>G36*0.7</f>
        <v>143.5</v>
      </c>
      <c r="U36" s="198">
        <f>G36:G36*0.15</f>
        <v>30.75</v>
      </c>
      <c r="V36" s="198"/>
      <c r="W36" s="197">
        <f>S36*F36</f>
        <v>276750</v>
      </c>
      <c r="X36" s="197">
        <f>T36*F36</f>
        <v>1291500</v>
      </c>
      <c r="Y36" s="197">
        <f>U36*F36</f>
        <v>276750</v>
      </c>
      <c r="Z36" s="197">
        <f>V36*F36</f>
        <v>0</v>
      </c>
      <c r="AA36" s="189">
        <v>0</v>
      </c>
      <c r="AB36" s="188">
        <f>AA36*F36</f>
        <v>0</v>
      </c>
      <c r="AC36" s="189">
        <v>5</v>
      </c>
      <c r="AD36" s="188">
        <f>AC36*F36</f>
        <v>45000</v>
      </c>
      <c r="AE36" s="189">
        <v>15</v>
      </c>
      <c r="AF36" s="188">
        <f>AE36*F36</f>
        <v>135000</v>
      </c>
      <c r="AG36" s="189">
        <v>10</v>
      </c>
      <c r="AH36" s="188">
        <f>AG36*F36</f>
        <v>90000</v>
      </c>
      <c r="AI36" s="189">
        <v>5</v>
      </c>
      <c r="AJ36" s="188">
        <f>AI36*F36</f>
        <v>45000</v>
      </c>
      <c r="AK36" s="189">
        <v>0</v>
      </c>
      <c r="AL36" s="188">
        <f>AK36*F36</f>
        <v>0</v>
      </c>
      <c r="AM36" s="189">
        <v>10</v>
      </c>
      <c r="AN36" s="188">
        <f>AM36*F36</f>
        <v>90000</v>
      </c>
      <c r="AO36" s="189">
        <v>25</v>
      </c>
      <c r="AP36" s="188">
        <f>AO36*F36</f>
        <v>225000</v>
      </c>
      <c r="AQ36" s="189">
        <v>60</v>
      </c>
      <c r="AR36" s="188">
        <f>AQ36*F36</f>
        <v>540000</v>
      </c>
      <c r="AS36" s="189">
        <v>10</v>
      </c>
      <c r="AT36" s="188">
        <f>AS36*F36</f>
        <v>90000</v>
      </c>
      <c r="AU36" s="189">
        <v>0</v>
      </c>
      <c r="AV36" s="188">
        <f>AU36*F36</f>
        <v>0</v>
      </c>
      <c r="AW36" s="189">
        <v>15</v>
      </c>
      <c r="AX36" s="188">
        <f>AW36*F36</f>
        <v>135000</v>
      </c>
      <c r="AY36" s="272">
        <v>0</v>
      </c>
      <c r="AZ36" s="188">
        <f>AY36*F36</f>
        <v>0</v>
      </c>
      <c r="BA36" s="273">
        <v>20</v>
      </c>
      <c r="BB36" s="188">
        <f>BA36*F36</f>
        <v>180000</v>
      </c>
      <c r="BC36" s="189">
        <v>15</v>
      </c>
      <c r="BD36" s="188">
        <f>BC36*F36</f>
        <v>135000</v>
      </c>
      <c r="BE36" s="189">
        <v>10</v>
      </c>
      <c r="BF36" s="188">
        <f>BE36*F36</f>
        <v>90000</v>
      </c>
      <c r="BG36" s="189">
        <v>5</v>
      </c>
      <c r="BH36" s="188">
        <f>BG36*F36</f>
        <v>45000</v>
      </c>
      <c r="BI36" s="189"/>
      <c r="BJ36" s="188">
        <f>BI36*F36</f>
        <v>0</v>
      </c>
      <c r="BK36" s="188">
        <f t="shared" si="40"/>
        <v>205</v>
      </c>
      <c r="BL36" s="188">
        <f t="shared" si="40"/>
        <v>1845000</v>
      </c>
      <c r="BM36" s="275" t="s">
        <v>216</v>
      </c>
      <c r="BN36" s="174"/>
      <c r="BO36" s="195"/>
      <c r="BP36" s="276"/>
      <c r="BQ36" s="276">
        <f>H36</f>
        <v>1845000</v>
      </c>
      <c r="BR36" s="276"/>
      <c r="BS36" s="276">
        <f t="shared" si="38"/>
        <v>1845000</v>
      </c>
      <c r="BT36" s="276"/>
      <c r="BU36" s="276"/>
      <c r="BV36" s="276"/>
      <c r="BW36" s="277">
        <f t="shared" si="39"/>
        <v>1845000</v>
      </c>
    </row>
    <row r="37" spans="1:75" s="175" customFormat="1" x14ac:dyDescent="0.25">
      <c r="A37" s="268"/>
      <c r="B37" s="229"/>
      <c r="C37" s="244" t="s">
        <v>805</v>
      </c>
      <c r="D37" s="274" t="s">
        <v>630</v>
      </c>
      <c r="E37" s="229" t="s">
        <v>75</v>
      </c>
      <c r="F37" s="208">
        <v>9000</v>
      </c>
      <c r="G37" s="194">
        <f>BK37</f>
        <v>7</v>
      </c>
      <c r="H37" s="195">
        <f>G37*F37</f>
        <v>63000</v>
      </c>
      <c r="I37" s="195">
        <f>H37*0.1</f>
        <v>6300</v>
      </c>
      <c r="J37" s="195">
        <f>H37*0.8</f>
        <v>50400</v>
      </c>
      <c r="K37" s="195"/>
      <c r="L37" s="195"/>
      <c r="M37" s="195"/>
      <c r="N37" s="195"/>
      <c r="O37" s="195"/>
      <c r="P37" s="195"/>
      <c r="Q37" s="195">
        <f>H37*0.1</f>
        <v>6300</v>
      </c>
      <c r="R37" s="195"/>
      <c r="S37" s="198">
        <f>G37*0.15</f>
        <v>1.05</v>
      </c>
      <c r="T37" s="198">
        <f>G37*0.7</f>
        <v>4.8999999999999995</v>
      </c>
      <c r="U37" s="198">
        <f>G37:G37*0.15</f>
        <v>1.05</v>
      </c>
      <c r="V37" s="198"/>
      <c r="W37" s="197">
        <f>S37*F37</f>
        <v>9450</v>
      </c>
      <c r="X37" s="197">
        <f>T37*F37</f>
        <v>44099.999999999993</v>
      </c>
      <c r="Y37" s="197">
        <f>U37*F37</f>
        <v>9450</v>
      </c>
      <c r="Z37" s="197">
        <f>V37*F37</f>
        <v>0</v>
      </c>
      <c r="AA37" s="189">
        <v>0</v>
      </c>
      <c r="AB37" s="188"/>
      <c r="AC37" s="189">
        <v>0</v>
      </c>
      <c r="AD37" s="188"/>
      <c r="AE37" s="189">
        <v>0</v>
      </c>
      <c r="AF37" s="188"/>
      <c r="AG37" s="189">
        <v>0</v>
      </c>
      <c r="AH37" s="188"/>
      <c r="AI37" s="189">
        <v>0</v>
      </c>
      <c r="AJ37" s="188"/>
      <c r="AK37" s="189">
        <v>0</v>
      </c>
      <c r="AL37" s="188"/>
      <c r="AM37" s="189"/>
      <c r="AN37" s="188"/>
      <c r="AO37" s="189"/>
      <c r="AP37" s="188"/>
      <c r="AQ37" s="189"/>
      <c r="AR37" s="188"/>
      <c r="AS37" s="189"/>
      <c r="AT37" s="188"/>
      <c r="AU37" s="189"/>
      <c r="AV37" s="188"/>
      <c r="AW37" s="189">
        <v>5</v>
      </c>
      <c r="AX37" s="188">
        <f>AW37*F37</f>
        <v>45000</v>
      </c>
      <c r="AY37" s="272"/>
      <c r="AZ37" s="188"/>
      <c r="BA37" s="273">
        <v>0</v>
      </c>
      <c r="BB37" s="188"/>
      <c r="BC37" s="189">
        <v>0</v>
      </c>
      <c r="BD37" s="188"/>
      <c r="BE37" s="189">
        <v>0</v>
      </c>
      <c r="BF37" s="188"/>
      <c r="BG37" s="189">
        <v>2</v>
      </c>
      <c r="BH37" s="188">
        <f>BG37*F37</f>
        <v>18000</v>
      </c>
      <c r="BI37" s="189"/>
      <c r="BJ37" s="188"/>
      <c r="BK37" s="188">
        <f>AA37+AC37+AE37+AG37+AI37+AK37+AM37+AO37+AQ37+AS37+AU37+AW37+AY37+BA37+BC37+BE37+BG37+BI37</f>
        <v>7</v>
      </c>
      <c r="BL37" s="188">
        <f>AB37+AD37+AF37+AH37+AJ37+AL37+AN37+AP37+AR37+AT37+AV37+AX37+AZ37+BB37+BD37+BF37+BH37+BJ37</f>
        <v>63000</v>
      </c>
      <c r="BM37" s="275" t="s">
        <v>216</v>
      </c>
      <c r="BN37" s="174"/>
      <c r="BO37" s="195"/>
      <c r="BP37" s="276"/>
      <c r="BQ37" s="276">
        <f>H37</f>
        <v>63000</v>
      </c>
      <c r="BR37" s="276"/>
      <c r="BS37" s="276">
        <f t="shared" si="38"/>
        <v>63000</v>
      </c>
      <c r="BT37" s="276"/>
      <c r="BU37" s="276"/>
      <c r="BV37" s="276"/>
      <c r="BW37" s="277">
        <f t="shared" si="39"/>
        <v>63000</v>
      </c>
    </row>
    <row r="38" spans="1:75" s="175" customFormat="1" ht="27.75" customHeight="1" x14ac:dyDescent="0.25">
      <c r="A38" s="268"/>
      <c r="B38" s="229"/>
      <c r="C38" s="244" t="s">
        <v>806</v>
      </c>
      <c r="D38" s="274" t="s">
        <v>777</v>
      </c>
      <c r="E38" s="229" t="s">
        <v>75</v>
      </c>
      <c r="F38" s="208">
        <v>600</v>
      </c>
      <c r="G38" s="194">
        <f>BK38</f>
        <v>980</v>
      </c>
      <c r="H38" s="194">
        <f>BL38</f>
        <v>588000</v>
      </c>
      <c r="I38" s="195">
        <f>H38*0.1</f>
        <v>58800</v>
      </c>
      <c r="J38" s="195">
        <f>H38*0.8</f>
        <v>470400</v>
      </c>
      <c r="K38" s="195"/>
      <c r="L38" s="195"/>
      <c r="M38" s="195"/>
      <c r="N38" s="195"/>
      <c r="O38" s="195"/>
      <c r="P38" s="195"/>
      <c r="Q38" s="195">
        <f>H38*0.1</f>
        <v>58800</v>
      </c>
      <c r="R38" s="195"/>
      <c r="S38" s="198">
        <f>G38*0.15</f>
        <v>147</v>
      </c>
      <c r="T38" s="198">
        <f>G38*0.7</f>
        <v>686</v>
      </c>
      <c r="U38" s="198">
        <f>G38:G38*0.15</f>
        <v>147</v>
      </c>
      <c r="V38" s="198"/>
      <c r="W38" s="197">
        <f>S38*F38</f>
        <v>88200</v>
      </c>
      <c r="X38" s="197">
        <f>T38*F38</f>
        <v>411600</v>
      </c>
      <c r="Y38" s="197">
        <f>U38*F38</f>
        <v>88200</v>
      </c>
      <c r="Z38" s="197">
        <f>V38*F38</f>
        <v>0</v>
      </c>
      <c r="AA38" s="189">
        <v>100</v>
      </c>
      <c r="AB38" s="188">
        <f>AA38*F38</f>
        <v>60000</v>
      </c>
      <c r="AC38" s="189">
        <v>115</v>
      </c>
      <c r="AD38" s="188">
        <f>AC38*F38</f>
        <v>69000</v>
      </c>
      <c r="AE38" s="189">
        <v>120</v>
      </c>
      <c r="AF38" s="188">
        <f>AE38*F38</f>
        <v>72000</v>
      </c>
      <c r="AG38" s="189">
        <v>0</v>
      </c>
      <c r="AH38" s="188">
        <f>AG38*F38</f>
        <v>0</v>
      </c>
      <c r="AI38" s="189">
        <v>30</v>
      </c>
      <c r="AJ38" s="188">
        <f>AI38*F38</f>
        <v>18000</v>
      </c>
      <c r="AK38" s="189">
        <v>50</v>
      </c>
      <c r="AL38" s="188">
        <f>AK38*F38</f>
        <v>30000</v>
      </c>
      <c r="AM38" s="189">
        <v>100</v>
      </c>
      <c r="AN38" s="188">
        <f>AM38*F38</f>
        <v>60000</v>
      </c>
      <c r="AO38" s="189">
        <v>0</v>
      </c>
      <c r="AP38" s="188">
        <f>AO38*F38</f>
        <v>0</v>
      </c>
      <c r="AQ38" s="189">
        <v>10</v>
      </c>
      <c r="AR38" s="188">
        <f>AQ38*F38</f>
        <v>6000</v>
      </c>
      <c r="AS38" s="189">
        <v>100</v>
      </c>
      <c r="AT38" s="188">
        <v>60000</v>
      </c>
      <c r="AU38" s="189">
        <v>0</v>
      </c>
      <c r="AV38" s="188">
        <f>AU38*F38</f>
        <v>0</v>
      </c>
      <c r="AW38" s="189">
        <v>25</v>
      </c>
      <c r="AX38" s="188">
        <f>AW38*F38</f>
        <v>15000</v>
      </c>
      <c r="AY38" s="272">
        <v>0</v>
      </c>
      <c r="AZ38" s="188">
        <f>AY38*F38</f>
        <v>0</v>
      </c>
      <c r="BA38" s="273">
        <v>200</v>
      </c>
      <c r="BB38" s="188">
        <f>BA38*F38</f>
        <v>120000</v>
      </c>
      <c r="BC38" s="189">
        <v>100</v>
      </c>
      <c r="BD38" s="188">
        <f>BC38*F38</f>
        <v>60000</v>
      </c>
      <c r="BE38" s="189">
        <v>30</v>
      </c>
      <c r="BF38" s="188">
        <f>BE38*F38</f>
        <v>18000</v>
      </c>
      <c r="BG38" s="189">
        <v>0</v>
      </c>
      <c r="BH38" s="188">
        <f>BG38*F38</f>
        <v>0</v>
      </c>
      <c r="BI38" s="189"/>
      <c r="BJ38" s="188">
        <f>BI38*F38</f>
        <v>0</v>
      </c>
      <c r="BK38" s="188">
        <f t="shared" si="40"/>
        <v>980</v>
      </c>
      <c r="BL38" s="188">
        <f t="shared" si="40"/>
        <v>588000</v>
      </c>
      <c r="BM38" s="275" t="s">
        <v>216</v>
      </c>
      <c r="BN38" s="174"/>
      <c r="BO38" s="195"/>
      <c r="BP38" s="276"/>
      <c r="BQ38" s="276">
        <f>H38</f>
        <v>588000</v>
      </c>
      <c r="BR38" s="276"/>
      <c r="BS38" s="276">
        <f t="shared" si="38"/>
        <v>588000</v>
      </c>
      <c r="BT38" s="276"/>
      <c r="BU38" s="276"/>
      <c r="BV38" s="276"/>
      <c r="BW38" s="277">
        <f t="shared" si="39"/>
        <v>588000</v>
      </c>
    </row>
    <row r="39" spans="1:75" s="175" customFormat="1" ht="33.6" customHeight="1" x14ac:dyDescent="0.25">
      <c r="A39" s="268"/>
      <c r="B39" s="229"/>
      <c r="C39" s="244" t="s">
        <v>807</v>
      </c>
      <c r="D39" s="274" t="s">
        <v>779</v>
      </c>
      <c r="E39" s="229" t="s">
        <v>75</v>
      </c>
      <c r="F39" s="208">
        <v>9000</v>
      </c>
      <c r="G39" s="194">
        <f>BK39</f>
        <v>9</v>
      </c>
      <c r="H39" s="194">
        <f>BL39</f>
        <v>126000</v>
      </c>
      <c r="I39" s="195">
        <f>H39*0.1</f>
        <v>12600</v>
      </c>
      <c r="J39" s="195">
        <f>H39*0.8</f>
        <v>100800</v>
      </c>
      <c r="K39" s="195"/>
      <c r="L39" s="195"/>
      <c r="M39" s="195"/>
      <c r="N39" s="195"/>
      <c r="O39" s="195"/>
      <c r="P39" s="195"/>
      <c r="Q39" s="195">
        <f>H39*0.1</f>
        <v>12600</v>
      </c>
      <c r="R39" s="195"/>
      <c r="S39" s="198">
        <f>G39*0.15</f>
        <v>1.3499999999999999</v>
      </c>
      <c r="T39" s="198">
        <f>G39*0.7</f>
        <v>6.3</v>
      </c>
      <c r="U39" s="198">
        <f>G39:G39*0.15</f>
        <v>1.3499999999999999</v>
      </c>
      <c r="V39" s="198"/>
      <c r="W39" s="197">
        <f>S39*F39</f>
        <v>12149.999999999998</v>
      </c>
      <c r="X39" s="197">
        <f>T39*F39</f>
        <v>56700</v>
      </c>
      <c r="Y39" s="197">
        <f>U39*F39</f>
        <v>12149.999999999998</v>
      </c>
      <c r="Z39" s="197">
        <f>V39*F39</f>
        <v>0</v>
      </c>
      <c r="AA39" s="189">
        <v>0</v>
      </c>
      <c r="AB39" s="188">
        <f>AA39*F39</f>
        <v>0</v>
      </c>
      <c r="AC39" s="189">
        <v>0</v>
      </c>
      <c r="AD39" s="188">
        <f>AC39*F39</f>
        <v>0</v>
      </c>
      <c r="AE39" s="189">
        <v>2</v>
      </c>
      <c r="AF39" s="188">
        <f>AE39*F39</f>
        <v>18000</v>
      </c>
      <c r="AG39" s="189">
        <v>0</v>
      </c>
      <c r="AH39" s="188">
        <f>AG39*F39</f>
        <v>0</v>
      </c>
      <c r="AI39" s="189">
        <v>0</v>
      </c>
      <c r="AJ39" s="188">
        <f>AI39*F39</f>
        <v>0</v>
      </c>
      <c r="AK39" s="189">
        <v>0</v>
      </c>
      <c r="AL39" s="188">
        <f>AK39*F39</f>
        <v>0</v>
      </c>
      <c r="AM39" s="189">
        <v>0</v>
      </c>
      <c r="AN39" s="188">
        <f>AM39*F39</f>
        <v>0</v>
      </c>
      <c r="AO39" s="189">
        <v>5</v>
      </c>
      <c r="AP39" s="188">
        <f>AO39*F39</f>
        <v>45000</v>
      </c>
      <c r="AQ39" s="189">
        <v>2</v>
      </c>
      <c r="AR39" s="188">
        <f>AQ39*F39</f>
        <v>18000</v>
      </c>
      <c r="AS39" s="189">
        <v>0</v>
      </c>
      <c r="AT39" s="188">
        <f>(AS39*F39)+45000</f>
        <v>45000</v>
      </c>
      <c r="AU39" s="189">
        <v>0</v>
      </c>
      <c r="AV39" s="188">
        <f>AU39*F39</f>
        <v>0</v>
      </c>
      <c r="AW39" s="189">
        <v>0</v>
      </c>
      <c r="AX39" s="188">
        <f>AW39*F39</f>
        <v>0</v>
      </c>
      <c r="AY39" s="272">
        <v>0</v>
      </c>
      <c r="AZ39" s="188">
        <f>AY39*F39</f>
        <v>0</v>
      </c>
      <c r="BA39" s="273">
        <v>0</v>
      </c>
      <c r="BB39" s="188">
        <f>BA39*F39</f>
        <v>0</v>
      </c>
      <c r="BC39" s="189">
        <v>0</v>
      </c>
      <c r="BD39" s="188">
        <f>BC39*F39</f>
        <v>0</v>
      </c>
      <c r="BE39" s="189">
        <v>0</v>
      </c>
      <c r="BF39" s="188">
        <f>BE39*F39</f>
        <v>0</v>
      </c>
      <c r="BG39" s="189">
        <v>0</v>
      </c>
      <c r="BH39" s="188">
        <f>BG39*F39</f>
        <v>0</v>
      </c>
      <c r="BI39" s="189"/>
      <c r="BJ39" s="188">
        <f>BI39*F39</f>
        <v>0</v>
      </c>
      <c r="BK39" s="188">
        <f t="shared" si="40"/>
        <v>9</v>
      </c>
      <c r="BL39" s="188">
        <f t="shared" si="40"/>
        <v>126000</v>
      </c>
      <c r="BM39" s="275" t="s">
        <v>216</v>
      </c>
      <c r="BN39" s="174"/>
      <c r="BO39" s="195"/>
      <c r="BP39" s="276"/>
      <c r="BQ39" s="276">
        <f>H39</f>
        <v>126000</v>
      </c>
      <c r="BR39" s="276"/>
      <c r="BS39" s="276">
        <f t="shared" si="38"/>
        <v>126000</v>
      </c>
      <c r="BT39" s="276"/>
      <c r="BU39" s="276"/>
      <c r="BV39" s="276"/>
      <c r="BW39" s="277">
        <f t="shared" si="39"/>
        <v>126000</v>
      </c>
    </row>
    <row r="40" spans="1:75" s="180" customFormat="1" ht="18" customHeight="1" x14ac:dyDescent="0.25">
      <c r="A40" s="278"/>
      <c r="B40" s="207"/>
      <c r="C40" s="562"/>
      <c r="D40" s="209" t="s">
        <v>3</v>
      </c>
      <c r="E40" s="559"/>
      <c r="F40" s="210"/>
      <c r="G40" s="184">
        <f>SUM(G35:G39)</f>
        <v>1349</v>
      </c>
      <c r="H40" s="184">
        <f>SUM(H35:H39)</f>
        <v>3510000</v>
      </c>
      <c r="I40" s="184">
        <f t="shared" ref="I40:BL40" si="41">SUM(I35:I39)</f>
        <v>351000</v>
      </c>
      <c r="J40" s="184">
        <f t="shared" si="41"/>
        <v>2808000</v>
      </c>
      <c r="K40" s="184">
        <f t="shared" si="41"/>
        <v>0</v>
      </c>
      <c r="L40" s="184">
        <f t="shared" si="41"/>
        <v>0</v>
      </c>
      <c r="M40" s="184">
        <f t="shared" si="41"/>
        <v>0</v>
      </c>
      <c r="N40" s="184">
        <f t="shared" si="41"/>
        <v>0</v>
      </c>
      <c r="O40" s="184">
        <f t="shared" si="41"/>
        <v>0</v>
      </c>
      <c r="P40" s="184">
        <f t="shared" si="41"/>
        <v>0</v>
      </c>
      <c r="Q40" s="184">
        <f t="shared" si="41"/>
        <v>351000</v>
      </c>
      <c r="R40" s="184">
        <f t="shared" si="41"/>
        <v>0</v>
      </c>
      <c r="S40" s="184">
        <f t="shared" si="41"/>
        <v>202.35</v>
      </c>
      <c r="T40" s="184">
        <f t="shared" si="41"/>
        <v>944.3</v>
      </c>
      <c r="U40" s="184">
        <f t="shared" si="41"/>
        <v>202.35</v>
      </c>
      <c r="V40" s="184">
        <f t="shared" si="41"/>
        <v>0</v>
      </c>
      <c r="W40" s="184">
        <f t="shared" si="41"/>
        <v>519750</v>
      </c>
      <c r="X40" s="184">
        <f t="shared" si="41"/>
        <v>2425500</v>
      </c>
      <c r="Y40" s="184">
        <f t="shared" si="41"/>
        <v>519750</v>
      </c>
      <c r="Z40" s="184">
        <f t="shared" si="41"/>
        <v>0</v>
      </c>
      <c r="AA40" s="184">
        <f t="shared" si="41"/>
        <v>100</v>
      </c>
      <c r="AB40" s="184">
        <f t="shared" si="41"/>
        <v>60000</v>
      </c>
      <c r="AC40" s="184">
        <f t="shared" si="41"/>
        <v>125</v>
      </c>
      <c r="AD40" s="184">
        <f t="shared" si="41"/>
        <v>144000</v>
      </c>
      <c r="AE40" s="184">
        <f t="shared" si="41"/>
        <v>147</v>
      </c>
      <c r="AF40" s="184">
        <f t="shared" si="41"/>
        <v>285000</v>
      </c>
      <c r="AG40" s="184">
        <f t="shared" si="41"/>
        <v>14</v>
      </c>
      <c r="AH40" s="184">
        <f t="shared" si="41"/>
        <v>114000</v>
      </c>
      <c r="AI40" s="184">
        <f t="shared" si="41"/>
        <v>50</v>
      </c>
      <c r="AJ40" s="184">
        <f t="shared" si="41"/>
        <v>153000</v>
      </c>
      <c r="AK40" s="184">
        <f t="shared" si="41"/>
        <v>55</v>
      </c>
      <c r="AL40" s="184">
        <f t="shared" si="41"/>
        <v>60000</v>
      </c>
      <c r="AM40" s="184">
        <f t="shared" si="41"/>
        <v>120</v>
      </c>
      <c r="AN40" s="184">
        <f t="shared" si="41"/>
        <v>210000</v>
      </c>
      <c r="AO40" s="184">
        <f t="shared" si="41"/>
        <v>40</v>
      </c>
      <c r="AP40" s="184">
        <f t="shared" si="41"/>
        <v>330000</v>
      </c>
      <c r="AQ40" s="184">
        <f t="shared" si="41"/>
        <v>72</v>
      </c>
      <c r="AR40" s="184">
        <f t="shared" si="41"/>
        <v>564000</v>
      </c>
      <c r="AS40" s="184">
        <f t="shared" si="41"/>
        <v>110</v>
      </c>
      <c r="AT40" s="184">
        <f t="shared" si="41"/>
        <v>195000</v>
      </c>
      <c r="AU40" s="184">
        <f t="shared" si="41"/>
        <v>14</v>
      </c>
      <c r="AV40" s="184">
        <f t="shared" si="41"/>
        <v>84000</v>
      </c>
      <c r="AW40" s="184">
        <f t="shared" si="41"/>
        <v>48</v>
      </c>
      <c r="AX40" s="184">
        <f t="shared" si="41"/>
        <v>213000</v>
      </c>
      <c r="AY40" s="279">
        <f t="shared" si="41"/>
        <v>0</v>
      </c>
      <c r="AZ40" s="184">
        <f t="shared" si="41"/>
        <v>0</v>
      </c>
      <c r="BA40" s="279">
        <f t="shared" si="41"/>
        <v>250</v>
      </c>
      <c r="BB40" s="184">
        <f t="shared" si="41"/>
        <v>480000</v>
      </c>
      <c r="BC40" s="184">
        <f t="shared" si="41"/>
        <v>127</v>
      </c>
      <c r="BD40" s="184">
        <f t="shared" si="41"/>
        <v>267000</v>
      </c>
      <c r="BE40" s="184">
        <f t="shared" si="41"/>
        <v>50</v>
      </c>
      <c r="BF40" s="184">
        <f t="shared" si="41"/>
        <v>168000</v>
      </c>
      <c r="BG40" s="184">
        <f t="shared" si="41"/>
        <v>27</v>
      </c>
      <c r="BH40" s="184">
        <f t="shared" si="41"/>
        <v>183000</v>
      </c>
      <c r="BI40" s="184">
        <f t="shared" si="41"/>
        <v>0</v>
      </c>
      <c r="BJ40" s="184">
        <f t="shared" si="41"/>
        <v>0</v>
      </c>
      <c r="BK40" s="184">
        <f t="shared" si="41"/>
        <v>1349</v>
      </c>
      <c r="BL40" s="184">
        <f t="shared" si="41"/>
        <v>3510000</v>
      </c>
      <c r="BM40" s="280">
        <f t="shared" ref="BM40:BW40" si="42">SUM(BM35:BM39)</f>
        <v>0</v>
      </c>
      <c r="BN40" s="280">
        <f t="shared" si="42"/>
        <v>0</v>
      </c>
      <c r="BO40" s="280">
        <f t="shared" si="42"/>
        <v>0</v>
      </c>
      <c r="BP40" s="280">
        <f t="shared" si="42"/>
        <v>0</v>
      </c>
      <c r="BQ40" s="280">
        <f t="shared" si="42"/>
        <v>3510000</v>
      </c>
      <c r="BR40" s="280">
        <f t="shared" si="42"/>
        <v>0</v>
      </c>
      <c r="BS40" s="280">
        <f t="shared" si="42"/>
        <v>3510000</v>
      </c>
      <c r="BT40" s="280">
        <f t="shared" si="42"/>
        <v>0</v>
      </c>
      <c r="BU40" s="280">
        <f t="shared" si="42"/>
        <v>0</v>
      </c>
      <c r="BV40" s="280">
        <f t="shared" si="42"/>
        <v>0</v>
      </c>
      <c r="BW40" s="280">
        <f t="shared" si="42"/>
        <v>3510000</v>
      </c>
    </row>
    <row r="41" spans="1:75" s="237" customFormat="1" ht="39.75" customHeight="1" x14ac:dyDescent="0.25">
      <c r="A41" s="271"/>
      <c r="B41" s="169">
        <v>21350</v>
      </c>
      <c r="C41" s="181"/>
      <c r="D41" s="558" t="s">
        <v>672</v>
      </c>
      <c r="E41" s="229"/>
      <c r="F41" s="208"/>
      <c r="G41" s="194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230"/>
      <c r="T41" s="230"/>
      <c r="U41" s="230"/>
      <c r="V41" s="230"/>
      <c r="W41" s="231"/>
      <c r="X41" s="231"/>
      <c r="Y41" s="231"/>
      <c r="Z41" s="231"/>
      <c r="AA41" s="230"/>
      <c r="AB41" s="188"/>
      <c r="AC41" s="230"/>
      <c r="AD41" s="188"/>
      <c r="AE41" s="230"/>
      <c r="AF41" s="188"/>
      <c r="AG41" s="230"/>
      <c r="AH41" s="188"/>
      <c r="AI41" s="230"/>
      <c r="AJ41" s="188"/>
      <c r="AK41" s="230"/>
      <c r="AL41" s="188"/>
      <c r="AM41" s="230"/>
      <c r="AN41" s="188"/>
      <c r="AO41" s="230"/>
      <c r="AP41" s="188"/>
      <c r="AQ41" s="230"/>
      <c r="AR41" s="188"/>
      <c r="AS41" s="230"/>
      <c r="AT41" s="188"/>
      <c r="AU41" s="230"/>
      <c r="AV41" s="188"/>
      <c r="AW41" s="230"/>
      <c r="AX41" s="188"/>
      <c r="AY41" s="233"/>
      <c r="AZ41" s="188"/>
      <c r="BA41" s="281"/>
      <c r="BB41" s="188"/>
      <c r="BC41" s="230"/>
      <c r="BD41" s="188"/>
      <c r="BE41" s="230"/>
      <c r="BF41" s="188"/>
      <c r="BG41" s="230"/>
      <c r="BH41" s="188"/>
      <c r="BI41" s="230"/>
      <c r="BJ41" s="188"/>
      <c r="BK41" s="189"/>
      <c r="BL41" s="188"/>
      <c r="BM41" s="282"/>
      <c r="BN41" s="201"/>
      <c r="BO41" s="195">
        <f>H41</f>
        <v>0</v>
      </c>
      <c r="BP41" s="283"/>
      <c r="BQ41" s="283"/>
      <c r="BR41" s="283"/>
      <c r="BS41" s="190">
        <f t="shared" ref="BS41:BS53" si="43">BO41+BP41+BQ41+BR41</f>
        <v>0</v>
      </c>
      <c r="BT41" s="283"/>
      <c r="BU41" s="283"/>
      <c r="BV41" s="190">
        <f>BT41+BU41</f>
        <v>0</v>
      </c>
      <c r="BW41" s="191">
        <f>BS41+BV41</f>
        <v>0</v>
      </c>
    </row>
    <row r="42" spans="1:75" s="237" customFormat="1" ht="24.75" customHeight="1" x14ac:dyDescent="0.25">
      <c r="A42" s="271"/>
      <c r="B42" s="169"/>
      <c r="C42" s="244" t="s">
        <v>808</v>
      </c>
      <c r="D42" s="274" t="s">
        <v>963</v>
      </c>
      <c r="E42" s="229" t="s">
        <v>75</v>
      </c>
      <c r="F42" s="208">
        <v>3000</v>
      </c>
      <c r="G42" s="194">
        <f>BK42</f>
        <v>89</v>
      </c>
      <c r="H42" s="195">
        <f>BL42</f>
        <v>267000</v>
      </c>
      <c r="I42" s="195">
        <f t="shared" ref="I42:I63" si="44">H42*0.1</f>
        <v>26700</v>
      </c>
      <c r="J42" s="195">
        <f t="shared" ref="J42:J63" si="45">H42*0.8</f>
        <v>213600</v>
      </c>
      <c r="K42" s="195"/>
      <c r="L42" s="195"/>
      <c r="M42" s="195"/>
      <c r="N42" s="195"/>
      <c r="O42" s="195"/>
      <c r="P42" s="195"/>
      <c r="Q42" s="195">
        <f t="shared" ref="Q42:Q63" si="46">H42*0.1</f>
        <v>26700</v>
      </c>
      <c r="R42" s="195"/>
      <c r="S42" s="198">
        <f>G42*0.15</f>
        <v>13.35</v>
      </c>
      <c r="T42" s="198">
        <f>G42*0.7</f>
        <v>62.3</v>
      </c>
      <c r="U42" s="198">
        <f>G42:G42*0.15</f>
        <v>13.35</v>
      </c>
      <c r="V42" s="230"/>
      <c r="W42" s="197">
        <f t="shared" ref="W42:W63" si="47">S42*F42</f>
        <v>40050</v>
      </c>
      <c r="X42" s="197">
        <f t="shared" ref="X42:X63" si="48">T42*F42</f>
        <v>186900</v>
      </c>
      <c r="Y42" s="197">
        <f t="shared" ref="Y42:Y63" si="49">U42*F42</f>
        <v>40050</v>
      </c>
      <c r="Z42" s="197">
        <f t="shared" ref="Z42:Z63" si="50">V42*F42</f>
        <v>0</v>
      </c>
      <c r="AA42" s="284">
        <v>15</v>
      </c>
      <c r="AB42" s="188">
        <f t="shared" ref="AB42:AB63" si="51">AA42*F42</f>
        <v>45000</v>
      </c>
      <c r="AC42" s="230">
        <v>2</v>
      </c>
      <c r="AD42" s="188">
        <f t="shared" ref="AD42:AD50" si="52">AC42*F42</f>
        <v>6000</v>
      </c>
      <c r="AE42" s="230">
        <v>15</v>
      </c>
      <c r="AF42" s="188">
        <f t="shared" ref="AF42:AF63" si="53">AE42*F42</f>
        <v>45000</v>
      </c>
      <c r="AG42" s="230">
        <v>0</v>
      </c>
      <c r="AH42" s="188">
        <f t="shared" ref="AH42:AH63" si="54">AG42*F42</f>
        <v>0</v>
      </c>
      <c r="AI42" s="230">
        <v>0</v>
      </c>
      <c r="AJ42" s="188">
        <f t="shared" ref="AJ42:AJ63" si="55">AI42*F42</f>
        <v>0</v>
      </c>
      <c r="AK42" s="230">
        <v>2</v>
      </c>
      <c r="AL42" s="188">
        <f t="shared" ref="AL42:AL63" si="56">AK42*F42</f>
        <v>6000</v>
      </c>
      <c r="AM42" s="230">
        <v>0</v>
      </c>
      <c r="AN42" s="188">
        <v>0</v>
      </c>
      <c r="AO42" s="230">
        <v>0</v>
      </c>
      <c r="AP42" s="188">
        <f>AO42*F42</f>
        <v>0</v>
      </c>
      <c r="AQ42" s="230">
        <v>0</v>
      </c>
      <c r="AR42" s="188">
        <f t="shared" ref="AR42:AR56" si="57">AQ42*F42</f>
        <v>0</v>
      </c>
      <c r="AS42" s="230">
        <v>0</v>
      </c>
      <c r="AT42" s="188">
        <f>AS42*F42</f>
        <v>0</v>
      </c>
      <c r="AU42" s="230">
        <v>0</v>
      </c>
      <c r="AV42" s="188">
        <f t="shared" ref="AV42:AV63" si="58">AU42*F42</f>
        <v>0</v>
      </c>
      <c r="AW42" s="281">
        <v>15</v>
      </c>
      <c r="AX42" s="188">
        <f t="shared" ref="AX42:AX56" si="59">AW42*F42</f>
        <v>45000</v>
      </c>
      <c r="AY42" s="233">
        <v>0</v>
      </c>
      <c r="AZ42" s="188">
        <f>AY42*F42</f>
        <v>0</v>
      </c>
      <c r="BA42" s="281">
        <v>10</v>
      </c>
      <c r="BB42" s="188">
        <f t="shared" ref="BB42:BB63" si="60">BA42*F42</f>
        <v>30000</v>
      </c>
      <c r="BC42" s="285">
        <v>0</v>
      </c>
      <c r="BD42" s="188">
        <f t="shared" ref="BD42:BD63" si="61">BC42*F42</f>
        <v>0</v>
      </c>
      <c r="BE42" s="230">
        <v>15</v>
      </c>
      <c r="BF42" s="188">
        <f t="shared" ref="BF42:BF63" si="62">BE42*F42</f>
        <v>45000</v>
      </c>
      <c r="BG42" s="230">
        <v>15</v>
      </c>
      <c r="BH42" s="188">
        <f t="shared" ref="BH42:BH63" si="63">BG42*F42</f>
        <v>45000</v>
      </c>
      <c r="BI42" s="230"/>
      <c r="BJ42" s="188">
        <f t="shared" ref="BJ42:BJ63" si="64">BI42*F42</f>
        <v>0</v>
      </c>
      <c r="BK42" s="188">
        <f t="shared" ref="BK42:BK63" si="65">AA42+AC42+AE42+AG42+AI42+AK42+AM42+AO42+AQ42+AS42+AU42+AW42+AY42+BA42+BC42+BE42+BG42+BI42</f>
        <v>89</v>
      </c>
      <c r="BL42" s="188">
        <f t="shared" ref="BL42:BL63" si="66">AB42+AD42+AF42+AH42+AJ42+AL42+AN42+AP42+AR42+AT42+AV42+AX42+AZ42+BB42+BD42+BF42+BH42+BJ42</f>
        <v>267000</v>
      </c>
      <c r="BM42" s="212" t="s">
        <v>216</v>
      </c>
      <c r="BN42" s="201"/>
      <c r="BO42" s="195"/>
      <c r="BP42" s="283"/>
      <c r="BQ42" s="225">
        <f t="shared" ref="BQ42:BQ53" si="67">H42</f>
        <v>267000</v>
      </c>
      <c r="BR42" s="283"/>
      <c r="BS42" s="190">
        <f t="shared" si="43"/>
        <v>267000</v>
      </c>
      <c r="BT42" s="283"/>
      <c r="BU42" s="283"/>
      <c r="BV42" s="190"/>
      <c r="BW42" s="191">
        <f t="shared" ref="BW42:BW53" si="68">BS42+BT42+BU42+BV42</f>
        <v>267000</v>
      </c>
    </row>
    <row r="43" spans="1:75" s="237" customFormat="1" ht="18" customHeight="1" x14ac:dyDescent="0.25">
      <c r="A43" s="271"/>
      <c r="B43" s="169"/>
      <c r="C43" s="244" t="s">
        <v>809</v>
      </c>
      <c r="D43" s="274" t="s">
        <v>780</v>
      </c>
      <c r="E43" s="229" t="s">
        <v>75</v>
      </c>
      <c r="F43" s="208">
        <v>3000</v>
      </c>
      <c r="G43" s="194">
        <f t="shared" ref="G43:G63" si="69">BK43</f>
        <v>125</v>
      </c>
      <c r="H43" s="195">
        <f>G43*F43</f>
        <v>375000</v>
      </c>
      <c r="I43" s="195">
        <f t="shared" si="44"/>
        <v>37500</v>
      </c>
      <c r="J43" s="195">
        <f t="shared" si="45"/>
        <v>300000</v>
      </c>
      <c r="K43" s="195"/>
      <c r="L43" s="195"/>
      <c r="M43" s="195"/>
      <c r="N43" s="195"/>
      <c r="O43" s="195"/>
      <c r="P43" s="195"/>
      <c r="Q43" s="195">
        <f t="shared" si="46"/>
        <v>37500</v>
      </c>
      <c r="R43" s="195"/>
      <c r="S43" s="230"/>
      <c r="T43" s="230">
        <f>G43*0.2</f>
        <v>25</v>
      </c>
      <c r="U43" s="230">
        <f>G43*0.8</f>
        <v>100</v>
      </c>
      <c r="V43" s="230"/>
      <c r="W43" s="197">
        <f t="shared" si="47"/>
        <v>0</v>
      </c>
      <c r="X43" s="197">
        <f t="shared" si="48"/>
        <v>75000</v>
      </c>
      <c r="Y43" s="197">
        <f t="shared" si="49"/>
        <v>300000</v>
      </c>
      <c r="Z43" s="197">
        <f t="shared" si="50"/>
        <v>0</v>
      </c>
      <c r="AA43" s="284">
        <v>3</v>
      </c>
      <c r="AB43" s="188">
        <f t="shared" si="51"/>
        <v>9000</v>
      </c>
      <c r="AC43" s="230">
        <v>5</v>
      </c>
      <c r="AD43" s="188">
        <f t="shared" si="52"/>
        <v>15000</v>
      </c>
      <c r="AE43" s="230">
        <v>0</v>
      </c>
      <c r="AF43" s="188">
        <f t="shared" si="53"/>
        <v>0</v>
      </c>
      <c r="AG43" s="230">
        <v>5</v>
      </c>
      <c r="AH43" s="188">
        <f t="shared" si="54"/>
        <v>15000</v>
      </c>
      <c r="AI43" s="230">
        <v>0</v>
      </c>
      <c r="AJ43" s="188">
        <f t="shared" si="55"/>
        <v>0</v>
      </c>
      <c r="AK43" s="230">
        <v>0</v>
      </c>
      <c r="AL43" s="188">
        <f t="shared" si="56"/>
        <v>0</v>
      </c>
      <c r="AM43" s="230">
        <v>10</v>
      </c>
      <c r="AN43" s="188">
        <f t="shared" ref="AN43:AN49" si="70">AM43*F43</f>
        <v>30000</v>
      </c>
      <c r="AO43" s="230">
        <v>15</v>
      </c>
      <c r="AP43" s="188">
        <f>AO43*F43</f>
        <v>45000</v>
      </c>
      <c r="AQ43" s="230">
        <v>0</v>
      </c>
      <c r="AR43" s="188">
        <f t="shared" si="57"/>
        <v>0</v>
      </c>
      <c r="AS43" s="230">
        <v>0</v>
      </c>
      <c r="AT43" s="188">
        <f>AS43*F43</f>
        <v>0</v>
      </c>
      <c r="AU43" s="230">
        <v>7</v>
      </c>
      <c r="AV43" s="188">
        <f t="shared" si="58"/>
        <v>21000</v>
      </c>
      <c r="AW43" s="281">
        <v>15</v>
      </c>
      <c r="AX43" s="188">
        <f t="shared" si="59"/>
        <v>45000</v>
      </c>
      <c r="AY43" s="233">
        <v>15</v>
      </c>
      <c r="AZ43" s="188">
        <f>AY43*F43</f>
        <v>45000</v>
      </c>
      <c r="BA43" s="281">
        <v>10</v>
      </c>
      <c r="BB43" s="188">
        <f t="shared" si="60"/>
        <v>30000</v>
      </c>
      <c r="BC43" s="285">
        <v>10</v>
      </c>
      <c r="BD43" s="188">
        <f t="shared" si="61"/>
        <v>30000</v>
      </c>
      <c r="BE43" s="230">
        <v>10</v>
      </c>
      <c r="BF43" s="188">
        <f t="shared" si="62"/>
        <v>30000</v>
      </c>
      <c r="BG43" s="230">
        <v>20</v>
      </c>
      <c r="BH43" s="188">
        <f t="shared" si="63"/>
        <v>60000</v>
      </c>
      <c r="BI43" s="230"/>
      <c r="BJ43" s="188">
        <f t="shared" si="64"/>
        <v>0</v>
      </c>
      <c r="BK43" s="188">
        <f t="shared" si="65"/>
        <v>125</v>
      </c>
      <c r="BL43" s="188">
        <f t="shared" si="66"/>
        <v>375000</v>
      </c>
      <c r="BM43" s="212" t="s">
        <v>216</v>
      </c>
      <c r="BN43" s="201"/>
      <c r="BO43" s="195"/>
      <c r="BP43" s="283"/>
      <c r="BQ43" s="225">
        <f t="shared" si="67"/>
        <v>375000</v>
      </c>
      <c r="BR43" s="283"/>
      <c r="BS43" s="190">
        <f t="shared" si="43"/>
        <v>375000</v>
      </c>
      <c r="BT43" s="283"/>
      <c r="BU43" s="283"/>
      <c r="BV43" s="190"/>
      <c r="BW43" s="191">
        <f t="shared" si="68"/>
        <v>375000</v>
      </c>
    </row>
    <row r="44" spans="1:75" s="237" customFormat="1" ht="18" customHeight="1" x14ac:dyDescent="0.25">
      <c r="A44" s="271"/>
      <c r="B44" s="169"/>
      <c r="C44" s="244" t="s">
        <v>810</v>
      </c>
      <c r="D44" s="274" t="s">
        <v>781</v>
      </c>
      <c r="E44" s="229" t="s">
        <v>75</v>
      </c>
      <c r="F44" s="208">
        <v>19000</v>
      </c>
      <c r="G44" s="194">
        <f t="shared" si="69"/>
        <v>87</v>
      </c>
      <c r="H44" s="195">
        <f>G44*F44</f>
        <v>1653000</v>
      </c>
      <c r="I44" s="195">
        <f t="shared" si="44"/>
        <v>165300</v>
      </c>
      <c r="J44" s="195">
        <f t="shared" si="45"/>
        <v>1322400</v>
      </c>
      <c r="K44" s="195"/>
      <c r="L44" s="195"/>
      <c r="M44" s="195"/>
      <c r="N44" s="195"/>
      <c r="O44" s="195"/>
      <c r="P44" s="195"/>
      <c r="Q44" s="195">
        <f t="shared" si="46"/>
        <v>165300</v>
      </c>
      <c r="R44" s="195"/>
      <c r="S44" s="198">
        <f>G44*0.15</f>
        <v>13.049999999999999</v>
      </c>
      <c r="T44" s="198">
        <f>G44*0.7</f>
        <v>60.9</v>
      </c>
      <c r="U44" s="198">
        <f>G44:G44*0.15</f>
        <v>13.049999999999999</v>
      </c>
      <c r="V44" s="230"/>
      <c r="W44" s="197">
        <f t="shared" si="47"/>
        <v>247949.99999999997</v>
      </c>
      <c r="X44" s="197">
        <f t="shared" si="48"/>
        <v>1157100</v>
      </c>
      <c r="Y44" s="197">
        <f t="shared" si="49"/>
        <v>247949.99999999997</v>
      </c>
      <c r="Z44" s="197">
        <f t="shared" si="50"/>
        <v>0</v>
      </c>
      <c r="AA44" s="284">
        <v>5</v>
      </c>
      <c r="AB44" s="188">
        <f t="shared" si="51"/>
        <v>95000</v>
      </c>
      <c r="AC44" s="230">
        <v>10</v>
      </c>
      <c r="AD44" s="188">
        <f t="shared" si="52"/>
        <v>190000</v>
      </c>
      <c r="AE44" s="230">
        <v>20</v>
      </c>
      <c r="AF44" s="188">
        <f t="shared" si="53"/>
        <v>380000</v>
      </c>
      <c r="AG44" s="230">
        <v>0</v>
      </c>
      <c r="AH44" s="188">
        <f t="shared" si="54"/>
        <v>0</v>
      </c>
      <c r="AI44" s="230">
        <v>0</v>
      </c>
      <c r="AJ44" s="188">
        <f t="shared" si="55"/>
        <v>0</v>
      </c>
      <c r="AK44" s="230">
        <v>0</v>
      </c>
      <c r="AL44" s="188">
        <f t="shared" si="56"/>
        <v>0</v>
      </c>
      <c r="AM44" s="230">
        <v>6</v>
      </c>
      <c r="AN44" s="188">
        <f t="shared" si="70"/>
        <v>114000</v>
      </c>
      <c r="AO44" s="230">
        <v>5</v>
      </c>
      <c r="AP44" s="188">
        <f>AO44*F44</f>
        <v>95000</v>
      </c>
      <c r="AQ44" s="230">
        <v>10</v>
      </c>
      <c r="AR44" s="188">
        <f t="shared" si="57"/>
        <v>190000</v>
      </c>
      <c r="AS44" s="230">
        <v>0</v>
      </c>
      <c r="AT44" s="188">
        <f>AS44*F44</f>
        <v>0</v>
      </c>
      <c r="AU44" s="230">
        <v>5</v>
      </c>
      <c r="AV44" s="188">
        <f t="shared" si="58"/>
        <v>95000</v>
      </c>
      <c r="AW44" s="281">
        <v>0</v>
      </c>
      <c r="AX44" s="188">
        <f t="shared" si="59"/>
        <v>0</v>
      </c>
      <c r="AY44" s="233">
        <v>10</v>
      </c>
      <c r="AZ44" s="188">
        <f>AY44*F44</f>
        <v>190000</v>
      </c>
      <c r="BA44" s="281">
        <v>3</v>
      </c>
      <c r="BB44" s="188">
        <f t="shared" si="60"/>
        <v>57000</v>
      </c>
      <c r="BC44" s="285">
        <v>0</v>
      </c>
      <c r="BD44" s="188">
        <f t="shared" si="61"/>
        <v>0</v>
      </c>
      <c r="BE44" s="230">
        <v>10</v>
      </c>
      <c r="BF44" s="188">
        <f t="shared" si="62"/>
        <v>190000</v>
      </c>
      <c r="BG44" s="230">
        <v>3</v>
      </c>
      <c r="BH44" s="188">
        <f t="shared" si="63"/>
        <v>57000</v>
      </c>
      <c r="BI44" s="230"/>
      <c r="BJ44" s="188">
        <f t="shared" si="64"/>
        <v>0</v>
      </c>
      <c r="BK44" s="188">
        <f t="shared" si="65"/>
        <v>87</v>
      </c>
      <c r="BL44" s="188">
        <f t="shared" si="66"/>
        <v>1653000</v>
      </c>
      <c r="BM44" s="212" t="s">
        <v>216</v>
      </c>
      <c r="BN44" s="201"/>
      <c r="BO44" s="195"/>
      <c r="BP44" s="283"/>
      <c r="BQ44" s="225">
        <f t="shared" si="67"/>
        <v>1653000</v>
      </c>
      <c r="BR44" s="283"/>
      <c r="BS44" s="190">
        <f t="shared" si="43"/>
        <v>1653000</v>
      </c>
      <c r="BT44" s="283"/>
      <c r="BU44" s="283"/>
      <c r="BV44" s="190"/>
      <c r="BW44" s="191">
        <f t="shared" si="68"/>
        <v>1653000</v>
      </c>
    </row>
    <row r="45" spans="1:75" s="237" customFormat="1" ht="19.149999999999999" customHeight="1" x14ac:dyDescent="0.25">
      <c r="A45" s="271"/>
      <c r="B45" s="169"/>
      <c r="C45" s="244" t="s">
        <v>811</v>
      </c>
      <c r="D45" s="274" t="s">
        <v>782</v>
      </c>
      <c r="E45" s="229" t="s">
        <v>75</v>
      </c>
      <c r="F45" s="208">
        <v>6000</v>
      </c>
      <c r="G45" s="194">
        <f t="shared" si="69"/>
        <v>139</v>
      </c>
      <c r="H45" s="194">
        <f t="shared" ref="H45:H63" si="71">BL45</f>
        <v>782000</v>
      </c>
      <c r="I45" s="195">
        <f t="shared" si="44"/>
        <v>78200</v>
      </c>
      <c r="J45" s="195">
        <f t="shared" si="45"/>
        <v>625600</v>
      </c>
      <c r="K45" s="195"/>
      <c r="L45" s="195"/>
      <c r="M45" s="195"/>
      <c r="N45" s="195"/>
      <c r="O45" s="195"/>
      <c r="P45" s="195"/>
      <c r="Q45" s="195">
        <f t="shared" si="46"/>
        <v>78200</v>
      </c>
      <c r="R45" s="195"/>
      <c r="S45" s="230"/>
      <c r="T45" s="230">
        <f>G45*0.2</f>
        <v>27.8</v>
      </c>
      <c r="U45" s="230">
        <f>G45*0.8</f>
        <v>111.2</v>
      </c>
      <c r="V45" s="230"/>
      <c r="W45" s="197">
        <f t="shared" si="47"/>
        <v>0</v>
      </c>
      <c r="X45" s="197">
        <f t="shared" si="48"/>
        <v>166800</v>
      </c>
      <c r="Y45" s="197">
        <f t="shared" si="49"/>
        <v>667200</v>
      </c>
      <c r="Z45" s="197">
        <f t="shared" si="50"/>
        <v>0</v>
      </c>
      <c r="AA45" s="284">
        <v>5</v>
      </c>
      <c r="AB45" s="188">
        <f t="shared" si="51"/>
        <v>30000</v>
      </c>
      <c r="AC45" s="230">
        <v>5</v>
      </c>
      <c r="AD45" s="188">
        <f t="shared" si="52"/>
        <v>30000</v>
      </c>
      <c r="AE45" s="230">
        <v>0</v>
      </c>
      <c r="AF45" s="188">
        <f t="shared" si="53"/>
        <v>0</v>
      </c>
      <c r="AG45" s="230">
        <v>30</v>
      </c>
      <c r="AH45" s="188">
        <f t="shared" si="54"/>
        <v>180000</v>
      </c>
      <c r="AI45" s="230">
        <v>20</v>
      </c>
      <c r="AJ45" s="188">
        <f t="shared" si="55"/>
        <v>120000</v>
      </c>
      <c r="AK45" s="230">
        <v>5</v>
      </c>
      <c r="AL45" s="188">
        <f t="shared" si="56"/>
        <v>30000</v>
      </c>
      <c r="AM45" s="230">
        <v>10</v>
      </c>
      <c r="AN45" s="188">
        <f t="shared" si="70"/>
        <v>60000</v>
      </c>
      <c r="AO45" s="230">
        <v>8</v>
      </c>
      <c r="AP45" s="188">
        <v>32000</v>
      </c>
      <c r="AQ45" s="230">
        <v>20</v>
      </c>
      <c r="AR45" s="188">
        <f t="shared" si="57"/>
        <v>120000</v>
      </c>
      <c r="AS45" s="230">
        <v>0</v>
      </c>
      <c r="AT45" s="188">
        <v>52000</v>
      </c>
      <c r="AU45" s="230">
        <v>6</v>
      </c>
      <c r="AV45" s="188">
        <f t="shared" si="58"/>
        <v>36000</v>
      </c>
      <c r="AW45" s="281">
        <v>3</v>
      </c>
      <c r="AX45" s="188">
        <f t="shared" si="59"/>
        <v>18000</v>
      </c>
      <c r="AY45" s="233">
        <v>20</v>
      </c>
      <c r="AZ45" s="188">
        <v>32000</v>
      </c>
      <c r="BA45" s="281">
        <v>5</v>
      </c>
      <c r="BB45" s="188">
        <f t="shared" si="60"/>
        <v>30000</v>
      </c>
      <c r="BC45" s="285">
        <v>0</v>
      </c>
      <c r="BD45" s="188">
        <f t="shared" si="61"/>
        <v>0</v>
      </c>
      <c r="BE45" s="230">
        <v>0</v>
      </c>
      <c r="BF45" s="188">
        <f t="shared" si="62"/>
        <v>0</v>
      </c>
      <c r="BG45" s="230">
        <v>2</v>
      </c>
      <c r="BH45" s="188">
        <f t="shared" si="63"/>
        <v>12000</v>
      </c>
      <c r="BI45" s="230"/>
      <c r="BJ45" s="188">
        <f t="shared" si="64"/>
        <v>0</v>
      </c>
      <c r="BK45" s="188">
        <f t="shared" si="65"/>
        <v>139</v>
      </c>
      <c r="BL45" s="188">
        <f t="shared" si="66"/>
        <v>782000</v>
      </c>
      <c r="BM45" s="212" t="s">
        <v>216</v>
      </c>
      <c r="BN45" s="201"/>
      <c r="BO45" s="195"/>
      <c r="BP45" s="283"/>
      <c r="BQ45" s="225">
        <f t="shared" si="67"/>
        <v>782000</v>
      </c>
      <c r="BR45" s="283"/>
      <c r="BS45" s="190">
        <f t="shared" si="43"/>
        <v>782000</v>
      </c>
      <c r="BT45" s="283"/>
      <c r="BU45" s="283"/>
      <c r="BV45" s="190"/>
      <c r="BW45" s="191">
        <f t="shared" si="68"/>
        <v>782000</v>
      </c>
    </row>
    <row r="46" spans="1:75" s="237" customFormat="1" ht="18" customHeight="1" x14ac:dyDescent="0.25">
      <c r="A46" s="271"/>
      <c r="B46" s="169"/>
      <c r="C46" s="244" t="s">
        <v>812</v>
      </c>
      <c r="D46" s="274" t="s">
        <v>783</v>
      </c>
      <c r="E46" s="229" t="s">
        <v>75</v>
      </c>
      <c r="F46" s="208">
        <v>9000</v>
      </c>
      <c r="G46" s="194">
        <f t="shared" si="69"/>
        <v>87.87</v>
      </c>
      <c r="H46" s="195">
        <f>G46*F46</f>
        <v>790830</v>
      </c>
      <c r="I46" s="195">
        <f t="shared" si="44"/>
        <v>79083</v>
      </c>
      <c r="J46" s="195">
        <f t="shared" si="45"/>
        <v>632664</v>
      </c>
      <c r="K46" s="195"/>
      <c r="L46" s="195"/>
      <c r="M46" s="195"/>
      <c r="N46" s="195"/>
      <c r="O46" s="195"/>
      <c r="P46" s="195"/>
      <c r="Q46" s="195">
        <f t="shared" si="46"/>
        <v>79083</v>
      </c>
      <c r="R46" s="195"/>
      <c r="S46" s="198">
        <f>G46*0.15</f>
        <v>13.1805</v>
      </c>
      <c r="T46" s="198">
        <f>G46*0.85</f>
        <v>74.689499999999995</v>
      </c>
      <c r="U46" s="230"/>
      <c r="V46" s="230"/>
      <c r="W46" s="197">
        <f t="shared" si="47"/>
        <v>118624.5</v>
      </c>
      <c r="X46" s="197">
        <f t="shared" si="48"/>
        <v>672205.5</v>
      </c>
      <c r="Y46" s="197">
        <f t="shared" si="49"/>
        <v>0</v>
      </c>
      <c r="Z46" s="197">
        <f t="shared" si="50"/>
        <v>0</v>
      </c>
      <c r="AA46" s="284">
        <v>0</v>
      </c>
      <c r="AB46" s="188">
        <f t="shared" si="51"/>
        <v>0</v>
      </c>
      <c r="AC46" s="230">
        <v>5</v>
      </c>
      <c r="AD46" s="188">
        <f t="shared" si="52"/>
        <v>45000</v>
      </c>
      <c r="AE46" s="230">
        <v>5</v>
      </c>
      <c r="AF46" s="188">
        <f t="shared" si="53"/>
        <v>45000</v>
      </c>
      <c r="AG46" s="230">
        <v>10</v>
      </c>
      <c r="AH46" s="188">
        <f t="shared" si="54"/>
        <v>90000</v>
      </c>
      <c r="AI46" s="230">
        <v>10</v>
      </c>
      <c r="AJ46" s="188">
        <f t="shared" si="55"/>
        <v>90000</v>
      </c>
      <c r="AK46" s="230">
        <v>3</v>
      </c>
      <c r="AL46" s="188">
        <f t="shared" si="56"/>
        <v>27000</v>
      </c>
      <c r="AM46" s="230">
        <v>10</v>
      </c>
      <c r="AN46" s="188">
        <f t="shared" si="70"/>
        <v>90000</v>
      </c>
      <c r="AO46" s="230">
        <v>6</v>
      </c>
      <c r="AP46" s="188">
        <f t="shared" ref="AP46:AP58" si="72">AO46*F46</f>
        <v>54000</v>
      </c>
      <c r="AQ46" s="230">
        <v>10</v>
      </c>
      <c r="AR46" s="188">
        <f t="shared" si="57"/>
        <v>90000</v>
      </c>
      <c r="AS46" s="230">
        <v>0</v>
      </c>
      <c r="AT46" s="188">
        <f>AS46*F46</f>
        <v>0</v>
      </c>
      <c r="AU46" s="230">
        <v>1.87</v>
      </c>
      <c r="AV46" s="188">
        <f t="shared" si="58"/>
        <v>16830</v>
      </c>
      <c r="AW46" s="281">
        <v>4</v>
      </c>
      <c r="AX46" s="188">
        <f t="shared" si="59"/>
        <v>36000</v>
      </c>
      <c r="AY46" s="233">
        <v>0</v>
      </c>
      <c r="AZ46" s="188">
        <f t="shared" ref="AZ46:AZ63" si="73">AY46*F46</f>
        <v>0</v>
      </c>
      <c r="BA46" s="281">
        <v>5</v>
      </c>
      <c r="BB46" s="188">
        <f t="shared" si="60"/>
        <v>45000</v>
      </c>
      <c r="BC46" s="285">
        <v>10</v>
      </c>
      <c r="BD46" s="188">
        <f t="shared" si="61"/>
        <v>90000</v>
      </c>
      <c r="BE46" s="230">
        <v>8</v>
      </c>
      <c r="BF46" s="188">
        <f t="shared" si="62"/>
        <v>72000</v>
      </c>
      <c r="BG46" s="230">
        <v>0</v>
      </c>
      <c r="BH46" s="188">
        <f t="shared" si="63"/>
        <v>0</v>
      </c>
      <c r="BI46" s="230"/>
      <c r="BJ46" s="188">
        <f t="shared" si="64"/>
        <v>0</v>
      </c>
      <c r="BK46" s="188">
        <f t="shared" si="65"/>
        <v>87.87</v>
      </c>
      <c r="BL46" s="188">
        <f t="shared" si="66"/>
        <v>790830</v>
      </c>
      <c r="BM46" s="212" t="s">
        <v>216</v>
      </c>
      <c r="BN46" s="201"/>
      <c r="BO46" s="195"/>
      <c r="BP46" s="283"/>
      <c r="BQ46" s="225">
        <f t="shared" si="67"/>
        <v>790830</v>
      </c>
      <c r="BR46" s="283"/>
      <c r="BS46" s="190">
        <f t="shared" si="43"/>
        <v>790830</v>
      </c>
      <c r="BT46" s="283"/>
      <c r="BU46" s="283"/>
      <c r="BV46" s="190"/>
      <c r="BW46" s="191">
        <f t="shared" si="68"/>
        <v>790830</v>
      </c>
    </row>
    <row r="47" spans="1:75" s="237" customFormat="1" ht="18" customHeight="1" x14ac:dyDescent="0.25">
      <c r="A47" s="271"/>
      <c r="B47" s="169"/>
      <c r="C47" s="244" t="s">
        <v>813</v>
      </c>
      <c r="D47" s="274" t="s">
        <v>784</v>
      </c>
      <c r="E47" s="229" t="s">
        <v>75</v>
      </c>
      <c r="F47" s="208">
        <v>9000</v>
      </c>
      <c r="G47" s="194">
        <f t="shared" si="69"/>
        <v>83</v>
      </c>
      <c r="H47" s="195">
        <f>G47*F47</f>
        <v>747000</v>
      </c>
      <c r="I47" s="195">
        <f t="shared" si="44"/>
        <v>74700</v>
      </c>
      <c r="J47" s="195">
        <f t="shared" si="45"/>
        <v>597600</v>
      </c>
      <c r="K47" s="195"/>
      <c r="L47" s="195"/>
      <c r="M47" s="195"/>
      <c r="N47" s="195"/>
      <c r="O47" s="195"/>
      <c r="P47" s="195"/>
      <c r="Q47" s="195">
        <f t="shared" si="46"/>
        <v>74700</v>
      </c>
      <c r="R47" s="195"/>
      <c r="S47" s="230"/>
      <c r="T47" s="230">
        <f>G47*0.6</f>
        <v>49.8</v>
      </c>
      <c r="U47" s="230">
        <f>G47*0.4</f>
        <v>33.200000000000003</v>
      </c>
      <c r="V47" s="230"/>
      <c r="W47" s="197">
        <f t="shared" si="47"/>
        <v>0</v>
      </c>
      <c r="X47" s="197">
        <f t="shared" si="48"/>
        <v>448200</v>
      </c>
      <c r="Y47" s="197">
        <f t="shared" si="49"/>
        <v>298800</v>
      </c>
      <c r="Z47" s="197">
        <f t="shared" si="50"/>
        <v>0</v>
      </c>
      <c r="AA47" s="284">
        <v>0</v>
      </c>
      <c r="AB47" s="188">
        <f t="shared" si="51"/>
        <v>0</v>
      </c>
      <c r="AC47" s="230">
        <v>10</v>
      </c>
      <c r="AD47" s="188">
        <f t="shared" si="52"/>
        <v>90000</v>
      </c>
      <c r="AE47" s="230">
        <v>10</v>
      </c>
      <c r="AF47" s="188">
        <f t="shared" si="53"/>
        <v>90000</v>
      </c>
      <c r="AG47" s="230">
        <v>10</v>
      </c>
      <c r="AH47" s="188">
        <f t="shared" si="54"/>
        <v>90000</v>
      </c>
      <c r="AI47" s="230">
        <v>10</v>
      </c>
      <c r="AJ47" s="188">
        <f t="shared" si="55"/>
        <v>90000</v>
      </c>
      <c r="AK47" s="230">
        <v>3</v>
      </c>
      <c r="AL47" s="188">
        <f t="shared" si="56"/>
        <v>27000</v>
      </c>
      <c r="AM47" s="230">
        <v>5</v>
      </c>
      <c r="AN47" s="188">
        <f t="shared" si="70"/>
        <v>45000</v>
      </c>
      <c r="AO47" s="230">
        <v>5</v>
      </c>
      <c r="AP47" s="188">
        <f t="shared" si="72"/>
        <v>45000</v>
      </c>
      <c r="AQ47" s="230">
        <v>0</v>
      </c>
      <c r="AR47" s="188">
        <f t="shared" si="57"/>
        <v>0</v>
      </c>
      <c r="AS47" s="230"/>
      <c r="AT47" s="188">
        <f>AS47*F47</f>
        <v>0</v>
      </c>
      <c r="AU47" s="230">
        <v>15</v>
      </c>
      <c r="AV47" s="188">
        <f t="shared" si="58"/>
        <v>135000</v>
      </c>
      <c r="AW47" s="281">
        <v>15</v>
      </c>
      <c r="AX47" s="188">
        <f t="shared" si="59"/>
        <v>135000</v>
      </c>
      <c r="AY47" s="233">
        <v>0</v>
      </c>
      <c r="AZ47" s="188">
        <f t="shared" si="73"/>
        <v>0</v>
      </c>
      <c r="BA47" s="281">
        <v>0</v>
      </c>
      <c r="BB47" s="188">
        <f t="shared" si="60"/>
        <v>0</v>
      </c>
      <c r="BC47" s="285">
        <v>0</v>
      </c>
      <c r="BD47" s="188">
        <f t="shared" si="61"/>
        <v>0</v>
      </c>
      <c r="BE47" s="230">
        <v>0</v>
      </c>
      <c r="BF47" s="188">
        <f t="shared" si="62"/>
        <v>0</v>
      </c>
      <c r="BG47" s="230">
        <v>0</v>
      </c>
      <c r="BH47" s="188">
        <f t="shared" si="63"/>
        <v>0</v>
      </c>
      <c r="BI47" s="230"/>
      <c r="BJ47" s="188">
        <f t="shared" si="64"/>
        <v>0</v>
      </c>
      <c r="BK47" s="188">
        <f t="shared" si="65"/>
        <v>83</v>
      </c>
      <c r="BL47" s="188">
        <f t="shared" si="66"/>
        <v>747000</v>
      </c>
      <c r="BM47" s="212" t="s">
        <v>216</v>
      </c>
      <c r="BN47" s="201"/>
      <c r="BO47" s="195"/>
      <c r="BP47" s="283"/>
      <c r="BQ47" s="225">
        <f t="shared" si="67"/>
        <v>747000</v>
      </c>
      <c r="BR47" s="283"/>
      <c r="BS47" s="190">
        <f t="shared" si="43"/>
        <v>747000</v>
      </c>
      <c r="BT47" s="283"/>
      <c r="BU47" s="283"/>
      <c r="BV47" s="190"/>
      <c r="BW47" s="191">
        <f t="shared" si="68"/>
        <v>747000</v>
      </c>
    </row>
    <row r="48" spans="1:75" s="237" customFormat="1" ht="18" customHeight="1" x14ac:dyDescent="0.25">
      <c r="A48" s="271"/>
      <c r="B48" s="169"/>
      <c r="C48" s="244" t="s">
        <v>814</v>
      </c>
      <c r="D48" s="274" t="s">
        <v>785</v>
      </c>
      <c r="E48" s="229" t="s">
        <v>75</v>
      </c>
      <c r="F48" s="208">
        <v>9000</v>
      </c>
      <c r="G48" s="194">
        <f t="shared" si="69"/>
        <v>55</v>
      </c>
      <c r="H48" s="195">
        <f>G48*F48</f>
        <v>495000</v>
      </c>
      <c r="I48" s="195">
        <f t="shared" si="44"/>
        <v>49500</v>
      </c>
      <c r="J48" s="195">
        <f t="shared" si="45"/>
        <v>396000</v>
      </c>
      <c r="K48" s="195"/>
      <c r="L48" s="195"/>
      <c r="M48" s="195"/>
      <c r="N48" s="195"/>
      <c r="O48" s="195"/>
      <c r="P48" s="195"/>
      <c r="Q48" s="195">
        <f t="shared" si="46"/>
        <v>49500</v>
      </c>
      <c r="R48" s="195"/>
      <c r="S48" s="230"/>
      <c r="T48" s="230">
        <f>G48*0.6</f>
        <v>33</v>
      </c>
      <c r="U48" s="230">
        <f>G48*0.4</f>
        <v>22</v>
      </c>
      <c r="V48" s="230"/>
      <c r="W48" s="197">
        <f t="shared" si="47"/>
        <v>0</v>
      </c>
      <c r="X48" s="197">
        <f t="shared" si="48"/>
        <v>297000</v>
      </c>
      <c r="Y48" s="197">
        <f t="shared" si="49"/>
        <v>198000</v>
      </c>
      <c r="Z48" s="197">
        <f t="shared" si="50"/>
        <v>0</v>
      </c>
      <c r="AA48" s="284">
        <v>0</v>
      </c>
      <c r="AB48" s="188">
        <f t="shared" si="51"/>
        <v>0</v>
      </c>
      <c r="AC48" s="230">
        <v>10</v>
      </c>
      <c r="AD48" s="188">
        <f t="shared" si="52"/>
        <v>90000</v>
      </c>
      <c r="AE48" s="230">
        <v>10</v>
      </c>
      <c r="AF48" s="188">
        <f t="shared" si="53"/>
        <v>90000</v>
      </c>
      <c r="AG48" s="230">
        <v>10</v>
      </c>
      <c r="AH48" s="188">
        <f t="shared" si="54"/>
        <v>90000</v>
      </c>
      <c r="AI48" s="230">
        <v>0</v>
      </c>
      <c r="AJ48" s="188">
        <f t="shared" si="55"/>
        <v>0</v>
      </c>
      <c r="AK48" s="230">
        <v>3</v>
      </c>
      <c r="AL48" s="188">
        <f t="shared" si="56"/>
        <v>27000</v>
      </c>
      <c r="AM48" s="230">
        <v>0</v>
      </c>
      <c r="AN48" s="188">
        <f t="shared" si="70"/>
        <v>0</v>
      </c>
      <c r="AO48" s="230">
        <v>5</v>
      </c>
      <c r="AP48" s="188">
        <f t="shared" si="72"/>
        <v>45000</v>
      </c>
      <c r="AQ48" s="230">
        <v>10</v>
      </c>
      <c r="AR48" s="188">
        <f t="shared" si="57"/>
        <v>90000</v>
      </c>
      <c r="AS48" s="230"/>
      <c r="AT48" s="188">
        <f>AS48*F48</f>
        <v>0</v>
      </c>
      <c r="AU48" s="230">
        <v>7</v>
      </c>
      <c r="AV48" s="188">
        <f t="shared" si="58"/>
        <v>63000</v>
      </c>
      <c r="AW48" s="281">
        <v>0</v>
      </c>
      <c r="AX48" s="188">
        <f t="shared" si="59"/>
        <v>0</v>
      </c>
      <c r="AY48" s="233">
        <v>0</v>
      </c>
      <c r="AZ48" s="188">
        <f t="shared" si="73"/>
        <v>0</v>
      </c>
      <c r="BA48" s="281">
        <v>0</v>
      </c>
      <c r="BB48" s="188">
        <f t="shared" si="60"/>
        <v>0</v>
      </c>
      <c r="BC48" s="285">
        <v>0</v>
      </c>
      <c r="BD48" s="188">
        <f t="shared" si="61"/>
        <v>0</v>
      </c>
      <c r="BE48" s="230">
        <v>0</v>
      </c>
      <c r="BF48" s="188">
        <f t="shared" si="62"/>
        <v>0</v>
      </c>
      <c r="BG48" s="230">
        <v>0</v>
      </c>
      <c r="BH48" s="188">
        <f t="shared" si="63"/>
        <v>0</v>
      </c>
      <c r="BI48" s="230"/>
      <c r="BJ48" s="188">
        <f t="shared" si="64"/>
        <v>0</v>
      </c>
      <c r="BK48" s="188">
        <f t="shared" si="65"/>
        <v>55</v>
      </c>
      <c r="BL48" s="188">
        <f t="shared" si="66"/>
        <v>495000</v>
      </c>
      <c r="BM48" s="212" t="s">
        <v>216</v>
      </c>
      <c r="BN48" s="201"/>
      <c r="BO48" s="195"/>
      <c r="BP48" s="283"/>
      <c r="BQ48" s="225">
        <f t="shared" si="67"/>
        <v>495000</v>
      </c>
      <c r="BR48" s="283"/>
      <c r="BS48" s="190">
        <f t="shared" si="43"/>
        <v>495000</v>
      </c>
      <c r="BT48" s="283"/>
      <c r="BU48" s="283"/>
      <c r="BV48" s="190"/>
      <c r="BW48" s="191">
        <f t="shared" si="68"/>
        <v>495000</v>
      </c>
    </row>
    <row r="49" spans="1:75" s="237" customFormat="1" ht="17.25" customHeight="1" x14ac:dyDescent="0.25">
      <c r="A49" s="271"/>
      <c r="B49" s="169"/>
      <c r="C49" s="244" t="s">
        <v>815</v>
      </c>
      <c r="D49" s="286" t="s">
        <v>251</v>
      </c>
      <c r="E49" s="229" t="s">
        <v>75</v>
      </c>
      <c r="F49" s="208">
        <v>9000</v>
      </c>
      <c r="G49" s="194">
        <f t="shared" si="69"/>
        <v>35</v>
      </c>
      <c r="H49" s="195">
        <f>G49*F49</f>
        <v>315000</v>
      </c>
      <c r="I49" s="195">
        <f t="shared" si="44"/>
        <v>31500</v>
      </c>
      <c r="J49" s="195">
        <f t="shared" si="45"/>
        <v>252000</v>
      </c>
      <c r="K49" s="195"/>
      <c r="L49" s="195"/>
      <c r="M49" s="195"/>
      <c r="N49" s="195"/>
      <c r="O49" s="195"/>
      <c r="P49" s="195"/>
      <c r="Q49" s="195">
        <f t="shared" si="46"/>
        <v>31500</v>
      </c>
      <c r="R49" s="195"/>
      <c r="S49" s="230"/>
      <c r="T49" s="230"/>
      <c r="U49" s="230">
        <f t="shared" ref="U49:U54" si="74">G49</f>
        <v>35</v>
      </c>
      <c r="V49" s="230"/>
      <c r="W49" s="197">
        <f t="shared" si="47"/>
        <v>0</v>
      </c>
      <c r="X49" s="197">
        <f t="shared" si="48"/>
        <v>0</v>
      </c>
      <c r="Y49" s="197">
        <f t="shared" si="49"/>
        <v>315000</v>
      </c>
      <c r="Z49" s="197">
        <f t="shared" si="50"/>
        <v>0</v>
      </c>
      <c r="AA49" s="284">
        <v>0</v>
      </c>
      <c r="AB49" s="188">
        <f t="shared" si="51"/>
        <v>0</v>
      </c>
      <c r="AC49" s="230">
        <v>0</v>
      </c>
      <c r="AD49" s="188">
        <f t="shared" si="52"/>
        <v>0</v>
      </c>
      <c r="AE49" s="230">
        <v>0</v>
      </c>
      <c r="AF49" s="188">
        <f t="shared" si="53"/>
        <v>0</v>
      </c>
      <c r="AG49" s="230">
        <v>10</v>
      </c>
      <c r="AH49" s="188">
        <f t="shared" si="54"/>
        <v>90000</v>
      </c>
      <c r="AI49" s="230">
        <v>0</v>
      </c>
      <c r="AJ49" s="188">
        <f t="shared" si="55"/>
        <v>0</v>
      </c>
      <c r="AK49" s="230">
        <v>0</v>
      </c>
      <c r="AL49" s="188">
        <f t="shared" si="56"/>
        <v>0</v>
      </c>
      <c r="AM49" s="230">
        <v>0</v>
      </c>
      <c r="AN49" s="188">
        <f t="shared" si="70"/>
        <v>0</v>
      </c>
      <c r="AO49" s="230">
        <v>5</v>
      </c>
      <c r="AP49" s="188">
        <f t="shared" si="72"/>
        <v>45000</v>
      </c>
      <c r="AQ49" s="230">
        <v>0</v>
      </c>
      <c r="AR49" s="188">
        <f t="shared" si="57"/>
        <v>0</v>
      </c>
      <c r="AS49" s="230">
        <v>0</v>
      </c>
      <c r="AT49" s="188">
        <f>AS49*F49</f>
        <v>0</v>
      </c>
      <c r="AU49" s="230">
        <v>0</v>
      </c>
      <c r="AV49" s="188">
        <f t="shared" si="58"/>
        <v>0</v>
      </c>
      <c r="AW49" s="281">
        <v>10</v>
      </c>
      <c r="AX49" s="188">
        <f t="shared" si="59"/>
        <v>90000</v>
      </c>
      <c r="AY49" s="233">
        <v>0</v>
      </c>
      <c r="AZ49" s="188">
        <f t="shared" si="73"/>
        <v>0</v>
      </c>
      <c r="BA49" s="281">
        <v>0</v>
      </c>
      <c r="BB49" s="188">
        <f t="shared" si="60"/>
        <v>0</v>
      </c>
      <c r="BC49" s="285">
        <v>10</v>
      </c>
      <c r="BD49" s="188">
        <f t="shared" si="61"/>
        <v>90000</v>
      </c>
      <c r="BE49" s="230">
        <v>0</v>
      </c>
      <c r="BF49" s="188">
        <f t="shared" si="62"/>
        <v>0</v>
      </c>
      <c r="BG49" s="230">
        <v>0</v>
      </c>
      <c r="BH49" s="188">
        <f t="shared" si="63"/>
        <v>0</v>
      </c>
      <c r="BI49" s="230"/>
      <c r="BJ49" s="188">
        <f t="shared" si="64"/>
        <v>0</v>
      </c>
      <c r="BK49" s="188">
        <f t="shared" si="65"/>
        <v>35</v>
      </c>
      <c r="BL49" s="188">
        <f t="shared" si="66"/>
        <v>315000</v>
      </c>
      <c r="BM49" s="212" t="s">
        <v>216</v>
      </c>
      <c r="BN49" s="201"/>
      <c r="BO49" s="195"/>
      <c r="BP49" s="283"/>
      <c r="BQ49" s="225">
        <f t="shared" si="67"/>
        <v>315000</v>
      </c>
      <c r="BR49" s="283"/>
      <c r="BS49" s="190">
        <f t="shared" si="43"/>
        <v>315000</v>
      </c>
      <c r="BT49" s="283"/>
      <c r="BU49" s="283"/>
      <c r="BV49" s="190"/>
      <c r="BW49" s="191">
        <f t="shared" si="68"/>
        <v>315000</v>
      </c>
    </row>
    <row r="50" spans="1:75" s="237" customFormat="1" ht="18" customHeight="1" x14ac:dyDescent="0.25">
      <c r="A50" s="271"/>
      <c r="B50" s="169"/>
      <c r="C50" s="244" t="s">
        <v>816</v>
      </c>
      <c r="D50" s="274" t="s">
        <v>786</v>
      </c>
      <c r="E50" s="229" t="s">
        <v>75</v>
      </c>
      <c r="F50" s="208">
        <v>80000</v>
      </c>
      <c r="G50" s="194">
        <f t="shared" si="69"/>
        <v>58</v>
      </c>
      <c r="H50" s="194">
        <f>BL50</f>
        <v>4960000</v>
      </c>
      <c r="I50" s="195">
        <f t="shared" si="44"/>
        <v>496000</v>
      </c>
      <c r="J50" s="195">
        <f t="shared" si="45"/>
        <v>3968000</v>
      </c>
      <c r="K50" s="195"/>
      <c r="L50" s="195"/>
      <c r="M50" s="195"/>
      <c r="N50" s="195"/>
      <c r="O50" s="195"/>
      <c r="P50" s="195"/>
      <c r="Q50" s="195">
        <f t="shared" si="46"/>
        <v>496000</v>
      </c>
      <c r="R50" s="195"/>
      <c r="S50" s="230"/>
      <c r="T50" s="230"/>
      <c r="U50" s="230">
        <f t="shared" si="74"/>
        <v>58</v>
      </c>
      <c r="V50" s="230"/>
      <c r="W50" s="197">
        <f t="shared" si="47"/>
        <v>0</v>
      </c>
      <c r="X50" s="197">
        <f t="shared" si="48"/>
        <v>0</v>
      </c>
      <c r="Y50" s="197">
        <f t="shared" si="49"/>
        <v>4640000</v>
      </c>
      <c r="Z50" s="197">
        <f t="shared" si="50"/>
        <v>0</v>
      </c>
      <c r="AA50" s="284">
        <v>0</v>
      </c>
      <c r="AB50" s="188">
        <f t="shared" si="51"/>
        <v>0</v>
      </c>
      <c r="AC50" s="230">
        <v>6</v>
      </c>
      <c r="AD50" s="188">
        <f t="shared" si="52"/>
        <v>480000</v>
      </c>
      <c r="AE50" s="230">
        <v>2</v>
      </c>
      <c r="AF50" s="188">
        <f t="shared" si="53"/>
        <v>160000</v>
      </c>
      <c r="AG50" s="230">
        <v>3</v>
      </c>
      <c r="AH50" s="188">
        <f t="shared" si="54"/>
        <v>240000</v>
      </c>
      <c r="AI50" s="230">
        <v>5</v>
      </c>
      <c r="AJ50" s="188">
        <f t="shared" si="55"/>
        <v>400000</v>
      </c>
      <c r="AK50" s="230">
        <v>0</v>
      </c>
      <c r="AL50" s="188">
        <f t="shared" si="56"/>
        <v>0</v>
      </c>
      <c r="AM50" s="287">
        <v>6</v>
      </c>
      <c r="AN50" s="188">
        <v>800000</v>
      </c>
      <c r="AO50" s="230">
        <v>4</v>
      </c>
      <c r="AP50" s="188">
        <f t="shared" si="72"/>
        <v>320000</v>
      </c>
      <c r="AQ50" s="230">
        <v>0</v>
      </c>
      <c r="AR50" s="188">
        <f t="shared" si="57"/>
        <v>0</v>
      </c>
      <c r="AS50" s="230">
        <v>0</v>
      </c>
      <c r="AT50" s="188">
        <f>AS50*F50</f>
        <v>0</v>
      </c>
      <c r="AU50" s="230">
        <v>0</v>
      </c>
      <c r="AV50" s="188">
        <f t="shared" si="58"/>
        <v>0</v>
      </c>
      <c r="AW50" s="281">
        <v>6</v>
      </c>
      <c r="AX50" s="188">
        <f t="shared" si="59"/>
        <v>480000</v>
      </c>
      <c r="AY50" s="233">
        <v>8</v>
      </c>
      <c r="AZ50" s="188">
        <f t="shared" si="73"/>
        <v>640000</v>
      </c>
      <c r="BA50" s="281">
        <v>10</v>
      </c>
      <c r="BB50" s="188">
        <f t="shared" si="60"/>
        <v>800000</v>
      </c>
      <c r="BC50" s="285">
        <v>0</v>
      </c>
      <c r="BD50" s="188">
        <f t="shared" si="61"/>
        <v>0</v>
      </c>
      <c r="BE50" s="230">
        <v>0</v>
      </c>
      <c r="BF50" s="188">
        <f t="shared" si="62"/>
        <v>0</v>
      </c>
      <c r="BG50" s="230">
        <v>8</v>
      </c>
      <c r="BH50" s="188">
        <f t="shared" si="63"/>
        <v>640000</v>
      </c>
      <c r="BI50" s="230"/>
      <c r="BJ50" s="188">
        <f t="shared" si="64"/>
        <v>0</v>
      </c>
      <c r="BK50" s="188">
        <f t="shared" si="65"/>
        <v>58</v>
      </c>
      <c r="BL50" s="188">
        <f t="shared" si="66"/>
        <v>4960000</v>
      </c>
      <c r="BM50" s="212" t="s">
        <v>216</v>
      </c>
      <c r="BN50" s="201"/>
      <c r="BO50" s="195"/>
      <c r="BP50" s="283"/>
      <c r="BQ50" s="225">
        <f t="shared" si="67"/>
        <v>4960000</v>
      </c>
      <c r="BR50" s="283"/>
      <c r="BS50" s="190">
        <f t="shared" si="43"/>
        <v>4960000</v>
      </c>
      <c r="BT50" s="283"/>
      <c r="BU50" s="283"/>
      <c r="BV50" s="190"/>
      <c r="BW50" s="191">
        <f t="shared" si="68"/>
        <v>4960000</v>
      </c>
    </row>
    <row r="51" spans="1:75" s="237" customFormat="1" ht="20.25" customHeight="1" x14ac:dyDescent="0.25">
      <c r="A51" s="271"/>
      <c r="B51" s="169"/>
      <c r="C51" s="244" t="s">
        <v>817</v>
      </c>
      <c r="D51" s="274" t="s">
        <v>248</v>
      </c>
      <c r="E51" s="229" t="s">
        <v>75</v>
      </c>
      <c r="F51" s="208">
        <v>70000</v>
      </c>
      <c r="G51" s="194">
        <f t="shared" si="69"/>
        <v>13</v>
      </c>
      <c r="H51" s="194">
        <f t="shared" si="71"/>
        <v>504000</v>
      </c>
      <c r="I51" s="195">
        <f t="shared" si="44"/>
        <v>50400</v>
      </c>
      <c r="J51" s="195">
        <f t="shared" si="45"/>
        <v>403200</v>
      </c>
      <c r="K51" s="195"/>
      <c r="L51" s="195"/>
      <c r="M51" s="195"/>
      <c r="N51" s="195"/>
      <c r="O51" s="195"/>
      <c r="P51" s="195"/>
      <c r="Q51" s="195">
        <f t="shared" si="46"/>
        <v>50400</v>
      </c>
      <c r="R51" s="195"/>
      <c r="S51" s="230"/>
      <c r="T51" s="230"/>
      <c r="U51" s="230">
        <f t="shared" si="74"/>
        <v>13</v>
      </c>
      <c r="V51" s="230"/>
      <c r="W51" s="197">
        <f t="shared" si="47"/>
        <v>0</v>
      </c>
      <c r="X51" s="197">
        <f t="shared" si="48"/>
        <v>0</v>
      </c>
      <c r="Y51" s="197">
        <f t="shared" si="49"/>
        <v>910000</v>
      </c>
      <c r="Z51" s="197">
        <f t="shared" si="50"/>
        <v>0</v>
      </c>
      <c r="AA51" s="284">
        <v>0</v>
      </c>
      <c r="AB51" s="188">
        <f t="shared" si="51"/>
        <v>0</v>
      </c>
      <c r="AC51" s="230">
        <v>2</v>
      </c>
      <c r="AD51" s="188">
        <v>22000</v>
      </c>
      <c r="AE51" s="230">
        <v>0</v>
      </c>
      <c r="AF51" s="188">
        <f t="shared" si="53"/>
        <v>0</v>
      </c>
      <c r="AG51" s="230">
        <v>0</v>
      </c>
      <c r="AH51" s="188">
        <f t="shared" si="54"/>
        <v>0</v>
      </c>
      <c r="AI51" s="230"/>
      <c r="AJ51" s="188">
        <f t="shared" si="55"/>
        <v>0</v>
      </c>
      <c r="AK51" s="230">
        <v>0</v>
      </c>
      <c r="AL51" s="188">
        <f t="shared" si="56"/>
        <v>0</v>
      </c>
      <c r="AM51" s="230">
        <v>0</v>
      </c>
      <c r="AN51" s="188">
        <f t="shared" ref="AN51:AN63" si="75">AM51*F51</f>
        <v>0</v>
      </c>
      <c r="AO51" s="230">
        <v>0</v>
      </c>
      <c r="AP51" s="188">
        <f t="shared" si="72"/>
        <v>0</v>
      </c>
      <c r="AQ51" s="230">
        <v>0</v>
      </c>
      <c r="AR51" s="188">
        <f t="shared" si="57"/>
        <v>0</v>
      </c>
      <c r="AS51" s="230">
        <v>6</v>
      </c>
      <c r="AT51" s="188">
        <v>132000</v>
      </c>
      <c r="AU51" s="230">
        <v>4</v>
      </c>
      <c r="AV51" s="188">
        <f t="shared" si="58"/>
        <v>280000</v>
      </c>
      <c r="AW51" s="281">
        <v>0</v>
      </c>
      <c r="AX51" s="188">
        <f t="shared" si="59"/>
        <v>0</v>
      </c>
      <c r="AY51" s="233">
        <v>0</v>
      </c>
      <c r="AZ51" s="188">
        <f t="shared" si="73"/>
        <v>0</v>
      </c>
      <c r="BA51" s="281">
        <v>0</v>
      </c>
      <c r="BB51" s="188">
        <f t="shared" si="60"/>
        <v>0</v>
      </c>
      <c r="BC51" s="285">
        <v>0</v>
      </c>
      <c r="BD51" s="188">
        <f t="shared" si="61"/>
        <v>0</v>
      </c>
      <c r="BE51" s="230">
        <v>0</v>
      </c>
      <c r="BF51" s="188">
        <f t="shared" si="62"/>
        <v>0</v>
      </c>
      <c r="BG51" s="230">
        <v>1</v>
      </c>
      <c r="BH51" s="188">
        <f t="shared" si="63"/>
        <v>70000</v>
      </c>
      <c r="BI51" s="230"/>
      <c r="BJ51" s="188">
        <f t="shared" si="64"/>
        <v>0</v>
      </c>
      <c r="BK51" s="188">
        <f t="shared" si="65"/>
        <v>13</v>
      </c>
      <c r="BL51" s="188">
        <f t="shared" si="66"/>
        <v>504000</v>
      </c>
      <c r="BM51" s="212" t="s">
        <v>216</v>
      </c>
      <c r="BN51" s="201"/>
      <c r="BO51" s="195"/>
      <c r="BP51" s="283"/>
      <c r="BQ51" s="225">
        <f t="shared" si="67"/>
        <v>504000</v>
      </c>
      <c r="BR51" s="283"/>
      <c r="BS51" s="190">
        <f t="shared" si="43"/>
        <v>504000</v>
      </c>
      <c r="BT51" s="283"/>
      <c r="BU51" s="283"/>
      <c r="BV51" s="190"/>
      <c r="BW51" s="191">
        <f t="shared" si="68"/>
        <v>504000</v>
      </c>
    </row>
    <row r="52" spans="1:75" s="237" customFormat="1" ht="18" customHeight="1" x14ac:dyDescent="0.25">
      <c r="A52" s="271"/>
      <c r="B52" s="169"/>
      <c r="C52" s="244" t="s">
        <v>818</v>
      </c>
      <c r="D52" s="286" t="s">
        <v>787</v>
      </c>
      <c r="E52" s="229" t="s">
        <v>75</v>
      </c>
      <c r="F52" s="208">
        <v>9000</v>
      </c>
      <c r="G52" s="194">
        <f t="shared" si="69"/>
        <v>2</v>
      </c>
      <c r="H52" s="195">
        <f>G52*F52</f>
        <v>18000</v>
      </c>
      <c r="I52" s="195">
        <f t="shared" si="44"/>
        <v>1800</v>
      </c>
      <c r="J52" s="195">
        <f t="shared" si="45"/>
        <v>14400</v>
      </c>
      <c r="K52" s="195"/>
      <c r="L52" s="195"/>
      <c r="M52" s="195"/>
      <c r="N52" s="195"/>
      <c r="O52" s="195"/>
      <c r="P52" s="195"/>
      <c r="Q52" s="195">
        <f t="shared" si="46"/>
        <v>1800</v>
      </c>
      <c r="R52" s="195"/>
      <c r="S52" s="230"/>
      <c r="T52" s="230"/>
      <c r="U52" s="230">
        <f t="shared" si="74"/>
        <v>2</v>
      </c>
      <c r="V52" s="230"/>
      <c r="W52" s="197">
        <f t="shared" si="47"/>
        <v>0</v>
      </c>
      <c r="X52" s="197">
        <f t="shared" si="48"/>
        <v>0</v>
      </c>
      <c r="Y52" s="197">
        <f t="shared" si="49"/>
        <v>18000</v>
      </c>
      <c r="Z52" s="197">
        <f t="shared" si="50"/>
        <v>0</v>
      </c>
      <c r="AA52" s="284">
        <v>0</v>
      </c>
      <c r="AB52" s="188">
        <f t="shared" si="51"/>
        <v>0</v>
      </c>
      <c r="AC52" s="230">
        <v>0</v>
      </c>
      <c r="AD52" s="188">
        <f t="shared" ref="AD52:AD58" si="76">AC52*F52</f>
        <v>0</v>
      </c>
      <c r="AE52" s="230">
        <v>0</v>
      </c>
      <c r="AF52" s="188">
        <f t="shared" si="53"/>
        <v>0</v>
      </c>
      <c r="AG52" s="230">
        <v>0</v>
      </c>
      <c r="AH52" s="188">
        <f t="shared" si="54"/>
        <v>0</v>
      </c>
      <c r="AI52" s="230">
        <v>0</v>
      </c>
      <c r="AJ52" s="188">
        <f t="shared" si="55"/>
        <v>0</v>
      </c>
      <c r="AK52" s="230">
        <v>0</v>
      </c>
      <c r="AL52" s="188">
        <f t="shared" si="56"/>
        <v>0</v>
      </c>
      <c r="AM52" s="230">
        <v>0</v>
      </c>
      <c r="AN52" s="188">
        <f t="shared" si="75"/>
        <v>0</v>
      </c>
      <c r="AO52" s="230">
        <v>0</v>
      </c>
      <c r="AP52" s="188">
        <f t="shared" si="72"/>
        <v>0</v>
      </c>
      <c r="AQ52" s="230">
        <v>0</v>
      </c>
      <c r="AR52" s="188">
        <f t="shared" si="57"/>
        <v>0</v>
      </c>
      <c r="AS52" s="230">
        <v>0</v>
      </c>
      <c r="AT52" s="188">
        <f>AS52*F52</f>
        <v>0</v>
      </c>
      <c r="AU52" s="230">
        <v>0</v>
      </c>
      <c r="AV52" s="188">
        <f t="shared" si="58"/>
        <v>0</v>
      </c>
      <c r="AW52" s="281">
        <v>0</v>
      </c>
      <c r="AX52" s="188">
        <f t="shared" si="59"/>
        <v>0</v>
      </c>
      <c r="AY52" s="233">
        <v>0</v>
      </c>
      <c r="AZ52" s="188">
        <f t="shared" si="73"/>
        <v>0</v>
      </c>
      <c r="BA52" s="281">
        <v>0</v>
      </c>
      <c r="BB52" s="188">
        <f t="shared" si="60"/>
        <v>0</v>
      </c>
      <c r="BC52" s="285">
        <v>0</v>
      </c>
      <c r="BD52" s="188">
        <f t="shared" si="61"/>
        <v>0</v>
      </c>
      <c r="BE52" s="230">
        <v>0</v>
      </c>
      <c r="BF52" s="188">
        <f t="shared" si="62"/>
        <v>0</v>
      </c>
      <c r="BG52" s="230">
        <v>2</v>
      </c>
      <c r="BH52" s="188">
        <f t="shared" si="63"/>
        <v>18000</v>
      </c>
      <c r="BI52" s="230"/>
      <c r="BJ52" s="188">
        <f t="shared" si="64"/>
        <v>0</v>
      </c>
      <c r="BK52" s="188">
        <f t="shared" si="65"/>
        <v>2</v>
      </c>
      <c r="BL52" s="188">
        <f t="shared" si="66"/>
        <v>18000</v>
      </c>
      <c r="BM52" s="212" t="s">
        <v>216</v>
      </c>
      <c r="BN52" s="201"/>
      <c r="BO52" s="195"/>
      <c r="BP52" s="283"/>
      <c r="BQ52" s="225">
        <f t="shared" si="67"/>
        <v>18000</v>
      </c>
      <c r="BR52" s="283"/>
      <c r="BS52" s="190">
        <f t="shared" si="43"/>
        <v>18000</v>
      </c>
      <c r="BT52" s="283"/>
      <c r="BU52" s="283"/>
      <c r="BV52" s="190"/>
      <c r="BW52" s="191">
        <f t="shared" si="68"/>
        <v>18000</v>
      </c>
    </row>
    <row r="53" spans="1:75" s="237" customFormat="1" ht="18" customHeight="1" x14ac:dyDescent="0.25">
      <c r="A53" s="271"/>
      <c r="B53" s="169"/>
      <c r="C53" s="244" t="s">
        <v>819</v>
      </c>
      <c r="D53" s="286" t="s">
        <v>788</v>
      </c>
      <c r="E53" s="229" t="s">
        <v>75</v>
      </c>
      <c r="F53" s="208">
        <v>9000</v>
      </c>
      <c r="G53" s="194">
        <f t="shared" si="69"/>
        <v>50</v>
      </c>
      <c r="H53" s="195">
        <f>G53*F53</f>
        <v>450000</v>
      </c>
      <c r="I53" s="195">
        <f t="shared" si="44"/>
        <v>45000</v>
      </c>
      <c r="J53" s="195">
        <f t="shared" si="45"/>
        <v>360000</v>
      </c>
      <c r="K53" s="195"/>
      <c r="L53" s="195"/>
      <c r="M53" s="195"/>
      <c r="N53" s="195"/>
      <c r="O53" s="195"/>
      <c r="P53" s="195"/>
      <c r="Q53" s="195">
        <f t="shared" si="46"/>
        <v>45000</v>
      </c>
      <c r="R53" s="195"/>
      <c r="S53" s="230"/>
      <c r="T53" s="230"/>
      <c r="U53" s="230">
        <f t="shared" si="74"/>
        <v>50</v>
      </c>
      <c r="V53" s="230"/>
      <c r="W53" s="197">
        <f t="shared" si="47"/>
        <v>0</v>
      </c>
      <c r="X53" s="197">
        <f t="shared" si="48"/>
        <v>0</v>
      </c>
      <c r="Y53" s="197">
        <f t="shared" si="49"/>
        <v>450000</v>
      </c>
      <c r="Z53" s="197">
        <f t="shared" si="50"/>
        <v>0</v>
      </c>
      <c r="AA53" s="284">
        <v>5</v>
      </c>
      <c r="AB53" s="188">
        <f t="shared" si="51"/>
        <v>45000</v>
      </c>
      <c r="AC53" s="230">
        <v>0</v>
      </c>
      <c r="AD53" s="188">
        <f t="shared" si="76"/>
        <v>0</v>
      </c>
      <c r="AE53" s="230">
        <v>0</v>
      </c>
      <c r="AF53" s="188">
        <f t="shared" si="53"/>
        <v>0</v>
      </c>
      <c r="AG53" s="230">
        <v>10</v>
      </c>
      <c r="AH53" s="188">
        <f t="shared" si="54"/>
        <v>90000</v>
      </c>
      <c r="AI53" s="230">
        <v>10</v>
      </c>
      <c r="AJ53" s="188">
        <f t="shared" si="55"/>
        <v>90000</v>
      </c>
      <c r="AK53" s="230">
        <v>0</v>
      </c>
      <c r="AL53" s="188">
        <f t="shared" si="56"/>
        <v>0</v>
      </c>
      <c r="AM53" s="230">
        <v>5</v>
      </c>
      <c r="AN53" s="188">
        <f t="shared" si="75"/>
        <v>45000</v>
      </c>
      <c r="AO53" s="230">
        <v>0</v>
      </c>
      <c r="AP53" s="188">
        <f t="shared" si="72"/>
        <v>0</v>
      </c>
      <c r="AQ53" s="230">
        <v>0</v>
      </c>
      <c r="AR53" s="188">
        <f t="shared" si="57"/>
        <v>0</v>
      </c>
      <c r="AS53" s="230">
        <v>10</v>
      </c>
      <c r="AT53" s="188">
        <f>AS53*F53</f>
        <v>90000</v>
      </c>
      <c r="AU53" s="230">
        <v>0</v>
      </c>
      <c r="AV53" s="188">
        <f t="shared" si="58"/>
        <v>0</v>
      </c>
      <c r="AW53" s="281">
        <v>0</v>
      </c>
      <c r="AX53" s="188">
        <f t="shared" si="59"/>
        <v>0</v>
      </c>
      <c r="AY53" s="233">
        <v>0</v>
      </c>
      <c r="AZ53" s="188">
        <f t="shared" si="73"/>
        <v>0</v>
      </c>
      <c r="BA53" s="281">
        <v>0</v>
      </c>
      <c r="BB53" s="188">
        <f t="shared" si="60"/>
        <v>0</v>
      </c>
      <c r="BC53" s="285">
        <v>10</v>
      </c>
      <c r="BD53" s="188">
        <f t="shared" si="61"/>
        <v>90000</v>
      </c>
      <c r="BE53" s="230">
        <v>0</v>
      </c>
      <c r="BF53" s="188">
        <f t="shared" si="62"/>
        <v>0</v>
      </c>
      <c r="BG53" s="230">
        <v>0</v>
      </c>
      <c r="BH53" s="188">
        <f t="shared" si="63"/>
        <v>0</v>
      </c>
      <c r="BI53" s="230"/>
      <c r="BJ53" s="188">
        <f t="shared" si="64"/>
        <v>0</v>
      </c>
      <c r="BK53" s="188">
        <f t="shared" si="65"/>
        <v>50</v>
      </c>
      <c r="BL53" s="188">
        <f t="shared" si="66"/>
        <v>450000</v>
      </c>
      <c r="BM53" s="212" t="s">
        <v>216</v>
      </c>
      <c r="BN53" s="201"/>
      <c r="BO53" s="195"/>
      <c r="BP53" s="283"/>
      <c r="BQ53" s="225">
        <f t="shared" si="67"/>
        <v>450000</v>
      </c>
      <c r="BR53" s="283"/>
      <c r="BS53" s="190">
        <f t="shared" si="43"/>
        <v>450000</v>
      </c>
      <c r="BT53" s="283"/>
      <c r="BU53" s="283"/>
      <c r="BV53" s="190"/>
      <c r="BW53" s="191">
        <f t="shared" si="68"/>
        <v>450000</v>
      </c>
    </row>
    <row r="54" spans="1:75" s="237" customFormat="1" ht="18" customHeight="1" x14ac:dyDescent="0.25">
      <c r="A54" s="271"/>
      <c r="B54" s="169"/>
      <c r="C54" s="244" t="s">
        <v>820</v>
      </c>
      <c r="D54" s="274" t="s">
        <v>646</v>
      </c>
      <c r="E54" s="229" t="s">
        <v>75</v>
      </c>
      <c r="F54" s="208">
        <v>68500</v>
      </c>
      <c r="G54" s="194">
        <f t="shared" si="69"/>
        <v>49</v>
      </c>
      <c r="H54" s="194">
        <f>BL54</f>
        <v>4257200</v>
      </c>
      <c r="I54" s="195">
        <f t="shared" si="44"/>
        <v>425720</v>
      </c>
      <c r="J54" s="195">
        <f t="shared" si="45"/>
        <v>3405760</v>
      </c>
      <c r="K54" s="195"/>
      <c r="L54" s="195"/>
      <c r="M54" s="195"/>
      <c r="N54" s="195"/>
      <c r="O54" s="195"/>
      <c r="P54" s="195"/>
      <c r="Q54" s="195">
        <f t="shared" si="46"/>
        <v>425720</v>
      </c>
      <c r="R54" s="195"/>
      <c r="S54" s="198"/>
      <c r="T54" s="198"/>
      <c r="U54" s="230">
        <f t="shared" si="74"/>
        <v>49</v>
      </c>
      <c r="V54" s="230">
        <v>0</v>
      </c>
      <c r="W54" s="197">
        <f t="shared" si="47"/>
        <v>0</v>
      </c>
      <c r="X54" s="197">
        <f t="shared" si="48"/>
        <v>0</v>
      </c>
      <c r="Y54" s="197">
        <f t="shared" si="49"/>
        <v>3356500</v>
      </c>
      <c r="Z54" s="197">
        <f t="shared" si="50"/>
        <v>0</v>
      </c>
      <c r="AA54" s="284">
        <v>2</v>
      </c>
      <c r="AB54" s="188">
        <f t="shared" si="51"/>
        <v>137000</v>
      </c>
      <c r="AC54" s="230">
        <v>2</v>
      </c>
      <c r="AD54" s="188">
        <f t="shared" si="76"/>
        <v>137000</v>
      </c>
      <c r="AE54" s="230">
        <v>3</v>
      </c>
      <c r="AF54" s="188">
        <f t="shared" si="53"/>
        <v>205500</v>
      </c>
      <c r="AG54" s="230">
        <v>4</v>
      </c>
      <c r="AH54" s="188">
        <f t="shared" si="54"/>
        <v>274000</v>
      </c>
      <c r="AI54" s="230">
        <v>5</v>
      </c>
      <c r="AJ54" s="188">
        <f t="shared" si="55"/>
        <v>342500</v>
      </c>
      <c r="AK54" s="230">
        <v>0</v>
      </c>
      <c r="AL54" s="188">
        <f t="shared" si="56"/>
        <v>0</v>
      </c>
      <c r="AM54" s="230">
        <v>0</v>
      </c>
      <c r="AN54" s="188">
        <f t="shared" si="75"/>
        <v>0</v>
      </c>
      <c r="AO54" s="230">
        <v>5</v>
      </c>
      <c r="AP54" s="188">
        <f t="shared" si="72"/>
        <v>342500</v>
      </c>
      <c r="AQ54" s="230">
        <v>5</v>
      </c>
      <c r="AR54" s="188">
        <f t="shared" si="57"/>
        <v>342500</v>
      </c>
      <c r="AS54" s="230">
        <v>5</v>
      </c>
      <c r="AT54" s="188">
        <v>1243200</v>
      </c>
      <c r="AU54" s="230">
        <v>4</v>
      </c>
      <c r="AV54" s="188">
        <f t="shared" si="58"/>
        <v>274000</v>
      </c>
      <c r="AW54" s="281">
        <v>2</v>
      </c>
      <c r="AX54" s="188">
        <f t="shared" si="59"/>
        <v>137000</v>
      </c>
      <c r="AY54" s="233">
        <v>0</v>
      </c>
      <c r="AZ54" s="188">
        <f t="shared" si="73"/>
        <v>0</v>
      </c>
      <c r="BA54" s="281">
        <v>6</v>
      </c>
      <c r="BB54" s="188">
        <f t="shared" si="60"/>
        <v>411000</v>
      </c>
      <c r="BC54" s="285">
        <v>0</v>
      </c>
      <c r="BD54" s="188">
        <f t="shared" si="61"/>
        <v>0</v>
      </c>
      <c r="BE54" s="230">
        <v>4</v>
      </c>
      <c r="BF54" s="188">
        <f t="shared" si="62"/>
        <v>274000</v>
      </c>
      <c r="BG54" s="230">
        <v>2</v>
      </c>
      <c r="BH54" s="188">
        <f t="shared" si="63"/>
        <v>137000</v>
      </c>
      <c r="BI54" s="230"/>
      <c r="BJ54" s="188">
        <f t="shared" si="64"/>
        <v>0</v>
      </c>
      <c r="BK54" s="188">
        <f t="shared" si="65"/>
        <v>49</v>
      </c>
      <c r="BL54" s="188">
        <f t="shared" si="66"/>
        <v>4257200</v>
      </c>
      <c r="BM54" s="212" t="s">
        <v>216</v>
      </c>
      <c r="BN54" s="201"/>
      <c r="BO54" s="195"/>
      <c r="BP54" s="283"/>
      <c r="BQ54" s="225">
        <f>H54</f>
        <v>4257200</v>
      </c>
      <c r="BR54" s="283"/>
      <c r="BS54" s="190">
        <f>BO54+BP54+BQ54+BR54</f>
        <v>4257200</v>
      </c>
      <c r="BT54" s="283"/>
      <c r="BU54" s="283"/>
      <c r="BV54" s="190"/>
      <c r="BW54" s="191">
        <f>BS54+BT54+BU54+BV54</f>
        <v>4257200</v>
      </c>
    </row>
    <row r="55" spans="1:75" s="237" customFormat="1" ht="18" customHeight="1" x14ac:dyDescent="0.25">
      <c r="A55" s="271"/>
      <c r="B55" s="169"/>
      <c r="C55" s="244" t="s">
        <v>821</v>
      </c>
      <c r="D55" s="274" t="s">
        <v>789</v>
      </c>
      <c r="E55" s="229"/>
      <c r="F55" s="208">
        <v>30000</v>
      </c>
      <c r="G55" s="194">
        <f t="shared" si="69"/>
        <v>6</v>
      </c>
      <c r="H55" s="194">
        <f t="shared" si="71"/>
        <v>466167</v>
      </c>
      <c r="I55" s="195">
        <f t="shared" si="44"/>
        <v>46616.700000000004</v>
      </c>
      <c r="J55" s="195">
        <f t="shared" si="45"/>
        <v>372933.60000000003</v>
      </c>
      <c r="K55" s="195"/>
      <c r="L55" s="195"/>
      <c r="M55" s="195"/>
      <c r="N55" s="195"/>
      <c r="O55" s="195"/>
      <c r="P55" s="195"/>
      <c r="Q55" s="195">
        <f t="shared" si="46"/>
        <v>46616.700000000004</v>
      </c>
      <c r="R55" s="195"/>
      <c r="S55" s="198"/>
      <c r="T55" s="198"/>
      <c r="U55" s="230">
        <v>20</v>
      </c>
      <c r="V55" s="230">
        <v>10</v>
      </c>
      <c r="W55" s="197">
        <f t="shared" si="47"/>
        <v>0</v>
      </c>
      <c r="X55" s="197">
        <f t="shared" si="48"/>
        <v>0</v>
      </c>
      <c r="Y55" s="197">
        <f t="shared" si="49"/>
        <v>600000</v>
      </c>
      <c r="Z55" s="197">
        <f t="shared" si="50"/>
        <v>300000</v>
      </c>
      <c r="AA55" s="284">
        <v>0</v>
      </c>
      <c r="AB55" s="188">
        <f t="shared" si="51"/>
        <v>0</v>
      </c>
      <c r="AC55" s="230">
        <v>0</v>
      </c>
      <c r="AD55" s="188">
        <f t="shared" si="76"/>
        <v>0</v>
      </c>
      <c r="AE55" s="230">
        <v>0</v>
      </c>
      <c r="AF55" s="188">
        <f t="shared" si="53"/>
        <v>0</v>
      </c>
      <c r="AG55" s="230">
        <v>3</v>
      </c>
      <c r="AH55" s="188">
        <f t="shared" si="54"/>
        <v>90000</v>
      </c>
      <c r="AI55" s="230"/>
      <c r="AJ55" s="188">
        <f t="shared" si="55"/>
        <v>0</v>
      </c>
      <c r="AK55" s="230">
        <v>0</v>
      </c>
      <c r="AL55" s="188">
        <f t="shared" si="56"/>
        <v>0</v>
      </c>
      <c r="AM55" s="230">
        <v>2</v>
      </c>
      <c r="AN55" s="188">
        <f t="shared" si="75"/>
        <v>60000</v>
      </c>
      <c r="AO55" s="230">
        <v>0</v>
      </c>
      <c r="AP55" s="188">
        <f t="shared" si="72"/>
        <v>0</v>
      </c>
      <c r="AQ55" s="230">
        <v>0</v>
      </c>
      <c r="AR55" s="188">
        <f t="shared" si="57"/>
        <v>0</v>
      </c>
      <c r="AS55" s="230">
        <v>0</v>
      </c>
      <c r="AT55" s="188">
        <v>286167</v>
      </c>
      <c r="AU55" s="230"/>
      <c r="AV55" s="188">
        <f t="shared" si="58"/>
        <v>0</v>
      </c>
      <c r="AW55" s="281">
        <v>0</v>
      </c>
      <c r="AX55" s="188">
        <f t="shared" si="59"/>
        <v>0</v>
      </c>
      <c r="AY55" s="233">
        <v>0</v>
      </c>
      <c r="AZ55" s="188">
        <f t="shared" si="73"/>
        <v>0</v>
      </c>
      <c r="BA55" s="281">
        <v>1</v>
      </c>
      <c r="BB55" s="188">
        <f t="shared" si="60"/>
        <v>30000</v>
      </c>
      <c r="BC55" s="285">
        <v>0</v>
      </c>
      <c r="BD55" s="188">
        <f t="shared" si="61"/>
        <v>0</v>
      </c>
      <c r="BE55" s="230">
        <v>0</v>
      </c>
      <c r="BF55" s="188">
        <f t="shared" si="62"/>
        <v>0</v>
      </c>
      <c r="BG55" s="230">
        <v>0</v>
      </c>
      <c r="BH55" s="188">
        <f t="shared" si="63"/>
        <v>0</v>
      </c>
      <c r="BI55" s="230"/>
      <c r="BJ55" s="188">
        <f t="shared" si="64"/>
        <v>0</v>
      </c>
      <c r="BK55" s="188">
        <f t="shared" si="65"/>
        <v>6</v>
      </c>
      <c r="BL55" s="188">
        <f t="shared" si="66"/>
        <v>466167</v>
      </c>
      <c r="BM55" s="212" t="s">
        <v>216</v>
      </c>
      <c r="BN55" s="201"/>
      <c r="BO55" s="195"/>
      <c r="BP55" s="283"/>
      <c r="BQ55" s="225">
        <f>H55</f>
        <v>466167</v>
      </c>
      <c r="BR55" s="283"/>
      <c r="BS55" s="190">
        <f>BO55+BP55+BQ55+BR55</f>
        <v>466167</v>
      </c>
      <c r="BT55" s="283"/>
      <c r="BU55" s="283"/>
      <c r="BV55" s="190"/>
      <c r="BW55" s="191">
        <f>BS55+BT55+BU55+BV55</f>
        <v>466167</v>
      </c>
    </row>
    <row r="56" spans="1:75" s="237" customFormat="1" ht="18" customHeight="1" x14ac:dyDescent="0.25">
      <c r="A56" s="271"/>
      <c r="B56" s="169"/>
      <c r="C56" s="244" t="s">
        <v>822</v>
      </c>
      <c r="D56" s="274" t="s">
        <v>267</v>
      </c>
      <c r="E56" s="229" t="s">
        <v>75</v>
      </c>
      <c r="F56" s="208">
        <v>48300</v>
      </c>
      <c r="G56" s="194">
        <f t="shared" si="69"/>
        <v>34</v>
      </c>
      <c r="H56" s="195">
        <f>G56*F56</f>
        <v>1642200</v>
      </c>
      <c r="I56" s="195">
        <f t="shared" si="44"/>
        <v>164220</v>
      </c>
      <c r="J56" s="195">
        <f t="shared" si="45"/>
        <v>1313760</v>
      </c>
      <c r="K56" s="195"/>
      <c r="L56" s="195"/>
      <c r="M56" s="195"/>
      <c r="N56" s="195"/>
      <c r="O56" s="195"/>
      <c r="P56" s="195"/>
      <c r="Q56" s="195">
        <f t="shared" si="46"/>
        <v>164220</v>
      </c>
      <c r="R56" s="195"/>
      <c r="S56" s="230"/>
      <c r="T56" s="230"/>
      <c r="U56" s="230">
        <f>G56</f>
        <v>34</v>
      </c>
      <c r="V56" s="230"/>
      <c r="W56" s="197">
        <f t="shared" si="47"/>
        <v>0</v>
      </c>
      <c r="X56" s="197">
        <f t="shared" si="48"/>
        <v>0</v>
      </c>
      <c r="Y56" s="197">
        <f t="shared" si="49"/>
        <v>1642200</v>
      </c>
      <c r="Z56" s="197">
        <f t="shared" si="50"/>
        <v>0</v>
      </c>
      <c r="AA56" s="284">
        <v>5</v>
      </c>
      <c r="AB56" s="188">
        <f t="shared" si="51"/>
        <v>241500</v>
      </c>
      <c r="AC56" s="230">
        <v>3</v>
      </c>
      <c r="AD56" s="188">
        <f t="shared" si="76"/>
        <v>144900</v>
      </c>
      <c r="AE56" s="230">
        <v>0</v>
      </c>
      <c r="AF56" s="188">
        <f t="shared" si="53"/>
        <v>0</v>
      </c>
      <c r="AG56" s="230">
        <v>3</v>
      </c>
      <c r="AH56" s="188">
        <f t="shared" si="54"/>
        <v>144900</v>
      </c>
      <c r="AI56" s="230">
        <v>1</v>
      </c>
      <c r="AJ56" s="188">
        <f t="shared" si="55"/>
        <v>48300</v>
      </c>
      <c r="AK56" s="230">
        <v>0</v>
      </c>
      <c r="AL56" s="188">
        <f t="shared" si="56"/>
        <v>0</v>
      </c>
      <c r="AM56" s="230">
        <v>2</v>
      </c>
      <c r="AN56" s="188">
        <f t="shared" si="75"/>
        <v>96600</v>
      </c>
      <c r="AO56" s="230">
        <v>2</v>
      </c>
      <c r="AP56" s="188">
        <f t="shared" si="72"/>
        <v>96600</v>
      </c>
      <c r="AQ56" s="230">
        <v>0</v>
      </c>
      <c r="AR56" s="188">
        <f t="shared" si="57"/>
        <v>0</v>
      </c>
      <c r="AS56" s="230">
        <v>4</v>
      </c>
      <c r="AT56" s="188">
        <f>AS56*F56</f>
        <v>193200</v>
      </c>
      <c r="AU56" s="230">
        <v>0</v>
      </c>
      <c r="AV56" s="188">
        <f t="shared" si="58"/>
        <v>0</v>
      </c>
      <c r="AW56" s="281">
        <v>2</v>
      </c>
      <c r="AX56" s="188">
        <f t="shared" si="59"/>
        <v>96600</v>
      </c>
      <c r="AY56" s="233">
        <v>0</v>
      </c>
      <c r="AZ56" s="188">
        <f t="shared" si="73"/>
        <v>0</v>
      </c>
      <c r="BA56" s="281">
        <v>0</v>
      </c>
      <c r="BB56" s="188">
        <f t="shared" si="60"/>
        <v>0</v>
      </c>
      <c r="BC56" s="285">
        <v>6</v>
      </c>
      <c r="BD56" s="188">
        <f t="shared" si="61"/>
        <v>289800</v>
      </c>
      <c r="BE56" s="230">
        <v>4</v>
      </c>
      <c r="BF56" s="188">
        <f t="shared" si="62"/>
        <v>193200</v>
      </c>
      <c r="BG56" s="230">
        <v>2</v>
      </c>
      <c r="BH56" s="188">
        <f t="shared" si="63"/>
        <v>96600</v>
      </c>
      <c r="BI56" s="230"/>
      <c r="BJ56" s="188">
        <f t="shared" si="64"/>
        <v>0</v>
      </c>
      <c r="BK56" s="188">
        <f t="shared" si="65"/>
        <v>34</v>
      </c>
      <c r="BL56" s="188">
        <f t="shared" si="66"/>
        <v>1642200</v>
      </c>
      <c r="BM56" s="212" t="s">
        <v>216</v>
      </c>
      <c r="BN56" s="201"/>
      <c r="BO56" s="195"/>
      <c r="BP56" s="283"/>
      <c r="BQ56" s="225">
        <f t="shared" ref="BQ56:BQ63" si="77">H56</f>
        <v>1642200</v>
      </c>
      <c r="BR56" s="283"/>
      <c r="BS56" s="190">
        <f t="shared" ref="BS56:BS63" si="78">BO56+BP56+BQ56+BR56</f>
        <v>1642200</v>
      </c>
      <c r="BT56" s="283"/>
      <c r="BU56" s="283"/>
      <c r="BV56" s="190"/>
      <c r="BW56" s="191">
        <f t="shared" ref="BW56:BW63" si="79">BS56+BT56+BU56+BV56</f>
        <v>1642200</v>
      </c>
    </row>
    <row r="57" spans="1:75" s="237" customFormat="1" ht="18" customHeight="1" x14ac:dyDescent="0.25">
      <c r="A57" s="271"/>
      <c r="B57" s="169"/>
      <c r="C57" s="244" t="s">
        <v>823</v>
      </c>
      <c r="D57" s="274" t="s">
        <v>247</v>
      </c>
      <c r="E57" s="229" t="s">
        <v>75</v>
      </c>
      <c r="F57" s="208">
        <v>27500</v>
      </c>
      <c r="G57" s="194">
        <f t="shared" si="69"/>
        <v>76</v>
      </c>
      <c r="H57" s="194">
        <f>BL57</f>
        <v>2376000</v>
      </c>
      <c r="I57" s="195">
        <f t="shared" si="44"/>
        <v>237600</v>
      </c>
      <c r="J57" s="195">
        <f t="shared" si="45"/>
        <v>1900800</v>
      </c>
      <c r="K57" s="195"/>
      <c r="L57" s="195"/>
      <c r="M57" s="195"/>
      <c r="N57" s="195"/>
      <c r="O57" s="195"/>
      <c r="P57" s="195"/>
      <c r="Q57" s="195">
        <f t="shared" si="46"/>
        <v>237600</v>
      </c>
      <c r="R57" s="195"/>
      <c r="S57" s="230"/>
      <c r="T57" s="230"/>
      <c r="U57" s="230">
        <f>G57</f>
        <v>76</v>
      </c>
      <c r="V57" s="230"/>
      <c r="W57" s="197">
        <f t="shared" si="47"/>
        <v>0</v>
      </c>
      <c r="X57" s="197">
        <f t="shared" si="48"/>
        <v>0</v>
      </c>
      <c r="Y57" s="197">
        <f t="shared" si="49"/>
        <v>2090000</v>
      </c>
      <c r="Z57" s="197">
        <f t="shared" si="50"/>
        <v>0</v>
      </c>
      <c r="AA57" s="284">
        <v>6</v>
      </c>
      <c r="AB57" s="188">
        <f t="shared" si="51"/>
        <v>165000</v>
      </c>
      <c r="AC57" s="230">
        <v>5</v>
      </c>
      <c r="AD57" s="188">
        <f t="shared" si="76"/>
        <v>137500</v>
      </c>
      <c r="AE57" s="230">
        <v>5</v>
      </c>
      <c r="AF57" s="188">
        <f t="shared" si="53"/>
        <v>137500</v>
      </c>
      <c r="AG57" s="230">
        <v>4</v>
      </c>
      <c r="AH57" s="188">
        <f t="shared" si="54"/>
        <v>110000</v>
      </c>
      <c r="AI57" s="230">
        <v>5</v>
      </c>
      <c r="AJ57" s="188">
        <f t="shared" si="55"/>
        <v>137500</v>
      </c>
      <c r="AK57" s="230">
        <v>4</v>
      </c>
      <c r="AL57" s="188">
        <f t="shared" si="56"/>
        <v>110000</v>
      </c>
      <c r="AM57" s="230">
        <v>5</v>
      </c>
      <c r="AN57" s="188">
        <f t="shared" si="75"/>
        <v>137500</v>
      </c>
      <c r="AO57" s="230">
        <v>2</v>
      </c>
      <c r="AP57" s="188">
        <f t="shared" si="72"/>
        <v>55000</v>
      </c>
      <c r="AQ57" s="230">
        <v>10</v>
      </c>
      <c r="AR57" s="188">
        <v>550000</v>
      </c>
      <c r="AS57" s="230">
        <v>10</v>
      </c>
      <c r="AT57" s="188">
        <f>AS57*F57</f>
        <v>275000</v>
      </c>
      <c r="AU57" s="230">
        <v>4</v>
      </c>
      <c r="AV57" s="188">
        <f t="shared" si="58"/>
        <v>110000</v>
      </c>
      <c r="AW57" s="281">
        <v>4</v>
      </c>
      <c r="AX57" s="188">
        <f>(AW57*F57)+11000</f>
        <v>121000</v>
      </c>
      <c r="AY57" s="233">
        <v>0</v>
      </c>
      <c r="AZ57" s="188">
        <f t="shared" si="73"/>
        <v>0</v>
      </c>
      <c r="BA57" s="281">
        <v>10</v>
      </c>
      <c r="BB57" s="188">
        <f t="shared" si="60"/>
        <v>275000</v>
      </c>
      <c r="BC57" s="285">
        <v>0</v>
      </c>
      <c r="BD57" s="188">
        <f t="shared" si="61"/>
        <v>0</v>
      </c>
      <c r="BE57" s="230">
        <v>0</v>
      </c>
      <c r="BF57" s="188">
        <f t="shared" si="62"/>
        <v>0</v>
      </c>
      <c r="BG57" s="230">
        <v>2</v>
      </c>
      <c r="BH57" s="188">
        <f t="shared" si="63"/>
        <v>55000</v>
      </c>
      <c r="BI57" s="230"/>
      <c r="BJ57" s="188">
        <f t="shared" si="64"/>
        <v>0</v>
      </c>
      <c r="BK57" s="188">
        <f t="shared" si="65"/>
        <v>76</v>
      </c>
      <c r="BL57" s="188">
        <f t="shared" si="66"/>
        <v>2376000</v>
      </c>
      <c r="BM57" s="212" t="s">
        <v>216</v>
      </c>
      <c r="BN57" s="201"/>
      <c r="BO57" s="195"/>
      <c r="BP57" s="283"/>
      <c r="BQ57" s="225">
        <f t="shared" si="77"/>
        <v>2376000</v>
      </c>
      <c r="BR57" s="283"/>
      <c r="BS57" s="190">
        <f t="shared" si="78"/>
        <v>2376000</v>
      </c>
      <c r="BT57" s="283"/>
      <c r="BU57" s="283"/>
      <c r="BV57" s="190"/>
      <c r="BW57" s="191">
        <f t="shared" si="79"/>
        <v>2376000</v>
      </c>
    </row>
    <row r="58" spans="1:75" s="237" customFormat="1" ht="20.25" customHeight="1" x14ac:dyDescent="0.25">
      <c r="A58" s="271"/>
      <c r="B58" s="169"/>
      <c r="C58" s="244" t="s">
        <v>824</v>
      </c>
      <c r="D58" s="286" t="s">
        <v>250</v>
      </c>
      <c r="E58" s="229" t="s">
        <v>75</v>
      </c>
      <c r="F58" s="208">
        <v>76000</v>
      </c>
      <c r="G58" s="194">
        <f t="shared" si="69"/>
        <v>56</v>
      </c>
      <c r="H58" s="195">
        <f>G58*F58</f>
        <v>4256000</v>
      </c>
      <c r="I58" s="195">
        <f t="shared" si="44"/>
        <v>425600</v>
      </c>
      <c r="J58" s="195">
        <f t="shared" si="45"/>
        <v>3404800</v>
      </c>
      <c r="K58" s="195"/>
      <c r="L58" s="195"/>
      <c r="M58" s="195"/>
      <c r="N58" s="195"/>
      <c r="O58" s="195"/>
      <c r="P58" s="195"/>
      <c r="Q58" s="195">
        <f t="shared" si="46"/>
        <v>425600</v>
      </c>
      <c r="R58" s="195"/>
      <c r="S58" s="198">
        <f>G58*0.65</f>
        <v>36.4</v>
      </c>
      <c r="T58" s="198">
        <f>G58*0.35</f>
        <v>19.599999999999998</v>
      </c>
      <c r="U58" s="230"/>
      <c r="V58" s="230"/>
      <c r="W58" s="197">
        <f t="shared" si="47"/>
        <v>2766400</v>
      </c>
      <c r="X58" s="197">
        <f t="shared" si="48"/>
        <v>1489599.9999999998</v>
      </c>
      <c r="Y58" s="197">
        <f t="shared" si="49"/>
        <v>0</v>
      </c>
      <c r="Z58" s="197">
        <f t="shared" si="50"/>
        <v>0</v>
      </c>
      <c r="AA58" s="284">
        <v>3</v>
      </c>
      <c r="AB58" s="188">
        <f t="shared" si="51"/>
        <v>228000</v>
      </c>
      <c r="AC58" s="230">
        <v>4</v>
      </c>
      <c r="AD58" s="188">
        <f t="shared" si="76"/>
        <v>304000</v>
      </c>
      <c r="AE58" s="230">
        <v>0</v>
      </c>
      <c r="AF58" s="188">
        <f t="shared" si="53"/>
        <v>0</v>
      </c>
      <c r="AG58" s="230">
        <v>5</v>
      </c>
      <c r="AH58" s="188">
        <f t="shared" si="54"/>
        <v>380000</v>
      </c>
      <c r="AI58" s="230">
        <v>5</v>
      </c>
      <c r="AJ58" s="188">
        <f t="shared" si="55"/>
        <v>380000</v>
      </c>
      <c r="AK58" s="230">
        <v>1</v>
      </c>
      <c r="AL58" s="188">
        <f t="shared" si="56"/>
        <v>76000</v>
      </c>
      <c r="AM58" s="230">
        <v>5</v>
      </c>
      <c r="AN58" s="188">
        <f t="shared" si="75"/>
        <v>380000</v>
      </c>
      <c r="AO58" s="230">
        <v>2</v>
      </c>
      <c r="AP58" s="188">
        <f t="shared" si="72"/>
        <v>152000</v>
      </c>
      <c r="AQ58" s="230">
        <v>5</v>
      </c>
      <c r="AR58" s="188">
        <f>AQ58*F58</f>
        <v>380000</v>
      </c>
      <c r="AS58" s="230">
        <v>5</v>
      </c>
      <c r="AT58" s="188">
        <f>AS58*F58</f>
        <v>380000</v>
      </c>
      <c r="AU58" s="546">
        <v>2</v>
      </c>
      <c r="AV58" s="188">
        <f t="shared" si="58"/>
        <v>152000</v>
      </c>
      <c r="AW58" s="281">
        <v>0</v>
      </c>
      <c r="AX58" s="188">
        <f t="shared" ref="AX58:AX63" si="80">AW58*F58</f>
        <v>0</v>
      </c>
      <c r="AY58" s="233">
        <v>0</v>
      </c>
      <c r="AZ58" s="188">
        <f t="shared" si="73"/>
        <v>0</v>
      </c>
      <c r="BA58" s="281">
        <v>5</v>
      </c>
      <c r="BB58" s="188">
        <f t="shared" si="60"/>
        <v>380000</v>
      </c>
      <c r="BC58" s="289">
        <v>5</v>
      </c>
      <c r="BD58" s="188">
        <f t="shared" si="61"/>
        <v>380000</v>
      </c>
      <c r="BE58" s="230">
        <v>5</v>
      </c>
      <c r="BF58" s="188">
        <f t="shared" si="62"/>
        <v>380000</v>
      </c>
      <c r="BG58" s="230">
        <v>4</v>
      </c>
      <c r="BH58" s="188">
        <f t="shared" si="63"/>
        <v>304000</v>
      </c>
      <c r="BI58" s="230"/>
      <c r="BJ58" s="188">
        <f t="shared" si="64"/>
        <v>0</v>
      </c>
      <c r="BK58" s="188">
        <f t="shared" si="65"/>
        <v>56</v>
      </c>
      <c r="BL58" s="188">
        <f t="shared" si="66"/>
        <v>4256000</v>
      </c>
      <c r="BM58" s="212" t="s">
        <v>216</v>
      </c>
      <c r="BN58" s="201"/>
      <c r="BO58" s="195"/>
      <c r="BP58" s="283"/>
      <c r="BQ58" s="225">
        <f t="shared" si="77"/>
        <v>4256000</v>
      </c>
      <c r="BR58" s="283"/>
      <c r="BS58" s="190">
        <f t="shared" si="78"/>
        <v>4256000</v>
      </c>
      <c r="BT58" s="283"/>
      <c r="BU58" s="283"/>
      <c r="BV58" s="190"/>
      <c r="BW58" s="191">
        <f t="shared" si="79"/>
        <v>4256000</v>
      </c>
    </row>
    <row r="59" spans="1:75" s="237" customFormat="1" ht="20.25" customHeight="1" x14ac:dyDescent="0.25">
      <c r="A59" s="271"/>
      <c r="B59" s="169"/>
      <c r="C59" s="244" t="s">
        <v>825</v>
      </c>
      <c r="D59" s="286" t="s">
        <v>249</v>
      </c>
      <c r="E59" s="229" t="s">
        <v>75</v>
      </c>
      <c r="F59" s="208">
        <v>31250</v>
      </c>
      <c r="G59" s="194">
        <f t="shared" si="69"/>
        <v>79</v>
      </c>
      <c r="H59" s="194">
        <f>BL59</f>
        <v>2593750</v>
      </c>
      <c r="I59" s="195">
        <f t="shared" si="44"/>
        <v>259375</v>
      </c>
      <c r="J59" s="195">
        <f t="shared" si="45"/>
        <v>2075000</v>
      </c>
      <c r="K59" s="195"/>
      <c r="L59" s="195"/>
      <c r="M59" s="195"/>
      <c r="N59" s="195"/>
      <c r="O59" s="195"/>
      <c r="P59" s="195"/>
      <c r="Q59" s="195">
        <f t="shared" si="46"/>
        <v>259375</v>
      </c>
      <c r="R59" s="195"/>
      <c r="S59" s="198">
        <f>G59*0.65</f>
        <v>51.35</v>
      </c>
      <c r="T59" s="198">
        <f>G59*0.35</f>
        <v>27.65</v>
      </c>
      <c r="U59" s="230"/>
      <c r="V59" s="230"/>
      <c r="W59" s="197">
        <f t="shared" si="47"/>
        <v>1604687.5</v>
      </c>
      <c r="X59" s="197">
        <f t="shared" si="48"/>
        <v>864062.5</v>
      </c>
      <c r="Y59" s="197">
        <f t="shared" si="49"/>
        <v>0</v>
      </c>
      <c r="Z59" s="197">
        <f t="shared" si="50"/>
        <v>0</v>
      </c>
      <c r="AA59" s="284">
        <v>4</v>
      </c>
      <c r="AB59" s="188">
        <f t="shared" si="51"/>
        <v>125000</v>
      </c>
      <c r="AC59" s="230">
        <v>2</v>
      </c>
      <c r="AD59" s="188">
        <v>120000</v>
      </c>
      <c r="AE59" s="230">
        <v>5</v>
      </c>
      <c r="AF59" s="188">
        <f t="shared" si="53"/>
        <v>156250</v>
      </c>
      <c r="AG59" s="230">
        <v>10</v>
      </c>
      <c r="AH59" s="188">
        <f t="shared" si="54"/>
        <v>312500</v>
      </c>
      <c r="AI59" s="230">
        <v>15</v>
      </c>
      <c r="AJ59" s="188">
        <f t="shared" si="55"/>
        <v>468750</v>
      </c>
      <c r="AK59" s="230">
        <v>1</v>
      </c>
      <c r="AL59" s="188">
        <f t="shared" si="56"/>
        <v>31250</v>
      </c>
      <c r="AM59" s="230">
        <v>5</v>
      </c>
      <c r="AN59" s="188">
        <f t="shared" si="75"/>
        <v>156250</v>
      </c>
      <c r="AO59" s="230">
        <v>3</v>
      </c>
      <c r="AP59" s="188">
        <v>180000</v>
      </c>
      <c r="AQ59" s="230">
        <v>5</v>
      </c>
      <c r="AR59" s="188">
        <v>150000</v>
      </c>
      <c r="AS59" s="230">
        <v>10</v>
      </c>
      <c r="AT59" s="188">
        <v>300000</v>
      </c>
      <c r="AU59" s="230">
        <v>0</v>
      </c>
      <c r="AV59" s="188">
        <f t="shared" si="58"/>
        <v>0</v>
      </c>
      <c r="AW59" s="281">
        <v>4</v>
      </c>
      <c r="AX59" s="188">
        <f t="shared" si="80"/>
        <v>125000</v>
      </c>
      <c r="AY59" s="233">
        <v>5</v>
      </c>
      <c r="AZ59" s="188">
        <f t="shared" si="73"/>
        <v>156250</v>
      </c>
      <c r="BA59" s="281">
        <v>5</v>
      </c>
      <c r="BB59" s="188">
        <f t="shared" si="60"/>
        <v>156250</v>
      </c>
      <c r="BC59" s="285">
        <v>5</v>
      </c>
      <c r="BD59" s="188">
        <f t="shared" si="61"/>
        <v>156250</v>
      </c>
      <c r="BE59" s="230">
        <v>0</v>
      </c>
      <c r="BF59" s="188">
        <f t="shared" si="62"/>
        <v>0</v>
      </c>
      <c r="BG59" s="230">
        <v>0</v>
      </c>
      <c r="BH59" s="188">
        <f t="shared" si="63"/>
        <v>0</v>
      </c>
      <c r="BI59" s="230"/>
      <c r="BJ59" s="188">
        <f t="shared" si="64"/>
        <v>0</v>
      </c>
      <c r="BK59" s="188">
        <f t="shared" si="65"/>
        <v>79</v>
      </c>
      <c r="BL59" s="188">
        <f t="shared" si="66"/>
        <v>2593750</v>
      </c>
      <c r="BM59" s="212" t="s">
        <v>216</v>
      </c>
      <c r="BN59" s="201"/>
      <c r="BO59" s="195"/>
      <c r="BP59" s="283"/>
      <c r="BQ59" s="225">
        <f t="shared" si="77"/>
        <v>2593750</v>
      </c>
      <c r="BR59" s="283"/>
      <c r="BS59" s="190">
        <f t="shared" si="78"/>
        <v>2593750</v>
      </c>
      <c r="BT59" s="283"/>
      <c r="BU59" s="283"/>
      <c r="BV59" s="190"/>
      <c r="BW59" s="191">
        <f t="shared" si="79"/>
        <v>2593750</v>
      </c>
    </row>
    <row r="60" spans="1:75" s="237" customFormat="1" ht="20.25" customHeight="1" x14ac:dyDescent="0.25">
      <c r="A60" s="271"/>
      <c r="B60" s="169"/>
      <c r="C60" s="244" t="s">
        <v>826</v>
      </c>
      <c r="D60" s="286" t="s">
        <v>279</v>
      </c>
      <c r="E60" s="229" t="s">
        <v>75</v>
      </c>
      <c r="F60" s="208">
        <v>31000</v>
      </c>
      <c r="G60" s="194">
        <f t="shared" si="69"/>
        <v>24</v>
      </c>
      <c r="H60" s="195">
        <f>G60*F60</f>
        <v>744000</v>
      </c>
      <c r="I60" s="195">
        <f t="shared" si="44"/>
        <v>74400</v>
      </c>
      <c r="J60" s="195">
        <f t="shared" si="45"/>
        <v>595200</v>
      </c>
      <c r="K60" s="195"/>
      <c r="L60" s="195"/>
      <c r="M60" s="195"/>
      <c r="N60" s="195"/>
      <c r="O60" s="195"/>
      <c r="P60" s="195"/>
      <c r="Q60" s="195">
        <f t="shared" si="46"/>
        <v>74400</v>
      </c>
      <c r="R60" s="195"/>
      <c r="S60" s="230"/>
      <c r="T60" s="230"/>
      <c r="U60" s="230">
        <v>50</v>
      </c>
      <c r="V60" s="230">
        <v>6</v>
      </c>
      <c r="W60" s="197">
        <f t="shared" si="47"/>
        <v>0</v>
      </c>
      <c r="X60" s="197">
        <f t="shared" si="48"/>
        <v>0</v>
      </c>
      <c r="Y60" s="197">
        <f t="shared" si="49"/>
        <v>1550000</v>
      </c>
      <c r="Z60" s="197">
        <f t="shared" si="50"/>
        <v>186000</v>
      </c>
      <c r="AA60" s="284">
        <v>5</v>
      </c>
      <c r="AB60" s="188">
        <f t="shared" si="51"/>
        <v>155000</v>
      </c>
      <c r="AC60" s="230">
        <v>2</v>
      </c>
      <c r="AD60" s="188">
        <f>AC60*F60</f>
        <v>62000</v>
      </c>
      <c r="AE60" s="230">
        <v>0</v>
      </c>
      <c r="AF60" s="188">
        <f t="shared" si="53"/>
        <v>0</v>
      </c>
      <c r="AG60" s="230">
        <v>0</v>
      </c>
      <c r="AH60" s="188">
        <f t="shared" si="54"/>
        <v>0</v>
      </c>
      <c r="AI60" s="230"/>
      <c r="AJ60" s="188">
        <f t="shared" si="55"/>
        <v>0</v>
      </c>
      <c r="AK60" s="230">
        <v>2</v>
      </c>
      <c r="AL60" s="188">
        <f t="shared" si="56"/>
        <v>62000</v>
      </c>
      <c r="AM60" s="230">
        <v>3</v>
      </c>
      <c r="AN60" s="188">
        <f t="shared" si="75"/>
        <v>93000</v>
      </c>
      <c r="AO60" s="230">
        <v>3</v>
      </c>
      <c r="AP60" s="188">
        <f>AO60*F60</f>
        <v>93000</v>
      </c>
      <c r="AQ60" s="230">
        <v>0</v>
      </c>
      <c r="AR60" s="188">
        <f>AQ60*F60</f>
        <v>0</v>
      </c>
      <c r="AS60" s="230">
        <v>0</v>
      </c>
      <c r="AT60" s="188">
        <f>AS60*F60</f>
        <v>0</v>
      </c>
      <c r="AU60" s="230">
        <v>2</v>
      </c>
      <c r="AV60" s="188">
        <f t="shared" si="58"/>
        <v>62000</v>
      </c>
      <c r="AW60" s="281">
        <v>0</v>
      </c>
      <c r="AX60" s="188">
        <f t="shared" si="80"/>
        <v>0</v>
      </c>
      <c r="AY60" s="233">
        <v>0</v>
      </c>
      <c r="AZ60" s="188">
        <f t="shared" si="73"/>
        <v>0</v>
      </c>
      <c r="BA60" s="281">
        <v>3</v>
      </c>
      <c r="BB60" s="188">
        <f t="shared" si="60"/>
        <v>93000</v>
      </c>
      <c r="BC60" s="285">
        <v>4</v>
      </c>
      <c r="BD60" s="188">
        <f t="shared" si="61"/>
        <v>124000</v>
      </c>
      <c r="BE60" s="230">
        <v>0</v>
      </c>
      <c r="BF60" s="188">
        <f t="shared" si="62"/>
        <v>0</v>
      </c>
      <c r="BG60" s="230">
        <v>0</v>
      </c>
      <c r="BH60" s="188">
        <f t="shared" si="63"/>
        <v>0</v>
      </c>
      <c r="BI60" s="230"/>
      <c r="BJ60" s="188">
        <f t="shared" si="64"/>
        <v>0</v>
      </c>
      <c r="BK60" s="188">
        <f t="shared" si="65"/>
        <v>24</v>
      </c>
      <c r="BL60" s="188">
        <f t="shared" si="66"/>
        <v>744000</v>
      </c>
      <c r="BM60" s="212" t="s">
        <v>216</v>
      </c>
      <c r="BN60" s="201"/>
      <c r="BO60" s="195"/>
      <c r="BP60" s="283"/>
      <c r="BQ60" s="225">
        <f t="shared" si="77"/>
        <v>744000</v>
      </c>
      <c r="BR60" s="283"/>
      <c r="BS60" s="190">
        <f t="shared" si="78"/>
        <v>744000</v>
      </c>
      <c r="BT60" s="283"/>
      <c r="BU60" s="283"/>
      <c r="BV60" s="190"/>
      <c r="BW60" s="191">
        <f t="shared" si="79"/>
        <v>744000</v>
      </c>
    </row>
    <row r="61" spans="1:75" s="237" customFormat="1" ht="20.25" customHeight="1" x14ac:dyDescent="0.25">
      <c r="A61" s="271"/>
      <c r="B61" s="169"/>
      <c r="C61" s="244" t="s">
        <v>827</v>
      </c>
      <c r="D61" s="286" t="s">
        <v>281</v>
      </c>
      <c r="E61" s="229" t="s">
        <v>75</v>
      </c>
      <c r="F61" s="208">
        <v>10000</v>
      </c>
      <c r="G61" s="194">
        <f t="shared" si="69"/>
        <v>5</v>
      </c>
      <c r="H61" s="195">
        <f>G61*F61</f>
        <v>50000</v>
      </c>
      <c r="I61" s="195">
        <f t="shared" si="44"/>
        <v>5000</v>
      </c>
      <c r="J61" s="195">
        <f t="shared" si="45"/>
        <v>40000</v>
      </c>
      <c r="K61" s="195"/>
      <c r="L61" s="195"/>
      <c r="M61" s="195"/>
      <c r="N61" s="195"/>
      <c r="O61" s="195"/>
      <c r="P61" s="195"/>
      <c r="Q61" s="195">
        <f t="shared" si="46"/>
        <v>5000</v>
      </c>
      <c r="R61" s="195"/>
      <c r="S61" s="230"/>
      <c r="T61" s="230"/>
      <c r="U61" s="230">
        <v>50</v>
      </c>
      <c r="V61" s="230">
        <v>18</v>
      </c>
      <c r="W61" s="197">
        <f t="shared" si="47"/>
        <v>0</v>
      </c>
      <c r="X61" s="197">
        <f t="shared" si="48"/>
        <v>0</v>
      </c>
      <c r="Y61" s="197">
        <f t="shared" si="49"/>
        <v>500000</v>
      </c>
      <c r="Z61" s="197">
        <f t="shared" si="50"/>
        <v>180000</v>
      </c>
      <c r="AA61" s="284">
        <v>0</v>
      </c>
      <c r="AB61" s="188">
        <f t="shared" si="51"/>
        <v>0</v>
      </c>
      <c r="AC61" s="230">
        <v>0</v>
      </c>
      <c r="AD61" s="188">
        <f>AC61*F61</f>
        <v>0</v>
      </c>
      <c r="AE61" s="230">
        <v>0</v>
      </c>
      <c r="AF61" s="188">
        <f t="shared" si="53"/>
        <v>0</v>
      </c>
      <c r="AG61" s="230">
        <v>0</v>
      </c>
      <c r="AH61" s="188">
        <f t="shared" si="54"/>
        <v>0</v>
      </c>
      <c r="AI61" s="230">
        <v>0</v>
      </c>
      <c r="AJ61" s="188">
        <f t="shared" si="55"/>
        <v>0</v>
      </c>
      <c r="AK61" s="230">
        <v>0</v>
      </c>
      <c r="AL61" s="188">
        <f t="shared" si="56"/>
        <v>0</v>
      </c>
      <c r="AM61" s="230">
        <v>0</v>
      </c>
      <c r="AN61" s="188">
        <f t="shared" si="75"/>
        <v>0</v>
      </c>
      <c r="AO61" s="230">
        <v>5</v>
      </c>
      <c r="AP61" s="188">
        <f>AO61*F61</f>
        <v>50000</v>
      </c>
      <c r="AQ61" s="230"/>
      <c r="AR61" s="188">
        <f>AQ61*F61</f>
        <v>0</v>
      </c>
      <c r="AS61" s="230">
        <v>0</v>
      </c>
      <c r="AT61" s="188">
        <f>AS61*F61</f>
        <v>0</v>
      </c>
      <c r="AU61" s="230">
        <v>0</v>
      </c>
      <c r="AV61" s="188">
        <f t="shared" si="58"/>
        <v>0</v>
      </c>
      <c r="AW61" s="281">
        <v>0</v>
      </c>
      <c r="AX61" s="188">
        <f t="shared" si="80"/>
        <v>0</v>
      </c>
      <c r="AY61" s="233">
        <v>0</v>
      </c>
      <c r="AZ61" s="188">
        <f t="shared" si="73"/>
        <v>0</v>
      </c>
      <c r="BA61" s="281">
        <v>0</v>
      </c>
      <c r="BB61" s="188">
        <f t="shared" si="60"/>
        <v>0</v>
      </c>
      <c r="BC61" s="285">
        <v>0</v>
      </c>
      <c r="BD61" s="188">
        <f t="shared" si="61"/>
        <v>0</v>
      </c>
      <c r="BE61" s="230">
        <v>0</v>
      </c>
      <c r="BF61" s="188">
        <f t="shared" si="62"/>
        <v>0</v>
      </c>
      <c r="BG61" s="230">
        <v>0</v>
      </c>
      <c r="BH61" s="188">
        <f t="shared" si="63"/>
        <v>0</v>
      </c>
      <c r="BI61" s="230"/>
      <c r="BJ61" s="188">
        <f t="shared" si="64"/>
        <v>0</v>
      </c>
      <c r="BK61" s="188">
        <f t="shared" si="65"/>
        <v>5</v>
      </c>
      <c r="BL61" s="188">
        <f t="shared" si="66"/>
        <v>50000</v>
      </c>
      <c r="BM61" s="212" t="s">
        <v>216</v>
      </c>
      <c r="BN61" s="201"/>
      <c r="BO61" s="195"/>
      <c r="BP61" s="283"/>
      <c r="BQ61" s="225">
        <f t="shared" si="77"/>
        <v>50000</v>
      </c>
      <c r="BR61" s="283"/>
      <c r="BS61" s="190">
        <f t="shared" si="78"/>
        <v>50000</v>
      </c>
      <c r="BT61" s="283"/>
      <c r="BU61" s="283"/>
      <c r="BV61" s="190"/>
      <c r="BW61" s="191">
        <f t="shared" si="79"/>
        <v>50000</v>
      </c>
    </row>
    <row r="62" spans="1:75" s="237" customFormat="1" ht="20.25" customHeight="1" x14ac:dyDescent="0.25">
      <c r="A62" s="271"/>
      <c r="B62" s="169"/>
      <c r="C62" s="244" t="s">
        <v>828</v>
      </c>
      <c r="D62" s="286" t="s">
        <v>283</v>
      </c>
      <c r="E62" s="229" t="s">
        <v>75</v>
      </c>
      <c r="F62" s="208">
        <v>9000</v>
      </c>
      <c r="G62" s="194">
        <f t="shared" si="69"/>
        <v>10</v>
      </c>
      <c r="H62" s="195">
        <f>G62*F62</f>
        <v>90000</v>
      </c>
      <c r="I62" s="195">
        <f t="shared" si="44"/>
        <v>9000</v>
      </c>
      <c r="J62" s="195">
        <f t="shared" si="45"/>
        <v>72000</v>
      </c>
      <c r="K62" s="195"/>
      <c r="L62" s="195"/>
      <c r="M62" s="195"/>
      <c r="N62" s="195"/>
      <c r="O62" s="195"/>
      <c r="P62" s="195"/>
      <c r="Q62" s="195">
        <f t="shared" si="46"/>
        <v>9000</v>
      </c>
      <c r="R62" s="195"/>
      <c r="S62" s="230"/>
      <c r="T62" s="230"/>
      <c r="U62" s="230">
        <v>60</v>
      </c>
      <c r="V62" s="230">
        <v>10</v>
      </c>
      <c r="W62" s="197">
        <f t="shared" si="47"/>
        <v>0</v>
      </c>
      <c r="X62" s="197">
        <f t="shared" si="48"/>
        <v>0</v>
      </c>
      <c r="Y62" s="197">
        <f t="shared" si="49"/>
        <v>540000</v>
      </c>
      <c r="Z62" s="197">
        <f t="shared" si="50"/>
        <v>90000</v>
      </c>
      <c r="AA62" s="284">
        <v>0</v>
      </c>
      <c r="AB62" s="188">
        <f t="shared" si="51"/>
        <v>0</v>
      </c>
      <c r="AC62" s="230">
        <v>0</v>
      </c>
      <c r="AD62" s="188">
        <f>AC62*F62</f>
        <v>0</v>
      </c>
      <c r="AE62" s="230">
        <v>0</v>
      </c>
      <c r="AF62" s="188">
        <f t="shared" si="53"/>
        <v>0</v>
      </c>
      <c r="AG62" s="230">
        <v>0</v>
      </c>
      <c r="AH62" s="188">
        <f t="shared" si="54"/>
        <v>0</v>
      </c>
      <c r="AI62" s="230">
        <v>0</v>
      </c>
      <c r="AJ62" s="188">
        <f t="shared" si="55"/>
        <v>0</v>
      </c>
      <c r="AK62" s="230">
        <v>0</v>
      </c>
      <c r="AL62" s="188">
        <f t="shared" si="56"/>
        <v>0</v>
      </c>
      <c r="AM62" s="230">
        <v>10</v>
      </c>
      <c r="AN62" s="188">
        <f t="shared" si="75"/>
        <v>90000</v>
      </c>
      <c r="AO62" s="230">
        <v>0</v>
      </c>
      <c r="AP62" s="188">
        <f>AO62*F62</f>
        <v>0</v>
      </c>
      <c r="AQ62" s="230"/>
      <c r="AR62" s="188">
        <f>AQ62*F62</f>
        <v>0</v>
      </c>
      <c r="AS62" s="230">
        <v>0</v>
      </c>
      <c r="AT62" s="188">
        <f>AS62*F62</f>
        <v>0</v>
      </c>
      <c r="AU62" s="230">
        <v>0</v>
      </c>
      <c r="AV62" s="188">
        <f t="shared" si="58"/>
        <v>0</v>
      </c>
      <c r="AW62" s="281">
        <v>0</v>
      </c>
      <c r="AX62" s="188">
        <f t="shared" si="80"/>
        <v>0</v>
      </c>
      <c r="AY62" s="233">
        <v>0</v>
      </c>
      <c r="AZ62" s="188">
        <f t="shared" si="73"/>
        <v>0</v>
      </c>
      <c r="BA62" s="281">
        <v>0</v>
      </c>
      <c r="BB62" s="188">
        <f t="shared" si="60"/>
        <v>0</v>
      </c>
      <c r="BC62" s="285">
        <v>0</v>
      </c>
      <c r="BD62" s="188">
        <f t="shared" si="61"/>
        <v>0</v>
      </c>
      <c r="BE62" s="230">
        <v>0</v>
      </c>
      <c r="BF62" s="188">
        <f t="shared" si="62"/>
        <v>0</v>
      </c>
      <c r="BG62" s="230">
        <v>0</v>
      </c>
      <c r="BH62" s="188">
        <f t="shared" si="63"/>
        <v>0</v>
      </c>
      <c r="BI62" s="230"/>
      <c r="BJ62" s="188">
        <f t="shared" si="64"/>
        <v>0</v>
      </c>
      <c r="BK62" s="188">
        <f t="shared" si="65"/>
        <v>10</v>
      </c>
      <c r="BL62" s="188">
        <f t="shared" si="66"/>
        <v>90000</v>
      </c>
      <c r="BM62" s="212" t="s">
        <v>216</v>
      </c>
      <c r="BN62" s="201"/>
      <c r="BO62" s="195"/>
      <c r="BP62" s="283"/>
      <c r="BQ62" s="225">
        <f t="shared" si="77"/>
        <v>90000</v>
      </c>
      <c r="BR62" s="283"/>
      <c r="BS62" s="190">
        <f t="shared" si="78"/>
        <v>90000</v>
      </c>
      <c r="BT62" s="283"/>
      <c r="BU62" s="283"/>
      <c r="BV62" s="190"/>
      <c r="BW62" s="191">
        <f t="shared" si="79"/>
        <v>90000</v>
      </c>
    </row>
    <row r="63" spans="1:75" s="237" customFormat="1" ht="20.25" customHeight="1" x14ac:dyDescent="0.25">
      <c r="A63" s="271"/>
      <c r="B63" s="169"/>
      <c r="C63" s="244" t="s">
        <v>829</v>
      </c>
      <c r="D63" s="286" t="s">
        <v>278</v>
      </c>
      <c r="E63" s="229" t="s">
        <v>75</v>
      </c>
      <c r="F63" s="208">
        <v>30000</v>
      </c>
      <c r="G63" s="194">
        <f t="shared" si="69"/>
        <v>0</v>
      </c>
      <c r="H63" s="290">
        <f t="shared" si="71"/>
        <v>0</v>
      </c>
      <c r="I63" s="195">
        <f t="shared" si="44"/>
        <v>0</v>
      </c>
      <c r="J63" s="195">
        <f t="shared" si="45"/>
        <v>0</v>
      </c>
      <c r="K63" s="195"/>
      <c r="L63" s="195"/>
      <c r="M63" s="195"/>
      <c r="N63" s="195"/>
      <c r="O63" s="195"/>
      <c r="P63" s="195"/>
      <c r="Q63" s="195">
        <f t="shared" si="46"/>
        <v>0</v>
      </c>
      <c r="R63" s="195"/>
      <c r="S63" s="230"/>
      <c r="T63" s="230"/>
      <c r="U63" s="230">
        <v>80</v>
      </c>
      <c r="V63" s="230">
        <v>21</v>
      </c>
      <c r="W63" s="197">
        <f t="shared" si="47"/>
        <v>0</v>
      </c>
      <c r="X63" s="197">
        <f t="shared" si="48"/>
        <v>0</v>
      </c>
      <c r="Y63" s="197">
        <f t="shared" si="49"/>
        <v>2400000</v>
      </c>
      <c r="Z63" s="197">
        <f t="shared" si="50"/>
        <v>630000</v>
      </c>
      <c r="AA63" s="284">
        <v>0</v>
      </c>
      <c r="AB63" s="188">
        <f t="shared" si="51"/>
        <v>0</v>
      </c>
      <c r="AC63" s="230">
        <v>0</v>
      </c>
      <c r="AD63" s="188">
        <f>AC63*F63</f>
        <v>0</v>
      </c>
      <c r="AE63" s="230">
        <v>0</v>
      </c>
      <c r="AF63" s="188">
        <f t="shared" si="53"/>
        <v>0</v>
      </c>
      <c r="AG63" s="230">
        <v>0</v>
      </c>
      <c r="AH63" s="188">
        <f t="shared" si="54"/>
        <v>0</v>
      </c>
      <c r="AI63" s="230">
        <v>0</v>
      </c>
      <c r="AJ63" s="188">
        <f t="shared" si="55"/>
        <v>0</v>
      </c>
      <c r="AK63" s="230">
        <v>0</v>
      </c>
      <c r="AL63" s="188">
        <f t="shared" si="56"/>
        <v>0</v>
      </c>
      <c r="AM63" s="230">
        <v>0</v>
      </c>
      <c r="AN63" s="188">
        <f t="shared" si="75"/>
        <v>0</v>
      </c>
      <c r="AO63" s="230">
        <v>0</v>
      </c>
      <c r="AP63" s="188">
        <f>AO63*F63</f>
        <v>0</v>
      </c>
      <c r="AQ63" s="230">
        <v>0</v>
      </c>
      <c r="AR63" s="188">
        <f>AQ63*F63</f>
        <v>0</v>
      </c>
      <c r="AS63" s="230">
        <v>0</v>
      </c>
      <c r="AT63" s="188">
        <f>AS63*F63</f>
        <v>0</v>
      </c>
      <c r="AU63" s="230">
        <v>0</v>
      </c>
      <c r="AV63" s="188">
        <f t="shared" si="58"/>
        <v>0</v>
      </c>
      <c r="AW63" s="281">
        <v>0</v>
      </c>
      <c r="AX63" s="188">
        <f t="shared" si="80"/>
        <v>0</v>
      </c>
      <c r="AY63" s="233">
        <v>0</v>
      </c>
      <c r="AZ63" s="188">
        <f t="shared" si="73"/>
        <v>0</v>
      </c>
      <c r="BA63" s="281">
        <v>0</v>
      </c>
      <c r="BB63" s="188">
        <f t="shared" si="60"/>
        <v>0</v>
      </c>
      <c r="BC63" s="285">
        <v>0</v>
      </c>
      <c r="BD63" s="188">
        <f t="shared" si="61"/>
        <v>0</v>
      </c>
      <c r="BE63" s="230">
        <v>0</v>
      </c>
      <c r="BF63" s="188">
        <f t="shared" si="62"/>
        <v>0</v>
      </c>
      <c r="BG63" s="230">
        <v>0</v>
      </c>
      <c r="BH63" s="188">
        <f t="shared" si="63"/>
        <v>0</v>
      </c>
      <c r="BI63" s="230"/>
      <c r="BJ63" s="188">
        <f t="shared" si="64"/>
        <v>0</v>
      </c>
      <c r="BK63" s="188">
        <f t="shared" si="65"/>
        <v>0</v>
      </c>
      <c r="BL63" s="188">
        <f t="shared" si="66"/>
        <v>0</v>
      </c>
      <c r="BM63" s="212" t="s">
        <v>216</v>
      </c>
      <c r="BN63" s="201"/>
      <c r="BO63" s="195"/>
      <c r="BP63" s="283"/>
      <c r="BQ63" s="225">
        <f t="shared" si="77"/>
        <v>0</v>
      </c>
      <c r="BR63" s="283"/>
      <c r="BS63" s="190">
        <f t="shared" si="78"/>
        <v>0</v>
      </c>
      <c r="BT63" s="283"/>
      <c r="BU63" s="283"/>
      <c r="BV63" s="190"/>
      <c r="BW63" s="191">
        <f t="shared" si="79"/>
        <v>0</v>
      </c>
    </row>
    <row r="64" spans="1:75" s="237" customFormat="1" ht="20.25" customHeight="1" x14ac:dyDescent="0.25">
      <c r="A64" s="278"/>
      <c r="B64" s="207"/>
      <c r="C64" s="562"/>
      <c r="D64" s="209" t="s">
        <v>3</v>
      </c>
      <c r="E64" s="559"/>
      <c r="F64" s="210"/>
      <c r="G64" s="184">
        <f t="shared" ref="G64:X64" si="81">SUM(G42:G63)</f>
        <v>1162.8699999999999</v>
      </c>
      <c r="H64" s="184">
        <f t="shared" si="81"/>
        <v>27832147</v>
      </c>
      <c r="I64" s="184">
        <f t="shared" si="81"/>
        <v>2783214.7</v>
      </c>
      <c r="J64" s="184">
        <f t="shared" si="81"/>
        <v>22265717.600000001</v>
      </c>
      <c r="K64" s="184">
        <f t="shared" si="81"/>
        <v>0</v>
      </c>
      <c r="L64" s="184">
        <f t="shared" si="81"/>
        <v>0</v>
      </c>
      <c r="M64" s="184">
        <f t="shared" si="81"/>
        <v>0</v>
      </c>
      <c r="N64" s="184">
        <f t="shared" si="81"/>
        <v>0</v>
      </c>
      <c r="O64" s="184">
        <f t="shared" si="81"/>
        <v>0</v>
      </c>
      <c r="P64" s="184">
        <f t="shared" si="81"/>
        <v>0</v>
      </c>
      <c r="Q64" s="184">
        <f t="shared" si="81"/>
        <v>2783214.7</v>
      </c>
      <c r="R64" s="184">
        <f t="shared" si="81"/>
        <v>0</v>
      </c>
      <c r="S64" s="184">
        <f t="shared" si="81"/>
        <v>127.3305</v>
      </c>
      <c r="T64" s="184">
        <f t="shared" si="81"/>
        <v>380.73950000000002</v>
      </c>
      <c r="U64" s="184">
        <f t="shared" si="81"/>
        <v>869.8</v>
      </c>
      <c r="V64" s="184">
        <f t="shared" si="81"/>
        <v>65</v>
      </c>
      <c r="W64" s="184">
        <f t="shared" si="81"/>
        <v>4777712</v>
      </c>
      <c r="X64" s="184">
        <f t="shared" si="81"/>
        <v>5356868</v>
      </c>
      <c r="Y64" s="184">
        <f>SUM(Y42:Y63)-48000</f>
        <v>20715700</v>
      </c>
      <c r="Z64" s="184">
        <f t="shared" ref="Z64:BL64" si="82">SUM(Z42:Z63)</f>
        <v>1386000</v>
      </c>
      <c r="AA64" s="184">
        <f t="shared" si="82"/>
        <v>58</v>
      </c>
      <c r="AB64" s="184">
        <f t="shared" si="82"/>
        <v>1275500</v>
      </c>
      <c r="AC64" s="184">
        <f t="shared" si="82"/>
        <v>73</v>
      </c>
      <c r="AD64" s="184">
        <f t="shared" si="82"/>
        <v>1873400</v>
      </c>
      <c r="AE64" s="184">
        <f t="shared" si="82"/>
        <v>75</v>
      </c>
      <c r="AF64" s="184">
        <f t="shared" si="82"/>
        <v>1309250</v>
      </c>
      <c r="AG64" s="184">
        <f t="shared" si="82"/>
        <v>117</v>
      </c>
      <c r="AH64" s="184">
        <f t="shared" si="82"/>
        <v>2196400</v>
      </c>
      <c r="AI64" s="184">
        <f t="shared" si="82"/>
        <v>86</v>
      </c>
      <c r="AJ64" s="184">
        <f t="shared" si="82"/>
        <v>2167050</v>
      </c>
      <c r="AK64" s="184">
        <f t="shared" si="82"/>
        <v>24</v>
      </c>
      <c r="AL64" s="184">
        <f t="shared" si="82"/>
        <v>396250</v>
      </c>
      <c r="AM64" s="184">
        <f t="shared" si="82"/>
        <v>84</v>
      </c>
      <c r="AN64" s="184">
        <f t="shared" si="82"/>
        <v>2197350</v>
      </c>
      <c r="AO64" s="184">
        <f t="shared" si="82"/>
        <v>75</v>
      </c>
      <c r="AP64" s="184">
        <f t="shared" si="82"/>
        <v>1650100</v>
      </c>
      <c r="AQ64" s="184">
        <f t="shared" si="82"/>
        <v>75</v>
      </c>
      <c r="AR64" s="184">
        <f t="shared" si="82"/>
        <v>1912500</v>
      </c>
      <c r="AS64" s="184">
        <f t="shared" si="82"/>
        <v>50</v>
      </c>
      <c r="AT64" s="184">
        <f t="shared" si="82"/>
        <v>2951567</v>
      </c>
      <c r="AU64" s="184">
        <f t="shared" si="82"/>
        <v>57.870000000000005</v>
      </c>
      <c r="AV64" s="184">
        <f t="shared" si="82"/>
        <v>1244830</v>
      </c>
      <c r="AW64" s="184">
        <f t="shared" si="82"/>
        <v>80</v>
      </c>
      <c r="AX64" s="184">
        <f t="shared" si="82"/>
        <v>1328600</v>
      </c>
      <c r="AY64" s="279">
        <f t="shared" si="82"/>
        <v>58</v>
      </c>
      <c r="AZ64" s="184">
        <f t="shared" si="82"/>
        <v>1063250</v>
      </c>
      <c r="BA64" s="279">
        <f t="shared" si="82"/>
        <v>73</v>
      </c>
      <c r="BB64" s="184">
        <f t="shared" si="82"/>
        <v>2337250</v>
      </c>
      <c r="BC64" s="184">
        <f t="shared" si="82"/>
        <v>60</v>
      </c>
      <c r="BD64" s="184">
        <f t="shared" si="82"/>
        <v>1250050</v>
      </c>
      <c r="BE64" s="184">
        <f t="shared" si="82"/>
        <v>56</v>
      </c>
      <c r="BF64" s="184">
        <f t="shared" si="82"/>
        <v>1184200</v>
      </c>
      <c r="BG64" s="184">
        <f t="shared" si="82"/>
        <v>61</v>
      </c>
      <c r="BH64" s="184">
        <f t="shared" si="82"/>
        <v>1494600</v>
      </c>
      <c r="BI64" s="184">
        <f t="shared" si="82"/>
        <v>0</v>
      </c>
      <c r="BJ64" s="184">
        <f t="shared" si="82"/>
        <v>0</v>
      </c>
      <c r="BK64" s="184">
        <f t="shared" si="82"/>
        <v>1162.8699999999999</v>
      </c>
      <c r="BL64" s="184">
        <f t="shared" si="82"/>
        <v>27832147</v>
      </c>
      <c r="BM64" s="184"/>
      <c r="BN64" s="184"/>
      <c r="BO64" s="184">
        <f t="shared" ref="BO64:BW64" si="83">SUM(BO42:BO63)</f>
        <v>0</v>
      </c>
      <c r="BP64" s="184">
        <f t="shared" si="83"/>
        <v>0</v>
      </c>
      <c r="BQ64" s="184">
        <f t="shared" si="83"/>
        <v>27832147</v>
      </c>
      <c r="BR64" s="184">
        <f t="shared" si="83"/>
        <v>0</v>
      </c>
      <c r="BS64" s="184">
        <f t="shared" si="83"/>
        <v>27832147</v>
      </c>
      <c r="BT64" s="184">
        <f t="shared" si="83"/>
        <v>0</v>
      </c>
      <c r="BU64" s="184">
        <f t="shared" si="83"/>
        <v>0</v>
      </c>
      <c r="BV64" s="184">
        <f t="shared" si="83"/>
        <v>0</v>
      </c>
      <c r="BW64" s="184">
        <f t="shared" si="83"/>
        <v>27832147</v>
      </c>
    </row>
    <row r="65" spans="1:75" s="237" customFormat="1" ht="20.25" customHeight="1" x14ac:dyDescent="0.25">
      <c r="A65" s="271"/>
      <c r="B65" s="169"/>
      <c r="C65" s="181"/>
      <c r="D65" s="209" t="s">
        <v>673</v>
      </c>
      <c r="E65" s="229"/>
      <c r="F65" s="208"/>
      <c r="G65" s="194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230"/>
      <c r="T65" s="230"/>
      <c r="U65" s="230"/>
      <c r="V65" s="230"/>
      <c r="W65" s="231"/>
      <c r="X65" s="231"/>
      <c r="Y65" s="231"/>
      <c r="Z65" s="231"/>
      <c r="AA65" s="230"/>
      <c r="AB65" s="188">
        <f t="shared" ref="AB65:AB81" si="84">AA65*F65</f>
        <v>0</v>
      </c>
      <c r="AC65" s="230"/>
      <c r="AD65" s="188">
        <f t="shared" ref="AD65:AD81" si="85">AC65*F65</f>
        <v>0</v>
      </c>
      <c r="AE65" s="230"/>
      <c r="AF65" s="188">
        <f t="shared" ref="AF65:AF81" si="86">AE65*F65</f>
        <v>0</v>
      </c>
      <c r="AG65" s="230"/>
      <c r="AH65" s="188">
        <f t="shared" ref="AH65:AH81" si="87">AG65*F65</f>
        <v>0</v>
      </c>
      <c r="AI65" s="230"/>
      <c r="AJ65" s="188">
        <f t="shared" ref="AJ65:AJ81" si="88">AI65*F65</f>
        <v>0</v>
      </c>
      <c r="AK65" s="230"/>
      <c r="AL65" s="188">
        <f t="shared" ref="AL65:AL81" si="89">AK65*F65</f>
        <v>0</v>
      </c>
      <c r="AM65" s="230"/>
      <c r="AN65" s="188">
        <f t="shared" ref="AN65:AN81" si="90">AM65*F65</f>
        <v>0</v>
      </c>
      <c r="AO65" s="230"/>
      <c r="AP65" s="188">
        <f t="shared" ref="AP65:AP81" si="91">AO65*F65</f>
        <v>0</v>
      </c>
      <c r="AQ65" s="230"/>
      <c r="AR65" s="188">
        <f t="shared" ref="AR65:AR81" si="92">AQ65*F65</f>
        <v>0</v>
      </c>
      <c r="AS65" s="230"/>
      <c r="AT65" s="188">
        <f t="shared" ref="AT65:AT81" si="93">AS65*F65</f>
        <v>0</v>
      </c>
      <c r="AU65" s="230"/>
      <c r="AV65" s="188">
        <f t="shared" ref="AV65:AV81" si="94">AU65*F65</f>
        <v>0</v>
      </c>
      <c r="AW65" s="230"/>
      <c r="AX65" s="188">
        <f t="shared" ref="AX65:AX81" si="95">AW65*F65</f>
        <v>0</v>
      </c>
      <c r="AY65" s="233"/>
      <c r="AZ65" s="188">
        <f t="shared" ref="AZ65:AZ81" si="96">AY65*F65</f>
        <v>0</v>
      </c>
      <c r="BA65" s="281"/>
      <c r="BB65" s="188">
        <f t="shared" ref="BB65:BB81" si="97">BA65*F65</f>
        <v>0</v>
      </c>
      <c r="BC65" s="230"/>
      <c r="BD65" s="188">
        <f t="shared" ref="BD65:BD81" si="98">BC65*F65</f>
        <v>0</v>
      </c>
      <c r="BE65" s="230"/>
      <c r="BF65" s="188">
        <f t="shared" ref="BF65:BF81" si="99">BE65*F65</f>
        <v>0</v>
      </c>
      <c r="BG65" s="230"/>
      <c r="BH65" s="188">
        <f t="shared" ref="BH65:BH81" si="100">BG65*F65</f>
        <v>0</v>
      </c>
      <c r="BI65" s="230"/>
      <c r="BJ65" s="188">
        <f t="shared" ref="BJ65:BJ81" si="101">BI65*F65</f>
        <v>0</v>
      </c>
      <c r="BK65" s="189"/>
      <c r="BL65" s="188"/>
      <c r="BM65" s="282"/>
      <c r="BN65" s="201"/>
      <c r="BO65" s="195"/>
      <c r="BP65" s="283"/>
      <c r="BQ65" s="283"/>
      <c r="BR65" s="283"/>
      <c r="BS65" s="190"/>
      <c r="BT65" s="283"/>
      <c r="BU65" s="283"/>
      <c r="BV65" s="190"/>
      <c r="BW65" s="191"/>
    </row>
    <row r="66" spans="1:75" s="237" customFormat="1" ht="20.25" customHeight="1" x14ac:dyDescent="0.25">
      <c r="A66" s="271"/>
      <c r="B66" s="169"/>
      <c r="C66" s="244" t="s">
        <v>830</v>
      </c>
      <c r="D66" s="274" t="s">
        <v>790</v>
      </c>
      <c r="E66" s="229" t="s">
        <v>653</v>
      </c>
      <c r="F66" s="208">
        <v>50000</v>
      </c>
      <c r="G66" s="194">
        <f t="shared" ref="G66:G80" si="102">BK66</f>
        <v>5</v>
      </c>
      <c r="H66" s="195">
        <f>G66*F66</f>
        <v>250000</v>
      </c>
      <c r="I66" s="195">
        <f t="shared" ref="I66:I81" si="103">H66*0.1</f>
        <v>25000</v>
      </c>
      <c r="J66" s="195">
        <f t="shared" ref="J66:J81" si="104">H66*0.8</f>
        <v>200000</v>
      </c>
      <c r="K66" s="195"/>
      <c r="L66" s="195"/>
      <c r="M66" s="195"/>
      <c r="N66" s="195"/>
      <c r="O66" s="195"/>
      <c r="P66" s="195"/>
      <c r="Q66" s="195">
        <f>H66*0.1</f>
        <v>25000</v>
      </c>
      <c r="R66" s="195"/>
      <c r="S66" s="189"/>
      <c r="T66" s="189">
        <f>G66*0.6</f>
        <v>3</v>
      </c>
      <c r="U66" s="189">
        <f>G66*0.4</f>
        <v>2</v>
      </c>
      <c r="V66" s="189"/>
      <c r="W66" s="197">
        <f t="shared" ref="W66:W81" si="105">S66*F66</f>
        <v>0</v>
      </c>
      <c r="X66" s="197">
        <f t="shared" ref="X66:X81" si="106">T66*F66</f>
        <v>150000</v>
      </c>
      <c r="Y66" s="197">
        <f t="shared" ref="Y66:Y81" si="107">U66*F66</f>
        <v>100000</v>
      </c>
      <c r="Z66" s="197">
        <f t="shared" ref="Z66:Z81" si="108">V66*F66</f>
        <v>0</v>
      </c>
      <c r="AA66" s="284">
        <v>0</v>
      </c>
      <c r="AB66" s="188">
        <f t="shared" si="84"/>
        <v>0</v>
      </c>
      <c r="AC66" s="189">
        <v>2</v>
      </c>
      <c r="AD66" s="188">
        <f t="shared" si="85"/>
        <v>100000</v>
      </c>
      <c r="AE66" s="189">
        <v>0</v>
      </c>
      <c r="AF66" s="188">
        <f t="shared" si="86"/>
        <v>0</v>
      </c>
      <c r="AG66" s="189">
        <v>1</v>
      </c>
      <c r="AH66" s="188">
        <f t="shared" si="87"/>
        <v>50000</v>
      </c>
      <c r="AI66" s="189">
        <v>0</v>
      </c>
      <c r="AJ66" s="188">
        <f t="shared" si="88"/>
        <v>0</v>
      </c>
      <c r="AK66" s="189">
        <v>2</v>
      </c>
      <c r="AL66" s="188">
        <f t="shared" si="89"/>
        <v>100000</v>
      </c>
      <c r="AM66" s="189">
        <v>0</v>
      </c>
      <c r="AN66" s="188">
        <f t="shared" si="90"/>
        <v>0</v>
      </c>
      <c r="AO66" s="189">
        <v>0</v>
      </c>
      <c r="AP66" s="188">
        <f t="shared" si="91"/>
        <v>0</v>
      </c>
      <c r="AQ66" s="189">
        <v>0</v>
      </c>
      <c r="AR66" s="188">
        <f t="shared" si="92"/>
        <v>0</v>
      </c>
      <c r="AS66" s="189">
        <v>0</v>
      </c>
      <c r="AT66" s="188">
        <f t="shared" si="93"/>
        <v>0</v>
      </c>
      <c r="AU66" s="189">
        <v>0</v>
      </c>
      <c r="AV66" s="188">
        <f t="shared" si="94"/>
        <v>0</v>
      </c>
      <c r="AW66" s="281">
        <v>0</v>
      </c>
      <c r="AX66" s="188">
        <f t="shared" si="95"/>
        <v>0</v>
      </c>
      <c r="AY66" s="272">
        <v>0</v>
      </c>
      <c r="AZ66" s="188">
        <f t="shared" si="96"/>
        <v>0</v>
      </c>
      <c r="BA66" s="273">
        <v>0</v>
      </c>
      <c r="BB66" s="188">
        <f t="shared" si="97"/>
        <v>0</v>
      </c>
      <c r="BC66" s="189">
        <v>0</v>
      </c>
      <c r="BD66" s="188">
        <f t="shared" si="98"/>
        <v>0</v>
      </c>
      <c r="BE66" s="230">
        <v>0</v>
      </c>
      <c r="BF66" s="188">
        <f t="shared" si="99"/>
        <v>0</v>
      </c>
      <c r="BG66" s="189">
        <v>0</v>
      </c>
      <c r="BH66" s="188">
        <f t="shared" si="100"/>
        <v>0</v>
      </c>
      <c r="BI66" s="189"/>
      <c r="BJ66" s="188">
        <f t="shared" si="101"/>
        <v>0</v>
      </c>
      <c r="BK66" s="188">
        <f t="shared" ref="BK66:BK81" si="109">AA66+AC66+AE66+AG66+AI66+AK66+AM66+AO66+AQ66+AS66+AU66+AW66+AY66+BA66+BC66+BE66+BG66+BI66</f>
        <v>5</v>
      </c>
      <c r="BL66" s="188">
        <f t="shared" ref="BL66:BL81" si="110">AB66+AD66+AF66+AH66+AJ66+AL66+AN66+AP66+AR66+AT66+AV66+AX66+AZ66+BB66+BD66+BF66+BH66+BJ66</f>
        <v>250000</v>
      </c>
      <c r="BM66" s="212" t="s">
        <v>216</v>
      </c>
      <c r="BN66" s="201"/>
      <c r="BO66" s="195"/>
      <c r="BP66" s="283"/>
      <c r="BQ66" s="225">
        <f t="shared" ref="BQ66:BQ80" si="111">H66</f>
        <v>250000</v>
      </c>
      <c r="BR66" s="283"/>
      <c r="BS66" s="190">
        <f t="shared" ref="BS66:BS80" si="112">BO66+BP66+BQ66+BR66</f>
        <v>250000</v>
      </c>
      <c r="BT66" s="283"/>
      <c r="BU66" s="283"/>
      <c r="BV66" s="190"/>
      <c r="BW66" s="191">
        <f>BS66+BV66</f>
        <v>250000</v>
      </c>
    </row>
    <row r="67" spans="1:75" s="237" customFormat="1" ht="20.25" customHeight="1" x14ac:dyDescent="0.25">
      <c r="A67" s="271"/>
      <c r="B67" s="169"/>
      <c r="C67" s="244" t="s">
        <v>831</v>
      </c>
      <c r="D67" s="286" t="s">
        <v>259</v>
      </c>
      <c r="E67" s="229" t="s">
        <v>75</v>
      </c>
      <c r="F67" s="208">
        <v>20000</v>
      </c>
      <c r="G67" s="194">
        <f t="shared" si="102"/>
        <v>43</v>
      </c>
      <c r="H67" s="195">
        <f>G67*F67</f>
        <v>860000</v>
      </c>
      <c r="I67" s="195">
        <f t="shared" si="103"/>
        <v>86000</v>
      </c>
      <c r="J67" s="195">
        <f t="shared" si="104"/>
        <v>688000</v>
      </c>
      <c r="K67" s="195"/>
      <c r="L67" s="195"/>
      <c r="M67" s="195"/>
      <c r="N67" s="195"/>
      <c r="O67" s="195"/>
      <c r="P67" s="195"/>
      <c r="Q67" s="195">
        <f t="shared" ref="Q67:Q81" si="113">H67*0.1</f>
        <v>86000</v>
      </c>
      <c r="R67" s="195"/>
      <c r="S67" s="198">
        <f>G67*0.15</f>
        <v>6.45</v>
      </c>
      <c r="T67" s="198">
        <f>G67*0.7</f>
        <v>30.099999999999998</v>
      </c>
      <c r="U67" s="198">
        <f>G67:G67*0.15</f>
        <v>6.45</v>
      </c>
      <c r="V67" s="230"/>
      <c r="W67" s="197">
        <f t="shared" si="105"/>
        <v>129000</v>
      </c>
      <c r="X67" s="197">
        <f t="shared" si="106"/>
        <v>602000</v>
      </c>
      <c r="Y67" s="197">
        <f t="shared" si="107"/>
        <v>129000</v>
      </c>
      <c r="Z67" s="197">
        <f t="shared" si="108"/>
        <v>0</v>
      </c>
      <c r="AA67" s="284">
        <v>5</v>
      </c>
      <c r="AB67" s="188">
        <f t="shared" si="84"/>
        <v>100000</v>
      </c>
      <c r="AC67" s="230">
        <v>3</v>
      </c>
      <c r="AD67" s="188">
        <f t="shared" si="85"/>
        <v>60000</v>
      </c>
      <c r="AE67" s="230">
        <v>5</v>
      </c>
      <c r="AF67" s="188">
        <f t="shared" si="86"/>
        <v>100000</v>
      </c>
      <c r="AG67" s="230">
        <v>5</v>
      </c>
      <c r="AH67" s="188">
        <f t="shared" si="87"/>
        <v>100000</v>
      </c>
      <c r="AI67" s="230">
        <v>5</v>
      </c>
      <c r="AJ67" s="188">
        <f t="shared" si="88"/>
        <v>100000</v>
      </c>
      <c r="AK67" s="230">
        <v>2</v>
      </c>
      <c r="AL67" s="188">
        <f t="shared" si="89"/>
        <v>40000</v>
      </c>
      <c r="AM67" s="230">
        <v>0</v>
      </c>
      <c r="AN67" s="188">
        <f t="shared" si="90"/>
        <v>0</v>
      </c>
      <c r="AO67" s="230">
        <v>3</v>
      </c>
      <c r="AP67" s="188">
        <f t="shared" si="91"/>
        <v>60000</v>
      </c>
      <c r="AQ67" s="230">
        <v>3</v>
      </c>
      <c r="AR67" s="188">
        <f t="shared" si="92"/>
        <v>60000</v>
      </c>
      <c r="AS67" s="230">
        <v>5</v>
      </c>
      <c r="AT67" s="188">
        <f t="shared" si="93"/>
        <v>100000</v>
      </c>
      <c r="AU67" s="288">
        <v>0</v>
      </c>
      <c r="AV67" s="188">
        <f t="shared" si="94"/>
        <v>0</v>
      </c>
      <c r="AW67" s="281">
        <v>0</v>
      </c>
      <c r="AX67" s="188">
        <f t="shared" si="95"/>
        <v>0</v>
      </c>
      <c r="AY67" s="233">
        <v>0</v>
      </c>
      <c r="AZ67" s="188">
        <f t="shared" si="96"/>
        <v>0</v>
      </c>
      <c r="BA67" s="281">
        <v>0</v>
      </c>
      <c r="BB67" s="188">
        <f t="shared" si="97"/>
        <v>0</v>
      </c>
      <c r="BC67" s="230">
        <v>0</v>
      </c>
      <c r="BD67" s="188">
        <f t="shared" si="98"/>
        <v>0</v>
      </c>
      <c r="BE67" s="230">
        <v>4</v>
      </c>
      <c r="BF67" s="188">
        <f t="shared" si="99"/>
        <v>80000</v>
      </c>
      <c r="BG67" s="230">
        <v>3</v>
      </c>
      <c r="BH67" s="188">
        <f t="shared" si="100"/>
        <v>60000</v>
      </c>
      <c r="BI67" s="230"/>
      <c r="BJ67" s="188">
        <f t="shared" si="101"/>
        <v>0</v>
      </c>
      <c r="BK67" s="188">
        <f t="shared" si="109"/>
        <v>43</v>
      </c>
      <c r="BL67" s="188">
        <f t="shared" si="110"/>
        <v>860000</v>
      </c>
      <c r="BM67" s="212" t="s">
        <v>216</v>
      </c>
      <c r="BN67" s="201"/>
      <c r="BO67" s="195"/>
      <c r="BP67" s="283"/>
      <c r="BQ67" s="225">
        <f t="shared" si="111"/>
        <v>860000</v>
      </c>
      <c r="BR67" s="283"/>
      <c r="BS67" s="190">
        <f t="shared" si="112"/>
        <v>860000</v>
      </c>
      <c r="BT67" s="283"/>
      <c r="BU67" s="283"/>
      <c r="BV67" s="190"/>
      <c r="BW67" s="191">
        <f>BS67+BV67</f>
        <v>860000</v>
      </c>
    </row>
    <row r="68" spans="1:75" s="237" customFormat="1" ht="20.25" customHeight="1" x14ac:dyDescent="0.25">
      <c r="A68" s="271"/>
      <c r="B68" s="169"/>
      <c r="C68" s="244" t="s">
        <v>832</v>
      </c>
      <c r="D68" s="286" t="s">
        <v>253</v>
      </c>
      <c r="E68" s="229" t="s">
        <v>75</v>
      </c>
      <c r="F68" s="208">
        <v>20000</v>
      </c>
      <c r="G68" s="194">
        <f>BK68</f>
        <v>65</v>
      </c>
      <c r="H68" s="195">
        <f>G68*F68</f>
        <v>1300000</v>
      </c>
      <c r="I68" s="195">
        <f t="shared" si="103"/>
        <v>130000</v>
      </c>
      <c r="J68" s="195">
        <f t="shared" si="104"/>
        <v>1040000</v>
      </c>
      <c r="K68" s="195"/>
      <c r="L68" s="195"/>
      <c r="M68" s="195"/>
      <c r="N68" s="195"/>
      <c r="O68" s="195"/>
      <c r="P68" s="195"/>
      <c r="Q68" s="195">
        <f t="shared" si="113"/>
        <v>130000</v>
      </c>
      <c r="R68" s="195"/>
      <c r="S68" s="230"/>
      <c r="T68" s="230"/>
      <c r="U68" s="230">
        <f>G68</f>
        <v>65</v>
      </c>
      <c r="V68" s="230"/>
      <c r="W68" s="197">
        <f t="shared" si="105"/>
        <v>0</v>
      </c>
      <c r="X68" s="197">
        <f t="shared" si="106"/>
        <v>0</v>
      </c>
      <c r="Y68" s="197">
        <f t="shared" si="107"/>
        <v>1300000</v>
      </c>
      <c r="Z68" s="197">
        <f t="shared" si="108"/>
        <v>0</v>
      </c>
      <c r="AA68" s="284">
        <v>1</v>
      </c>
      <c r="AB68" s="188">
        <f t="shared" si="84"/>
        <v>20000</v>
      </c>
      <c r="AC68" s="230">
        <v>4</v>
      </c>
      <c r="AD68" s="188">
        <f t="shared" si="85"/>
        <v>80000</v>
      </c>
      <c r="AE68" s="230">
        <v>3</v>
      </c>
      <c r="AF68" s="188">
        <f t="shared" si="86"/>
        <v>60000</v>
      </c>
      <c r="AG68" s="230">
        <v>2</v>
      </c>
      <c r="AH68" s="188">
        <f t="shared" si="87"/>
        <v>40000</v>
      </c>
      <c r="AI68" s="230">
        <v>5</v>
      </c>
      <c r="AJ68" s="188">
        <f t="shared" si="88"/>
        <v>100000</v>
      </c>
      <c r="AK68" s="230">
        <v>2</v>
      </c>
      <c r="AL68" s="188">
        <f t="shared" si="89"/>
        <v>40000</v>
      </c>
      <c r="AM68" s="230">
        <v>10</v>
      </c>
      <c r="AN68" s="188">
        <f t="shared" si="90"/>
        <v>200000</v>
      </c>
      <c r="AO68" s="230">
        <v>3</v>
      </c>
      <c r="AP68" s="188">
        <f t="shared" si="91"/>
        <v>60000</v>
      </c>
      <c r="AQ68" s="230">
        <v>5</v>
      </c>
      <c r="AR68" s="188">
        <f t="shared" si="92"/>
        <v>100000</v>
      </c>
      <c r="AS68" s="230">
        <v>5</v>
      </c>
      <c r="AT68" s="188">
        <f t="shared" si="93"/>
        <v>100000</v>
      </c>
      <c r="AU68" s="288">
        <v>5</v>
      </c>
      <c r="AV68" s="188">
        <f t="shared" si="94"/>
        <v>100000</v>
      </c>
      <c r="AW68" s="281">
        <v>2</v>
      </c>
      <c r="AX68" s="188">
        <f t="shared" si="95"/>
        <v>40000</v>
      </c>
      <c r="AY68" s="233">
        <v>0</v>
      </c>
      <c r="AZ68" s="188">
        <f t="shared" si="96"/>
        <v>0</v>
      </c>
      <c r="BA68" s="281">
        <v>5</v>
      </c>
      <c r="BB68" s="188">
        <f t="shared" si="97"/>
        <v>100000</v>
      </c>
      <c r="BC68" s="288">
        <v>7</v>
      </c>
      <c r="BD68" s="188">
        <f t="shared" si="98"/>
        <v>140000</v>
      </c>
      <c r="BE68" s="230">
        <v>5</v>
      </c>
      <c r="BF68" s="188">
        <f t="shared" si="99"/>
        <v>100000</v>
      </c>
      <c r="BG68" s="230">
        <v>1</v>
      </c>
      <c r="BH68" s="188">
        <f t="shared" si="100"/>
        <v>20000</v>
      </c>
      <c r="BI68" s="230"/>
      <c r="BJ68" s="188">
        <f t="shared" si="101"/>
        <v>0</v>
      </c>
      <c r="BK68" s="188">
        <f t="shared" si="109"/>
        <v>65</v>
      </c>
      <c r="BL68" s="188">
        <f t="shared" si="110"/>
        <v>1300000</v>
      </c>
      <c r="BM68" s="212" t="s">
        <v>216</v>
      </c>
      <c r="BN68" s="201"/>
      <c r="BO68" s="195"/>
      <c r="BP68" s="283"/>
      <c r="BQ68" s="225">
        <f t="shared" si="111"/>
        <v>1300000</v>
      </c>
      <c r="BR68" s="283"/>
      <c r="BS68" s="190">
        <f t="shared" si="112"/>
        <v>1300000</v>
      </c>
      <c r="BT68" s="283"/>
      <c r="BU68" s="283"/>
      <c r="BV68" s="190"/>
      <c r="BW68" s="191">
        <f>BS68+BV68</f>
        <v>1300000</v>
      </c>
    </row>
    <row r="69" spans="1:75" s="237" customFormat="1" ht="20.25" customHeight="1" x14ac:dyDescent="0.25">
      <c r="A69" s="271"/>
      <c r="B69" s="169"/>
      <c r="C69" s="244" t="s">
        <v>833</v>
      </c>
      <c r="D69" s="274" t="s">
        <v>254</v>
      </c>
      <c r="E69" s="229" t="s">
        <v>75</v>
      </c>
      <c r="F69" s="208">
        <v>20000</v>
      </c>
      <c r="G69" s="194">
        <f>BK69</f>
        <v>51</v>
      </c>
      <c r="H69" s="290">
        <f>BL69</f>
        <v>1020000</v>
      </c>
      <c r="I69" s="195">
        <f t="shared" si="103"/>
        <v>102000</v>
      </c>
      <c r="J69" s="195">
        <f t="shared" si="104"/>
        <v>816000</v>
      </c>
      <c r="K69" s="195"/>
      <c r="L69" s="195"/>
      <c r="M69" s="195"/>
      <c r="N69" s="195"/>
      <c r="O69" s="195"/>
      <c r="P69" s="195"/>
      <c r="Q69" s="195">
        <f t="shared" si="113"/>
        <v>102000</v>
      </c>
      <c r="R69" s="195"/>
      <c r="S69" s="230"/>
      <c r="T69" s="230"/>
      <c r="U69" s="230">
        <f>G69</f>
        <v>51</v>
      </c>
      <c r="V69" s="230"/>
      <c r="W69" s="197">
        <f t="shared" si="105"/>
        <v>0</v>
      </c>
      <c r="X69" s="197">
        <f t="shared" si="106"/>
        <v>0</v>
      </c>
      <c r="Y69" s="197">
        <f t="shared" si="107"/>
        <v>1020000</v>
      </c>
      <c r="Z69" s="197">
        <f t="shared" si="108"/>
        <v>0</v>
      </c>
      <c r="AA69" s="284">
        <v>2</v>
      </c>
      <c r="AB69" s="188">
        <f t="shared" si="84"/>
        <v>40000</v>
      </c>
      <c r="AC69" s="230">
        <v>2</v>
      </c>
      <c r="AD69" s="188">
        <f t="shared" si="85"/>
        <v>40000</v>
      </c>
      <c r="AE69" s="230">
        <v>2</v>
      </c>
      <c r="AF69" s="188">
        <f t="shared" si="86"/>
        <v>40000</v>
      </c>
      <c r="AG69" s="230">
        <v>2</v>
      </c>
      <c r="AH69" s="188">
        <f t="shared" si="87"/>
        <v>40000</v>
      </c>
      <c r="AI69" s="230">
        <v>2</v>
      </c>
      <c r="AJ69" s="188">
        <f t="shared" si="88"/>
        <v>40000</v>
      </c>
      <c r="AK69" s="230">
        <v>2</v>
      </c>
      <c r="AL69" s="188">
        <f t="shared" si="89"/>
        <v>40000</v>
      </c>
      <c r="AM69" s="230">
        <v>5</v>
      </c>
      <c r="AN69" s="188">
        <f t="shared" si="90"/>
        <v>100000</v>
      </c>
      <c r="AO69" s="230">
        <v>2</v>
      </c>
      <c r="AP69" s="188">
        <f t="shared" si="91"/>
        <v>40000</v>
      </c>
      <c r="AQ69" s="230">
        <v>3</v>
      </c>
      <c r="AR69" s="188">
        <f t="shared" si="92"/>
        <v>60000</v>
      </c>
      <c r="AS69" s="230">
        <v>5</v>
      </c>
      <c r="AT69" s="188">
        <f t="shared" si="93"/>
        <v>100000</v>
      </c>
      <c r="AU69" s="230">
        <v>5</v>
      </c>
      <c r="AV69" s="188">
        <f t="shared" si="94"/>
        <v>100000</v>
      </c>
      <c r="AW69" s="281">
        <v>3</v>
      </c>
      <c r="AX69" s="188">
        <f t="shared" si="95"/>
        <v>60000</v>
      </c>
      <c r="AY69" s="233">
        <v>0</v>
      </c>
      <c r="AZ69" s="188">
        <f t="shared" si="96"/>
        <v>0</v>
      </c>
      <c r="BA69" s="281">
        <v>5</v>
      </c>
      <c r="BB69" s="188">
        <f t="shared" si="97"/>
        <v>100000</v>
      </c>
      <c r="BC69" s="230">
        <v>5</v>
      </c>
      <c r="BD69" s="188">
        <f t="shared" si="98"/>
        <v>100000</v>
      </c>
      <c r="BE69" s="230">
        <v>5</v>
      </c>
      <c r="BF69" s="188">
        <f t="shared" si="99"/>
        <v>100000</v>
      </c>
      <c r="BG69" s="230">
        <v>1</v>
      </c>
      <c r="BH69" s="188">
        <f t="shared" si="100"/>
        <v>20000</v>
      </c>
      <c r="BI69" s="230"/>
      <c r="BJ69" s="188">
        <f t="shared" si="101"/>
        <v>0</v>
      </c>
      <c r="BK69" s="188">
        <f t="shared" si="109"/>
        <v>51</v>
      </c>
      <c r="BL69" s="188">
        <f t="shared" si="110"/>
        <v>1020000</v>
      </c>
      <c r="BM69" s="212" t="s">
        <v>216</v>
      </c>
      <c r="BN69" s="201"/>
      <c r="BO69" s="195"/>
      <c r="BP69" s="283"/>
      <c r="BQ69" s="225">
        <f t="shared" si="111"/>
        <v>1020000</v>
      </c>
      <c r="BR69" s="283"/>
      <c r="BS69" s="190">
        <f t="shared" si="112"/>
        <v>1020000</v>
      </c>
      <c r="BT69" s="283"/>
      <c r="BU69" s="283"/>
      <c r="BV69" s="190"/>
      <c r="BW69" s="191">
        <f>BS69+BV69</f>
        <v>1020000</v>
      </c>
    </row>
    <row r="70" spans="1:75" s="237" customFormat="1" ht="20.25" customHeight="1" x14ac:dyDescent="0.25">
      <c r="A70" s="271"/>
      <c r="B70" s="169"/>
      <c r="C70" s="244" t="s">
        <v>834</v>
      </c>
      <c r="D70" s="274" t="s">
        <v>290</v>
      </c>
      <c r="E70" s="229" t="s">
        <v>75</v>
      </c>
      <c r="F70" s="208">
        <v>20000</v>
      </c>
      <c r="G70" s="194">
        <f t="shared" si="102"/>
        <v>31.5</v>
      </c>
      <c r="H70" s="195">
        <f t="shared" ref="H70:H80" si="114">G70*F70</f>
        <v>630000</v>
      </c>
      <c r="I70" s="195">
        <f t="shared" si="103"/>
        <v>63000</v>
      </c>
      <c r="J70" s="195">
        <f t="shared" si="104"/>
        <v>504000</v>
      </c>
      <c r="K70" s="195"/>
      <c r="L70" s="195"/>
      <c r="M70" s="195"/>
      <c r="N70" s="195"/>
      <c r="O70" s="195"/>
      <c r="P70" s="195"/>
      <c r="Q70" s="195">
        <f t="shared" si="113"/>
        <v>63000</v>
      </c>
      <c r="R70" s="195"/>
      <c r="S70" s="198"/>
      <c r="T70" s="198">
        <f>G70*0.7</f>
        <v>22.049999999999997</v>
      </c>
      <c r="U70" s="198"/>
      <c r="V70" s="230">
        <f>G70*0.3</f>
        <v>9.4499999999999993</v>
      </c>
      <c r="W70" s="197">
        <f t="shared" si="105"/>
        <v>0</v>
      </c>
      <c r="X70" s="197">
        <f t="shared" si="106"/>
        <v>440999.99999999994</v>
      </c>
      <c r="Y70" s="197">
        <f t="shared" si="107"/>
        <v>0</v>
      </c>
      <c r="Z70" s="197">
        <f t="shared" si="108"/>
        <v>189000</v>
      </c>
      <c r="AA70" s="284">
        <v>0.5</v>
      </c>
      <c r="AB70" s="188">
        <f t="shared" si="84"/>
        <v>10000</v>
      </c>
      <c r="AC70" s="230">
        <v>0</v>
      </c>
      <c r="AD70" s="188">
        <f t="shared" si="85"/>
        <v>0</v>
      </c>
      <c r="AE70" s="230">
        <v>3</v>
      </c>
      <c r="AF70" s="188">
        <f t="shared" si="86"/>
        <v>60000</v>
      </c>
      <c r="AG70" s="230">
        <v>2</v>
      </c>
      <c r="AH70" s="188">
        <f t="shared" si="87"/>
        <v>40000</v>
      </c>
      <c r="AI70" s="230">
        <v>0</v>
      </c>
      <c r="AJ70" s="188">
        <f t="shared" si="88"/>
        <v>0</v>
      </c>
      <c r="AK70" s="230">
        <v>0</v>
      </c>
      <c r="AL70" s="188">
        <f t="shared" si="89"/>
        <v>0</v>
      </c>
      <c r="AM70" s="230">
        <v>8</v>
      </c>
      <c r="AN70" s="188">
        <f t="shared" si="90"/>
        <v>160000</v>
      </c>
      <c r="AO70" s="230">
        <v>5</v>
      </c>
      <c r="AP70" s="188">
        <f t="shared" si="91"/>
        <v>100000</v>
      </c>
      <c r="AQ70" s="230">
        <v>3</v>
      </c>
      <c r="AR70" s="188">
        <f t="shared" si="92"/>
        <v>60000</v>
      </c>
      <c r="AS70" s="230">
        <v>2</v>
      </c>
      <c r="AT70" s="188">
        <f t="shared" si="93"/>
        <v>40000</v>
      </c>
      <c r="AU70" s="230">
        <v>5</v>
      </c>
      <c r="AV70" s="188">
        <f t="shared" si="94"/>
        <v>100000</v>
      </c>
      <c r="AW70" s="281">
        <v>0</v>
      </c>
      <c r="AX70" s="188">
        <f t="shared" si="95"/>
        <v>0</v>
      </c>
      <c r="AY70" s="233">
        <v>0</v>
      </c>
      <c r="AZ70" s="188">
        <f t="shared" si="96"/>
        <v>0</v>
      </c>
      <c r="BA70" s="281">
        <v>0</v>
      </c>
      <c r="BB70" s="188">
        <f t="shared" si="97"/>
        <v>0</v>
      </c>
      <c r="BC70" s="287">
        <v>0</v>
      </c>
      <c r="BD70" s="188">
        <f t="shared" si="98"/>
        <v>0</v>
      </c>
      <c r="BE70" s="230">
        <v>3</v>
      </c>
      <c r="BF70" s="188">
        <f t="shared" si="99"/>
        <v>60000</v>
      </c>
      <c r="BG70" s="230">
        <v>0</v>
      </c>
      <c r="BH70" s="188">
        <f t="shared" si="100"/>
        <v>0</v>
      </c>
      <c r="BI70" s="230"/>
      <c r="BJ70" s="188">
        <f t="shared" si="101"/>
        <v>0</v>
      </c>
      <c r="BK70" s="188">
        <f t="shared" si="109"/>
        <v>31.5</v>
      </c>
      <c r="BL70" s="188">
        <f t="shared" si="110"/>
        <v>630000</v>
      </c>
      <c r="BM70" s="212" t="s">
        <v>216</v>
      </c>
      <c r="BN70" s="201"/>
      <c r="BO70" s="195"/>
      <c r="BP70" s="283"/>
      <c r="BQ70" s="225">
        <f t="shared" si="111"/>
        <v>630000</v>
      </c>
      <c r="BR70" s="283"/>
      <c r="BS70" s="190">
        <f t="shared" si="112"/>
        <v>630000</v>
      </c>
      <c r="BT70" s="283"/>
      <c r="BU70" s="283"/>
      <c r="BV70" s="190"/>
      <c r="BW70" s="191">
        <f>BS70+BV70</f>
        <v>630000</v>
      </c>
    </row>
    <row r="71" spans="1:75" s="237" customFormat="1" ht="20.25" customHeight="1" x14ac:dyDescent="0.25">
      <c r="A71" s="271"/>
      <c r="B71" s="169"/>
      <c r="C71" s="244" t="s">
        <v>835</v>
      </c>
      <c r="D71" s="274" t="s">
        <v>255</v>
      </c>
      <c r="E71" s="229" t="s">
        <v>75</v>
      </c>
      <c r="F71" s="208">
        <v>50000</v>
      </c>
      <c r="G71" s="194">
        <f t="shared" si="102"/>
        <v>12</v>
      </c>
      <c r="H71" s="195">
        <f t="shared" si="114"/>
        <v>600000</v>
      </c>
      <c r="I71" s="195">
        <f t="shared" si="103"/>
        <v>60000</v>
      </c>
      <c r="J71" s="195">
        <f t="shared" si="104"/>
        <v>480000</v>
      </c>
      <c r="K71" s="195"/>
      <c r="L71" s="195"/>
      <c r="M71" s="195"/>
      <c r="N71" s="195"/>
      <c r="O71" s="195"/>
      <c r="P71" s="195"/>
      <c r="Q71" s="195">
        <f t="shared" si="113"/>
        <v>60000</v>
      </c>
      <c r="R71" s="195"/>
      <c r="S71" s="198">
        <f>G71*0.65</f>
        <v>7.8000000000000007</v>
      </c>
      <c r="T71" s="198">
        <f>G71*0.35</f>
        <v>4.1999999999999993</v>
      </c>
      <c r="U71" s="230"/>
      <c r="V71" s="230"/>
      <c r="W71" s="197">
        <f t="shared" si="105"/>
        <v>390000.00000000006</v>
      </c>
      <c r="X71" s="197">
        <f t="shared" si="106"/>
        <v>209999.99999999997</v>
      </c>
      <c r="Y71" s="197">
        <f t="shared" si="107"/>
        <v>0</v>
      </c>
      <c r="Z71" s="197">
        <f t="shared" si="108"/>
        <v>0</v>
      </c>
      <c r="AA71" s="284">
        <v>0</v>
      </c>
      <c r="AB71" s="188">
        <f t="shared" si="84"/>
        <v>0</v>
      </c>
      <c r="AC71" s="230">
        <v>2</v>
      </c>
      <c r="AD71" s="188">
        <f t="shared" si="85"/>
        <v>100000</v>
      </c>
      <c r="AE71" s="230">
        <v>0</v>
      </c>
      <c r="AF71" s="188">
        <f t="shared" si="86"/>
        <v>0</v>
      </c>
      <c r="AG71" s="230">
        <v>0</v>
      </c>
      <c r="AH71" s="188">
        <f t="shared" si="87"/>
        <v>0</v>
      </c>
      <c r="AI71" s="230">
        <v>0</v>
      </c>
      <c r="AJ71" s="188">
        <f t="shared" si="88"/>
        <v>0</v>
      </c>
      <c r="AK71" s="230">
        <v>0</v>
      </c>
      <c r="AL71" s="188">
        <f t="shared" si="89"/>
        <v>0</v>
      </c>
      <c r="AM71" s="230">
        <v>0</v>
      </c>
      <c r="AN71" s="188">
        <f t="shared" si="90"/>
        <v>0</v>
      </c>
      <c r="AO71" s="230">
        <v>0</v>
      </c>
      <c r="AP71" s="188">
        <f t="shared" si="91"/>
        <v>0</v>
      </c>
      <c r="AQ71" s="230">
        <v>2</v>
      </c>
      <c r="AR71" s="188">
        <f t="shared" si="92"/>
        <v>100000</v>
      </c>
      <c r="AS71" s="230">
        <v>3</v>
      </c>
      <c r="AT71" s="188">
        <f t="shared" si="93"/>
        <v>150000</v>
      </c>
      <c r="AU71" s="230">
        <v>0</v>
      </c>
      <c r="AV71" s="188">
        <f t="shared" si="94"/>
        <v>0</v>
      </c>
      <c r="AW71" s="281">
        <v>0</v>
      </c>
      <c r="AX71" s="188">
        <f t="shared" si="95"/>
        <v>0</v>
      </c>
      <c r="AY71" s="233">
        <v>0</v>
      </c>
      <c r="AZ71" s="188">
        <f t="shared" si="96"/>
        <v>0</v>
      </c>
      <c r="BA71" s="281">
        <v>0</v>
      </c>
      <c r="BB71" s="188">
        <f t="shared" si="97"/>
        <v>0</v>
      </c>
      <c r="BC71" s="230">
        <v>5</v>
      </c>
      <c r="BD71" s="188">
        <f t="shared" si="98"/>
        <v>250000</v>
      </c>
      <c r="BE71" s="230">
        <v>0</v>
      </c>
      <c r="BF71" s="188">
        <f t="shared" si="99"/>
        <v>0</v>
      </c>
      <c r="BG71" s="230">
        <v>0</v>
      </c>
      <c r="BH71" s="188">
        <f t="shared" si="100"/>
        <v>0</v>
      </c>
      <c r="BI71" s="230"/>
      <c r="BJ71" s="188">
        <f t="shared" si="101"/>
        <v>0</v>
      </c>
      <c r="BK71" s="188">
        <f t="shared" si="109"/>
        <v>12</v>
      </c>
      <c r="BL71" s="188">
        <f t="shared" si="110"/>
        <v>600000</v>
      </c>
      <c r="BM71" s="212" t="s">
        <v>216</v>
      </c>
      <c r="BN71" s="201"/>
      <c r="BO71" s="195"/>
      <c r="BP71" s="283"/>
      <c r="BQ71" s="225">
        <f t="shared" si="111"/>
        <v>600000</v>
      </c>
      <c r="BR71" s="283"/>
      <c r="BS71" s="190">
        <f t="shared" si="112"/>
        <v>600000</v>
      </c>
      <c r="BT71" s="283"/>
      <c r="BU71" s="283"/>
      <c r="BV71" s="190"/>
      <c r="BW71" s="191">
        <f t="shared" ref="BW71:BW80" si="115">BS71+BV71</f>
        <v>600000</v>
      </c>
    </row>
    <row r="72" spans="1:75" s="237" customFormat="1" ht="20.25" customHeight="1" x14ac:dyDescent="0.25">
      <c r="A72" s="271"/>
      <c r="B72" s="169"/>
      <c r="C72" s="244" t="s">
        <v>836</v>
      </c>
      <c r="D72" s="274" t="s">
        <v>256</v>
      </c>
      <c r="E72" s="229" t="s">
        <v>75</v>
      </c>
      <c r="F72" s="208">
        <v>36000</v>
      </c>
      <c r="G72" s="194">
        <f t="shared" si="102"/>
        <v>8</v>
      </c>
      <c r="H72" s="195">
        <f t="shared" si="114"/>
        <v>288000</v>
      </c>
      <c r="I72" s="195">
        <f t="shared" si="103"/>
        <v>28800</v>
      </c>
      <c r="J72" s="195">
        <f t="shared" si="104"/>
        <v>230400</v>
      </c>
      <c r="K72" s="195"/>
      <c r="L72" s="195"/>
      <c r="M72" s="195"/>
      <c r="N72" s="195"/>
      <c r="O72" s="195"/>
      <c r="P72" s="195"/>
      <c r="Q72" s="195">
        <f t="shared" si="113"/>
        <v>28800</v>
      </c>
      <c r="R72" s="195"/>
      <c r="S72" s="230"/>
      <c r="T72" s="230"/>
      <c r="U72" s="230">
        <f>G72</f>
        <v>8</v>
      </c>
      <c r="V72" s="230"/>
      <c r="W72" s="197">
        <f t="shared" si="105"/>
        <v>0</v>
      </c>
      <c r="X72" s="197">
        <f t="shared" si="106"/>
        <v>0</v>
      </c>
      <c r="Y72" s="197">
        <f t="shared" si="107"/>
        <v>288000</v>
      </c>
      <c r="Z72" s="197">
        <f t="shared" si="108"/>
        <v>0</v>
      </c>
      <c r="AA72" s="284">
        <v>0</v>
      </c>
      <c r="AB72" s="188">
        <f t="shared" si="84"/>
        <v>0</v>
      </c>
      <c r="AC72" s="230">
        <v>0</v>
      </c>
      <c r="AD72" s="188">
        <f t="shared" si="85"/>
        <v>0</v>
      </c>
      <c r="AE72" s="230">
        <v>0</v>
      </c>
      <c r="AF72" s="188">
        <f t="shared" si="86"/>
        <v>0</v>
      </c>
      <c r="AG72" s="230">
        <v>0</v>
      </c>
      <c r="AH72" s="188">
        <f t="shared" si="87"/>
        <v>0</v>
      </c>
      <c r="AI72" s="230">
        <v>0</v>
      </c>
      <c r="AJ72" s="188">
        <f t="shared" si="88"/>
        <v>0</v>
      </c>
      <c r="AK72" s="230">
        <v>0</v>
      </c>
      <c r="AL72" s="188">
        <f t="shared" si="89"/>
        <v>0</v>
      </c>
      <c r="AM72" s="230">
        <v>0</v>
      </c>
      <c r="AN72" s="188">
        <f t="shared" si="90"/>
        <v>0</v>
      </c>
      <c r="AO72" s="230">
        <v>0</v>
      </c>
      <c r="AP72" s="188">
        <f t="shared" si="91"/>
        <v>0</v>
      </c>
      <c r="AQ72" s="230">
        <v>2</v>
      </c>
      <c r="AR72" s="188">
        <f t="shared" si="92"/>
        <v>72000</v>
      </c>
      <c r="AS72" s="230">
        <v>3</v>
      </c>
      <c r="AT72" s="188">
        <f t="shared" si="93"/>
        <v>108000</v>
      </c>
      <c r="AU72" s="230">
        <v>0</v>
      </c>
      <c r="AV72" s="188">
        <f t="shared" si="94"/>
        <v>0</v>
      </c>
      <c r="AW72" s="281">
        <v>0</v>
      </c>
      <c r="AX72" s="188">
        <f t="shared" si="95"/>
        <v>0</v>
      </c>
      <c r="AY72" s="233">
        <v>0</v>
      </c>
      <c r="AZ72" s="188">
        <f t="shared" si="96"/>
        <v>0</v>
      </c>
      <c r="BA72" s="281">
        <v>0</v>
      </c>
      <c r="BB72" s="188">
        <f t="shared" si="97"/>
        <v>0</v>
      </c>
      <c r="BC72" s="230">
        <v>0</v>
      </c>
      <c r="BD72" s="188">
        <f t="shared" si="98"/>
        <v>0</v>
      </c>
      <c r="BE72" s="230">
        <v>3</v>
      </c>
      <c r="BF72" s="188">
        <f t="shared" si="99"/>
        <v>108000</v>
      </c>
      <c r="BG72" s="230">
        <v>0</v>
      </c>
      <c r="BH72" s="188">
        <f t="shared" si="100"/>
        <v>0</v>
      </c>
      <c r="BI72" s="230"/>
      <c r="BJ72" s="188">
        <f t="shared" si="101"/>
        <v>0</v>
      </c>
      <c r="BK72" s="188">
        <f t="shared" si="109"/>
        <v>8</v>
      </c>
      <c r="BL72" s="188">
        <f t="shared" si="110"/>
        <v>288000</v>
      </c>
      <c r="BM72" s="212" t="s">
        <v>216</v>
      </c>
      <c r="BN72" s="201"/>
      <c r="BO72" s="195"/>
      <c r="BP72" s="283"/>
      <c r="BQ72" s="225">
        <f t="shared" si="111"/>
        <v>288000</v>
      </c>
      <c r="BR72" s="283"/>
      <c r="BS72" s="190">
        <f t="shared" si="112"/>
        <v>288000</v>
      </c>
      <c r="BT72" s="283"/>
      <c r="BU72" s="283"/>
      <c r="BV72" s="190"/>
      <c r="BW72" s="191">
        <f t="shared" si="115"/>
        <v>288000</v>
      </c>
    </row>
    <row r="73" spans="1:75" s="237" customFormat="1" ht="20.25" customHeight="1" x14ac:dyDescent="0.25">
      <c r="A73" s="271"/>
      <c r="B73" s="169"/>
      <c r="C73" s="244" t="s">
        <v>837</v>
      </c>
      <c r="D73" s="274" t="s">
        <v>257</v>
      </c>
      <c r="E73" s="229" t="s">
        <v>75</v>
      </c>
      <c r="F73" s="208">
        <v>62500</v>
      </c>
      <c r="G73" s="194">
        <f t="shared" si="102"/>
        <v>6</v>
      </c>
      <c r="H73" s="195">
        <f t="shared" si="114"/>
        <v>375000</v>
      </c>
      <c r="I73" s="195">
        <f t="shared" si="103"/>
        <v>37500</v>
      </c>
      <c r="J73" s="195">
        <f t="shared" si="104"/>
        <v>300000</v>
      </c>
      <c r="K73" s="195"/>
      <c r="L73" s="195"/>
      <c r="M73" s="195"/>
      <c r="N73" s="195"/>
      <c r="O73" s="195"/>
      <c r="P73" s="195"/>
      <c r="Q73" s="195">
        <f t="shared" si="113"/>
        <v>37500</v>
      </c>
      <c r="R73" s="195"/>
      <c r="S73" s="230"/>
      <c r="T73" s="230"/>
      <c r="U73" s="230">
        <f>G73</f>
        <v>6</v>
      </c>
      <c r="V73" s="230"/>
      <c r="W73" s="197">
        <f t="shared" si="105"/>
        <v>0</v>
      </c>
      <c r="X73" s="197">
        <f t="shared" si="106"/>
        <v>0</v>
      </c>
      <c r="Y73" s="197">
        <f t="shared" si="107"/>
        <v>375000</v>
      </c>
      <c r="Z73" s="197">
        <f t="shared" si="108"/>
        <v>0</v>
      </c>
      <c r="AA73" s="284">
        <v>0</v>
      </c>
      <c r="AB73" s="188">
        <f t="shared" si="84"/>
        <v>0</v>
      </c>
      <c r="AC73" s="230">
        <v>0</v>
      </c>
      <c r="AD73" s="188">
        <f t="shared" si="85"/>
        <v>0</v>
      </c>
      <c r="AE73" s="230">
        <v>0</v>
      </c>
      <c r="AF73" s="188">
        <f t="shared" si="86"/>
        <v>0</v>
      </c>
      <c r="AG73" s="230">
        <v>0</v>
      </c>
      <c r="AH73" s="188">
        <f t="shared" si="87"/>
        <v>0</v>
      </c>
      <c r="AI73" s="230">
        <v>0</v>
      </c>
      <c r="AJ73" s="188">
        <f t="shared" si="88"/>
        <v>0</v>
      </c>
      <c r="AK73" s="230">
        <v>0</v>
      </c>
      <c r="AL73" s="188">
        <f t="shared" si="89"/>
        <v>0</v>
      </c>
      <c r="AM73" s="230">
        <v>0</v>
      </c>
      <c r="AN73" s="188">
        <f t="shared" si="90"/>
        <v>0</v>
      </c>
      <c r="AO73" s="230">
        <v>0</v>
      </c>
      <c r="AP73" s="188">
        <f t="shared" si="91"/>
        <v>0</v>
      </c>
      <c r="AQ73" s="230">
        <v>2</v>
      </c>
      <c r="AR73" s="188">
        <f t="shared" si="92"/>
        <v>125000</v>
      </c>
      <c r="AS73" s="230">
        <v>4</v>
      </c>
      <c r="AT73" s="188">
        <f t="shared" si="93"/>
        <v>250000</v>
      </c>
      <c r="AU73" s="230">
        <v>0</v>
      </c>
      <c r="AV73" s="188">
        <f t="shared" si="94"/>
        <v>0</v>
      </c>
      <c r="AW73" s="281">
        <v>0</v>
      </c>
      <c r="AX73" s="188">
        <f t="shared" si="95"/>
        <v>0</v>
      </c>
      <c r="AY73" s="233">
        <v>0</v>
      </c>
      <c r="AZ73" s="188">
        <f t="shared" si="96"/>
        <v>0</v>
      </c>
      <c r="BA73" s="281">
        <v>0</v>
      </c>
      <c r="BB73" s="188">
        <f t="shared" si="97"/>
        <v>0</v>
      </c>
      <c r="BC73" s="230">
        <v>0</v>
      </c>
      <c r="BD73" s="188">
        <f t="shared" si="98"/>
        <v>0</v>
      </c>
      <c r="BE73" s="230">
        <v>0</v>
      </c>
      <c r="BF73" s="188">
        <f t="shared" si="99"/>
        <v>0</v>
      </c>
      <c r="BG73" s="230">
        <v>0</v>
      </c>
      <c r="BH73" s="188">
        <f t="shared" si="100"/>
        <v>0</v>
      </c>
      <c r="BI73" s="230"/>
      <c r="BJ73" s="188">
        <f t="shared" si="101"/>
        <v>0</v>
      </c>
      <c r="BK73" s="188">
        <f t="shared" si="109"/>
        <v>6</v>
      </c>
      <c r="BL73" s="188">
        <f t="shared" si="110"/>
        <v>375000</v>
      </c>
      <c r="BM73" s="212" t="s">
        <v>216</v>
      </c>
      <c r="BN73" s="201"/>
      <c r="BO73" s="195"/>
      <c r="BP73" s="283"/>
      <c r="BQ73" s="225">
        <f t="shared" si="111"/>
        <v>375000</v>
      </c>
      <c r="BR73" s="283"/>
      <c r="BS73" s="190">
        <f t="shared" si="112"/>
        <v>375000</v>
      </c>
      <c r="BT73" s="283"/>
      <c r="BU73" s="283"/>
      <c r="BV73" s="190"/>
      <c r="BW73" s="191">
        <f t="shared" si="115"/>
        <v>375000</v>
      </c>
    </row>
    <row r="74" spans="1:75" s="237" customFormat="1" ht="20.25" customHeight="1" x14ac:dyDescent="0.25">
      <c r="A74" s="271"/>
      <c r="B74" s="169"/>
      <c r="C74" s="244" t="s">
        <v>838</v>
      </c>
      <c r="D74" s="274" t="s">
        <v>260</v>
      </c>
      <c r="E74" s="229" t="s">
        <v>75</v>
      </c>
      <c r="F74" s="208">
        <v>30000</v>
      </c>
      <c r="G74" s="194">
        <f t="shared" si="102"/>
        <v>2</v>
      </c>
      <c r="H74" s="195">
        <f t="shared" si="114"/>
        <v>60000</v>
      </c>
      <c r="I74" s="195">
        <f t="shared" si="103"/>
        <v>6000</v>
      </c>
      <c r="J74" s="195">
        <f t="shared" si="104"/>
        <v>48000</v>
      </c>
      <c r="K74" s="195"/>
      <c r="L74" s="195"/>
      <c r="M74" s="195"/>
      <c r="N74" s="195"/>
      <c r="O74" s="195"/>
      <c r="P74" s="195"/>
      <c r="Q74" s="195">
        <f t="shared" si="113"/>
        <v>6000</v>
      </c>
      <c r="R74" s="195"/>
      <c r="S74" s="230"/>
      <c r="T74" s="230"/>
      <c r="U74" s="230">
        <f>G74</f>
        <v>2</v>
      </c>
      <c r="V74" s="230"/>
      <c r="W74" s="197">
        <f t="shared" si="105"/>
        <v>0</v>
      </c>
      <c r="X74" s="197">
        <f t="shared" si="106"/>
        <v>0</v>
      </c>
      <c r="Y74" s="197">
        <f t="shared" si="107"/>
        <v>60000</v>
      </c>
      <c r="Z74" s="197">
        <f t="shared" si="108"/>
        <v>0</v>
      </c>
      <c r="AA74" s="284">
        <v>0</v>
      </c>
      <c r="AB74" s="188">
        <f t="shared" si="84"/>
        <v>0</v>
      </c>
      <c r="AC74" s="230">
        <v>0</v>
      </c>
      <c r="AD74" s="188">
        <f t="shared" si="85"/>
        <v>0</v>
      </c>
      <c r="AE74" s="230">
        <v>0</v>
      </c>
      <c r="AF74" s="188">
        <f t="shared" si="86"/>
        <v>0</v>
      </c>
      <c r="AG74" s="230">
        <v>0</v>
      </c>
      <c r="AH74" s="188">
        <f t="shared" si="87"/>
        <v>0</v>
      </c>
      <c r="AI74" s="230">
        <v>0</v>
      </c>
      <c r="AJ74" s="188">
        <f t="shared" si="88"/>
        <v>0</v>
      </c>
      <c r="AK74" s="230">
        <v>0</v>
      </c>
      <c r="AL74" s="188">
        <f t="shared" si="89"/>
        <v>0</v>
      </c>
      <c r="AM74" s="230">
        <v>0</v>
      </c>
      <c r="AN74" s="188">
        <f t="shared" si="90"/>
        <v>0</v>
      </c>
      <c r="AO74" s="230">
        <v>0</v>
      </c>
      <c r="AP74" s="188">
        <f t="shared" si="91"/>
        <v>0</v>
      </c>
      <c r="AQ74" s="230">
        <v>2</v>
      </c>
      <c r="AR74" s="188">
        <f t="shared" si="92"/>
        <v>60000</v>
      </c>
      <c r="AS74" s="230">
        <v>0</v>
      </c>
      <c r="AT74" s="188">
        <f t="shared" si="93"/>
        <v>0</v>
      </c>
      <c r="AU74" s="230">
        <v>0</v>
      </c>
      <c r="AV74" s="188">
        <f t="shared" si="94"/>
        <v>0</v>
      </c>
      <c r="AW74" s="281">
        <v>0</v>
      </c>
      <c r="AX74" s="188">
        <f t="shared" si="95"/>
        <v>0</v>
      </c>
      <c r="AY74" s="233">
        <v>0</v>
      </c>
      <c r="AZ74" s="188">
        <f t="shared" si="96"/>
        <v>0</v>
      </c>
      <c r="BA74" s="281">
        <v>0</v>
      </c>
      <c r="BB74" s="188">
        <f t="shared" si="97"/>
        <v>0</v>
      </c>
      <c r="BC74" s="230">
        <v>0</v>
      </c>
      <c r="BD74" s="188">
        <f t="shared" si="98"/>
        <v>0</v>
      </c>
      <c r="BE74" s="230">
        <v>0</v>
      </c>
      <c r="BF74" s="188">
        <f t="shared" si="99"/>
        <v>0</v>
      </c>
      <c r="BG74" s="230">
        <v>0</v>
      </c>
      <c r="BH74" s="188">
        <f t="shared" si="100"/>
        <v>0</v>
      </c>
      <c r="BI74" s="230"/>
      <c r="BJ74" s="188">
        <f t="shared" si="101"/>
        <v>0</v>
      </c>
      <c r="BK74" s="188">
        <f t="shared" si="109"/>
        <v>2</v>
      </c>
      <c r="BL74" s="188">
        <f t="shared" si="110"/>
        <v>60000</v>
      </c>
      <c r="BM74" s="212" t="s">
        <v>216</v>
      </c>
      <c r="BN74" s="201"/>
      <c r="BO74" s="195"/>
      <c r="BP74" s="283"/>
      <c r="BQ74" s="225">
        <f t="shared" si="111"/>
        <v>60000</v>
      </c>
      <c r="BR74" s="283"/>
      <c r="BS74" s="190">
        <f t="shared" si="112"/>
        <v>60000</v>
      </c>
      <c r="BT74" s="283"/>
      <c r="BU74" s="283"/>
      <c r="BV74" s="190"/>
      <c r="BW74" s="191">
        <f t="shared" si="115"/>
        <v>60000</v>
      </c>
    </row>
    <row r="75" spans="1:75" s="237" customFormat="1" ht="20.25" customHeight="1" x14ac:dyDescent="0.25">
      <c r="A75" s="271"/>
      <c r="B75" s="169"/>
      <c r="C75" s="244" t="s">
        <v>839</v>
      </c>
      <c r="D75" s="274" t="s">
        <v>289</v>
      </c>
      <c r="E75" s="229" t="s">
        <v>75</v>
      </c>
      <c r="F75" s="208">
        <v>50000</v>
      </c>
      <c r="G75" s="194">
        <f>BK75</f>
        <v>33</v>
      </c>
      <c r="H75" s="195">
        <f t="shared" si="114"/>
        <v>1650000</v>
      </c>
      <c r="I75" s="195">
        <f t="shared" si="103"/>
        <v>165000</v>
      </c>
      <c r="J75" s="195">
        <f t="shared" si="104"/>
        <v>1320000</v>
      </c>
      <c r="K75" s="195"/>
      <c r="L75" s="195"/>
      <c r="M75" s="195"/>
      <c r="N75" s="195"/>
      <c r="O75" s="195"/>
      <c r="P75" s="195"/>
      <c r="Q75" s="195">
        <f t="shared" si="113"/>
        <v>165000</v>
      </c>
      <c r="R75" s="195"/>
      <c r="S75" s="230"/>
      <c r="T75" s="230">
        <f>G75*0.5</f>
        <v>16.5</v>
      </c>
      <c r="U75" s="230"/>
      <c r="V75" s="230">
        <f>G75*0.5</f>
        <v>16.5</v>
      </c>
      <c r="W75" s="197">
        <f t="shared" si="105"/>
        <v>0</v>
      </c>
      <c r="X75" s="197">
        <f t="shared" si="106"/>
        <v>825000</v>
      </c>
      <c r="Y75" s="197">
        <f t="shared" si="107"/>
        <v>0</v>
      </c>
      <c r="Z75" s="197">
        <f t="shared" si="108"/>
        <v>825000</v>
      </c>
      <c r="AA75" s="284">
        <v>1</v>
      </c>
      <c r="AB75" s="188">
        <f t="shared" si="84"/>
        <v>50000</v>
      </c>
      <c r="AC75" s="230">
        <v>2</v>
      </c>
      <c r="AD75" s="188">
        <f t="shared" si="85"/>
        <v>100000</v>
      </c>
      <c r="AE75" s="230">
        <v>3</v>
      </c>
      <c r="AF75" s="188">
        <f t="shared" si="86"/>
        <v>150000</v>
      </c>
      <c r="AG75" s="230">
        <v>2</v>
      </c>
      <c r="AH75" s="188">
        <f t="shared" si="87"/>
        <v>100000</v>
      </c>
      <c r="AI75" s="230">
        <v>2</v>
      </c>
      <c r="AJ75" s="188">
        <f t="shared" si="88"/>
        <v>100000</v>
      </c>
      <c r="AK75" s="230">
        <v>1</v>
      </c>
      <c r="AL75" s="188">
        <f t="shared" si="89"/>
        <v>50000</v>
      </c>
      <c r="AM75" s="230">
        <v>2</v>
      </c>
      <c r="AN75" s="188">
        <f t="shared" si="90"/>
        <v>100000</v>
      </c>
      <c r="AO75" s="230">
        <v>3</v>
      </c>
      <c r="AP75" s="188">
        <f t="shared" si="91"/>
        <v>150000</v>
      </c>
      <c r="AQ75" s="230">
        <v>3</v>
      </c>
      <c r="AR75" s="188">
        <f t="shared" si="92"/>
        <v>150000</v>
      </c>
      <c r="AS75" s="230">
        <v>4</v>
      </c>
      <c r="AT75" s="188">
        <f t="shared" si="93"/>
        <v>200000</v>
      </c>
      <c r="AU75" s="230">
        <v>2</v>
      </c>
      <c r="AV75" s="188">
        <f t="shared" si="94"/>
        <v>100000</v>
      </c>
      <c r="AW75" s="281">
        <v>2</v>
      </c>
      <c r="AX75" s="188">
        <f t="shared" si="95"/>
        <v>100000</v>
      </c>
      <c r="AY75" s="233">
        <v>0</v>
      </c>
      <c r="AZ75" s="188">
        <f t="shared" si="96"/>
        <v>0</v>
      </c>
      <c r="BA75" s="281">
        <v>3</v>
      </c>
      <c r="BB75" s="188">
        <f t="shared" si="97"/>
        <v>150000</v>
      </c>
      <c r="BC75" s="230">
        <v>0</v>
      </c>
      <c r="BD75" s="188">
        <f t="shared" si="98"/>
        <v>0</v>
      </c>
      <c r="BE75" s="230">
        <v>3</v>
      </c>
      <c r="BF75" s="188">
        <f t="shared" si="99"/>
        <v>150000</v>
      </c>
      <c r="BG75" s="230">
        <v>0</v>
      </c>
      <c r="BH75" s="188">
        <f t="shared" si="100"/>
        <v>0</v>
      </c>
      <c r="BI75" s="230"/>
      <c r="BJ75" s="188">
        <f t="shared" si="101"/>
        <v>0</v>
      </c>
      <c r="BK75" s="188">
        <f t="shared" si="109"/>
        <v>33</v>
      </c>
      <c r="BL75" s="188">
        <f t="shared" si="110"/>
        <v>1650000</v>
      </c>
      <c r="BM75" s="212" t="s">
        <v>216</v>
      </c>
      <c r="BN75" s="201"/>
      <c r="BO75" s="195"/>
      <c r="BP75" s="283"/>
      <c r="BQ75" s="225">
        <f t="shared" si="111"/>
        <v>1650000</v>
      </c>
      <c r="BR75" s="283"/>
      <c r="BS75" s="190">
        <f t="shared" si="112"/>
        <v>1650000</v>
      </c>
      <c r="BT75" s="283"/>
      <c r="BU75" s="283"/>
      <c r="BV75" s="190"/>
      <c r="BW75" s="191">
        <f t="shared" si="115"/>
        <v>1650000</v>
      </c>
    </row>
    <row r="76" spans="1:75" s="237" customFormat="1" ht="20.25" customHeight="1" x14ac:dyDescent="0.25">
      <c r="A76" s="271"/>
      <c r="B76" s="169"/>
      <c r="C76" s="244" t="s">
        <v>840</v>
      </c>
      <c r="D76" s="274" t="s">
        <v>269</v>
      </c>
      <c r="E76" s="229" t="s">
        <v>75</v>
      </c>
      <c r="F76" s="208">
        <v>25000</v>
      </c>
      <c r="G76" s="194">
        <f>BK76</f>
        <v>45</v>
      </c>
      <c r="H76" s="195">
        <f t="shared" si="114"/>
        <v>1125000</v>
      </c>
      <c r="I76" s="195">
        <f t="shared" si="103"/>
        <v>112500</v>
      </c>
      <c r="J76" s="195">
        <f t="shared" si="104"/>
        <v>900000</v>
      </c>
      <c r="K76" s="195"/>
      <c r="L76" s="195"/>
      <c r="M76" s="195"/>
      <c r="N76" s="195"/>
      <c r="O76" s="195"/>
      <c r="P76" s="195"/>
      <c r="Q76" s="195">
        <f t="shared" si="113"/>
        <v>112500</v>
      </c>
      <c r="R76" s="195"/>
      <c r="S76" s="230"/>
      <c r="T76" s="230"/>
      <c r="U76" s="230">
        <f>G76</f>
        <v>45</v>
      </c>
      <c r="V76" s="230"/>
      <c r="W76" s="197">
        <f t="shared" si="105"/>
        <v>0</v>
      </c>
      <c r="X76" s="197">
        <f t="shared" si="106"/>
        <v>0</v>
      </c>
      <c r="Y76" s="197">
        <f t="shared" si="107"/>
        <v>1125000</v>
      </c>
      <c r="Z76" s="197">
        <f t="shared" si="108"/>
        <v>0</v>
      </c>
      <c r="AA76" s="284">
        <v>2</v>
      </c>
      <c r="AB76" s="188">
        <f t="shared" si="84"/>
        <v>50000</v>
      </c>
      <c r="AC76" s="230">
        <v>2</v>
      </c>
      <c r="AD76" s="188">
        <f t="shared" si="85"/>
        <v>50000</v>
      </c>
      <c r="AE76" s="230">
        <v>3</v>
      </c>
      <c r="AF76" s="188">
        <f t="shared" si="86"/>
        <v>75000</v>
      </c>
      <c r="AG76" s="230">
        <v>2</v>
      </c>
      <c r="AH76" s="188">
        <f t="shared" si="87"/>
        <v>50000</v>
      </c>
      <c r="AI76" s="230">
        <v>2</v>
      </c>
      <c r="AJ76" s="188">
        <f t="shared" si="88"/>
        <v>50000</v>
      </c>
      <c r="AK76" s="230">
        <v>2</v>
      </c>
      <c r="AL76" s="188">
        <f t="shared" si="89"/>
        <v>50000</v>
      </c>
      <c r="AM76" s="230">
        <v>5</v>
      </c>
      <c r="AN76" s="188">
        <f t="shared" si="90"/>
        <v>125000</v>
      </c>
      <c r="AO76" s="230">
        <v>3</v>
      </c>
      <c r="AP76" s="188">
        <f t="shared" si="91"/>
        <v>75000</v>
      </c>
      <c r="AQ76" s="230">
        <v>3</v>
      </c>
      <c r="AR76" s="188">
        <f t="shared" si="92"/>
        <v>75000</v>
      </c>
      <c r="AS76" s="230">
        <v>3</v>
      </c>
      <c r="AT76" s="188">
        <f t="shared" si="93"/>
        <v>75000</v>
      </c>
      <c r="AU76" s="230">
        <v>3</v>
      </c>
      <c r="AV76" s="188">
        <f t="shared" si="94"/>
        <v>75000</v>
      </c>
      <c r="AW76" s="281">
        <v>1</v>
      </c>
      <c r="AX76" s="188">
        <f t="shared" si="95"/>
        <v>25000</v>
      </c>
      <c r="AY76" s="233">
        <v>0</v>
      </c>
      <c r="AZ76" s="188">
        <f t="shared" si="96"/>
        <v>0</v>
      </c>
      <c r="BA76" s="281">
        <v>5</v>
      </c>
      <c r="BB76" s="188">
        <f t="shared" si="97"/>
        <v>125000</v>
      </c>
      <c r="BC76" s="230">
        <v>6</v>
      </c>
      <c r="BD76" s="188">
        <f t="shared" si="98"/>
        <v>150000</v>
      </c>
      <c r="BE76" s="230">
        <v>2</v>
      </c>
      <c r="BF76" s="188">
        <f t="shared" si="99"/>
        <v>50000</v>
      </c>
      <c r="BG76" s="230">
        <v>1</v>
      </c>
      <c r="BH76" s="188">
        <f t="shared" si="100"/>
        <v>25000</v>
      </c>
      <c r="BI76" s="230"/>
      <c r="BJ76" s="188">
        <f t="shared" si="101"/>
        <v>0</v>
      </c>
      <c r="BK76" s="188">
        <f t="shared" si="109"/>
        <v>45</v>
      </c>
      <c r="BL76" s="188">
        <f t="shared" si="110"/>
        <v>1125000</v>
      </c>
      <c r="BM76" s="212" t="s">
        <v>216</v>
      </c>
      <c r="BN76" s="201"/>
      <c r="BO76" s="195"/>
      <c r="BP76" s="283"/>
      <c r="BQ76" s="225">
        <f t="shared" si="111"/>
        <v>1125000</v>
      </c>
      <c r="BR76" s="283"/>
      <c r="BS76" s="190">
        <f t="shared" si="112"/>
        <v>1125000</v>
      </c>
      <c r="BT76" s="283"/>
      <c r="BU76" s="283"/>
      <c r="BV76" s="190"/>
      <c r="BW76" s="191">
        <f t="shared" si="115"/>
        <v>1125000</v>
      </c>
    </row>
    <row r="77" spans="1:75" s="237" customFormat="1" ht="19.5" customHeight="1" x14ac:dyDescent="0.25">
      <c r="A77" s="271"/>
      <c r="B77" s="169"/>
      <c r="C77" s="244" t="s">
        <v>841</v>
      </c>
      <c r="D77" s="274" t="s">
        <v>270</v>
      </c>
      <c r="E77" s="229" t="s">
        <v>75</v>
      </c>
      <c r="F77" s="208">
        <v>30000</v>
      </c>
      <c r="G77" s="194">
        <f t="shared" si="102"/>
        <v>43</v>
      </c>
      <c r="H77" s="195">
        <f t="shared" si="114"/>
        <v>1290000</v>
      </c>
      <c r="I77" s="195">
        <f t="shared" si="103"/>
        <v>129000</v>
      </c>
      <c r="J77" s="195">
        <f t="shared" si="104"/>
        <v>1032000</v>
      </c>
      <c r="K77" s="195"/>
      <c r="L77" s="195"/>
      <c r="M77" s="195"/>
      <c r="N77" s="195"/>
      <c r="O77" s="195"/>
      <c r="P77" s="195"/>
      <c r="Q77" s="195">
        <f t="shared" si="113"/>
        <v>129000</v>
      </c>
      <c r="R77" s="195"/>
      <c r="S77" s="230"/>
      <c r="T77" s="230"/>
      <c r="U77" s="230">
        <f>G77</f>
        <v>43</v>
      </c>
      <c r="V77" s="230"/>
      <c r="W77" s="197">
        <f t="shared" si="105"/>
        <v>0</v>
      </c>
      <c r="X77" s="197">
        <f t="shared" si="106"/>
        <v>0</v>
      </c>
      <c r="Y77" s="197">
        <f t="shared" si="107"/>
        <v>1290000</v>
      </c>
      <c r="Z77" s="197">
        <f t="shared" si="108"/>
        <v>0</v>
      </c>
      <c r="AA77" s="284">
        <v>2</v>
      </c>
      <c r="AB77" s="188">
        <f t="shared" si="84"/>
        <v>60000</v>
      </c>
      <c r="AC77" s="230">
        <v>2</v>
      </c>
      <c r="AD77" s="188">
        <f t="shared" si="85"/>
        <v>60000</v>
      </c>
      <c r="AE77" s="230">
        <v>2</v>
      </c>
      <c r="AF77" s="188">
        <f t="shared" si="86"/>
        <v>60000</v>
      </c>
      <c r="AG77" s="230">
        <v>2</v>
      </c>
      <c r="AH77" s="188">
        <f t="shared" si="87"/>
        <v>60000</v>
      </c>
      <c r="AI77" s="230">
        <v>2</v>
      </c>
      <c r="AJ77" s="188">
        <f t="shared" si="88"/>
        <v>60000</v>
      </c>
      <c r="AK77" s="230">
        <v>2</v>
      </c>
      <c r="AL77" s="188">
        <f t="shared" si="89"/>
        <v>60000</v>
      </c>
      <c r="AM77" s="230">
        <v>4</v>
      </c>
      <c r="AN77" s="188">
        <f t="shared" si="90"/>
        <v>120000</v>
      </c>
      <c r="AO77" s="230">
        <v>3</v>
      </c>
      <c r="AP77" s="188">
        <f t="shared" si="91"/>
        <v>90000</v>
      </c>
      <c r="AQ77" s="230">
        <v>2</v>
      </c>
      <c r="AR77" s="188">
        <f t="shared" si="92"/>
        <v>60000</v>
      </c>
      <c r="AS77" s="230">
        <v>2</v>
      </c>
      <c r="AT77" s="188">
        <f t="shared" si="93"/>
        <v>60000</v>
      </c>
      <c r="AU77" s="230">
        <v>2</v>
      </c>
      <c r="AV77" s="188">
        <f t="shared" si="94"/>
        <v>60000</v>
      </c>
      <c r="AW77" s="281">
        <v>2</v>
      </c>
      <c r="AX77" s="188">
        <f t="shared" si="95"/>
        <v>60000</v>
      </c>
      <c r="AY77" s="233">
        <v>0</v>
      </c>
      <c r="AZ77" s="188">
        <f t="shared" si="96"/>
        <v>0</v>
      </c>
      <c r="BA77" s="281">
        <v>7</v>
      </c>
      <c r="BB77" s="188">
        <f t="shared" si="97"/>
        <v>210000</v>
      </c>
      <c r="BC77" s="230">
        <v>6</v>
      </c>
      <c r="BD77" s="188">
        <f t="shared" si="98"/>
        <v>180000</v>
      </c>
      <c r="BE77" s="230">
        <v>2</v>
      </c>
      <c r="BF77" s="188">
        <f t="shared" si="99"/>
        <v>60000</v>
      </c>
      <c r="BG77" s="230">
        <v>1</v>
      </c>
      <c r="BH77" s="188">
        <f t="shared" si="100"/>
        <v>30000</v>
      </c>
      <c r="BI77" s="230"/>
      <c r="BJ77" s="188">
        <f t="shared" si="101"/>
        <v>0</v>
      </c>
      <c r="BK77" s="188">
        <f t="shared" si="109"/>
        <v>43</v>
      </c>
      <c r="BL77" s="188">
        <f t="shared" si="110"/>
        <v>1290000</v>
      </c>
      <c r="BM77" s="212" t="s">
        <v>216</v>
      </c>
      <c r="BN77" s="201"/>
      <c r="BO77" s="195"/>
      <c r="BP77" s="283"/>
      <c r="BQ77" s="225">
        <f t="shared" si="111"/>
        <v>1290000</v>
      </c>
      <c r="BR77" s="283"/>
      <c r="BS77" s="190">
        <f t="shared" si="112"/>
        <v>1290000</v>
      </c>
      <c r="BT77" s="283"/>
      <c r="BU77" s="283"/>
      <c r="BV77" s="190"/>
      <c r="BW77" s="191">
        <f t="shared" si="115"/>
        <v>1290000</v>
      </c>
    </row>
    <row r="78" spans="1:75" s="237" customFormat="1" ht="20.25" customHeight="1" x14ac:dyDescent="0.25">
      <c r="A78" s="271"/>
      <c r="B78" s="169"/>
      <c r="C78" s="244" t="s">
        <v>842</v>
      </c>
      <c r="D78" s="274" t="s">
        <v>271</v>
      </c>
      <c r="E78" s="229" t="s">
        <v>75</v>
      </c>
      <c r="F78" s="208">
        <v>31000</v>
      </c>
      <c r="G78" s="194">
        <f t="shared" si="102"/>
        <v>34</v>
      </c>
      <c r="H78" s="195">
        <f t="shared" si="114"/>
        <v>1054000</v>
      </c>
      <c r="I78" s="195">
        <f t="shared" si="103"/>
        <v>105400</v>
      </c>
      <c r="J78" s="195">
        <f t="shared" si="104"/>
        <v>843200</v>
      </c>
      <c r="K78" s="195"/>
      <c r="L78" s="195"/>
      <c r="M78" s="195"/>
      <c r="N78" s="195"/>
      <c r="O78" s="195"/>
      <c r="P78" s="195"/>
      <c r="Q78" s="195">
        <f t="shared" si="113"/>
        <v>105400</v>
      </c>
      <c r="R78" s="195"/>
      <c r="S78" s="230"/>
      <c r="T78" s="230">
        <f>G78*0.8</f>
        <v>27.200000000000003</v>
      </c>
      <c r="U78" s="230">
        <f>G78*0.2</f>
        <v>6.8000000000000007</v>
      </c>
      <c r="V78" s="230"/>
      <c r="W78" s="197">
        <f t="shared" si="105"/>
        <v>0</v>
      </c>
      <c r="X78" s="197">
        <f t="shared" si="106"/>
        <v>843200.00000000012</v>
      </c>
      <c r="Y78" s="197">
        <f t="shared" si="107"/>
        <v>210800.00000000003</v>
      </c>
      <c r="Z78" s="197">
        <f t="shared" si="108"/>
        <v>0</v>
      </c>
      <c r="AA78" s="284">
        <v>1</v>
      </c>
      <c r="AB78" s="188">
        <f t="shared" si="84"/>
        <v>31000</v>
      </c>
      <c r="AC78" s="230">
        <v>2</v>
      </c>
      <c r="AD78" s="188">
        <f t="shared" si="85"/>
        <v>62000</v>
      </c>
      <c r="AE78" s="230">
        <v>2</v>
      </c>
      <c r="AF78" s="188">
        <f t="shared" si="86"/>
        <v>62000</v>
      </c>
      <c r="AG78" s="230">
        <v>5</v>
      </c>
      <c r="AH78" s="188">
        <f t="shared" si="87"/>
        <v>155000</v>
      </c>
      <c r="AI78" s="230">
        <v>0</v>
      </c>
      <c r="AJ78" s="188">
        <f t="shared" si="88"/>
        <v>0</v>
      </c>
      <c r="AK78" s="230">
        <v>0</v>
      </c>
      <c r="AL78" s="188">
        <f t="shared" si="89"/>
        <v>0</v>
      </c>
      <c r="AM78" s="230">
        <v>2</v>
      </c>
      <c r="AN78" s="188">
        <f t="shared" si="90"/>
        <v>62000</v>
      </c>
      <c r="AO78" s="230">
        <v>2</v>
      </c>
      <c r="AP78" s="188">
        <f t="shared" si="91"/>
        <v>62000</v>
      </c>
      <c r="AQ78" s="230">
        <v>2</v>
      </c>
      <c r="AR78" s="188">
        <f t="shared" si="92"/>
        <v>62000</v>
      </c>
      <c r="AS78" s="230">
        <v>5</v>
      </c>
      <c r="AT78" s="188">
        <f t="shared" si="93"/>
        <v>155000</v>
      </c>
      <c r="AU78" s="230">
        <v>0</v>
      </c>
      <c r="AV78" s="188">
        <f t="shared" si="94"/>
        <v>0</v>
      </c>
      <c r="AW78" s="281">
        <v>3</v>
      </c>
      <c r="AX78" s="188">
        <f t="shared" si="95"/>
        <v>93000</v>
      </c>
      <c r="AY78" s="233">
        <v>0</v>
      </c>
      <c r="AZ78" s="188">
        <f t="shared" si="96"/>
        <v>0</v>
      </c>
      <c r="BA78" s="281">
        <v>0</v>
      </c>
      <c r="BB78" s="188">
        <f t="shared" si="97"/>
        <v>0</v>
      </c>
      <c r="BC78" s="230">
        <v>5</v>
      </c>
      <c r="BD78" s="188">
        <f t="shared" si="98"/>
        <v>155000</v>
      </c>
      <c r="BE78" s="230">
        <v>5</v>
      </c>
      <c r="BF78" s="188">
        <f t="shared" si="99"/>
        <v>155000</v>
      </c>
      <c r="BG78" s="230">
        <v>0</v>
      </c>
      <c r="BH78" s="188">
        <f t="shared" si="100"/>
        <v>0</v>
      </c>
      <c r="BI78" s="230"/>
      <c r="BJ78" s="188">
        <f t="shared" si="101"/>
        <v>0</v>
      </c>
      <c r="BK78" s="188">
        <f t="shared" si="109"/>
        <v>34</v>
      </c>
      <c r="BL78" s="188">
        <f t="shared" si="110"/>
        <v>1054000</v>
      </c>
      <c r="BM78" s="212" t="s">
        <v>216</v>
      </c>
      <c r="BN78" s="201"/>
      <c r="BO78" s="195"/>
      <c r="BP78" s="283"/>
      <c r="BQ78" s="225">
        <f t="shared" si="111"/>
        <v>1054000</v>
      </c>
      <c r="BR78" s="283"/>
      <c r="BS78" s="190">
        <f t="shared" si="112"/>
        <v>1054000</v>
      </c>
      <c r="BT78" s="283"/>
      <c r="BU78" s="283"/>
      <c r="BV78" s="190"/>
      <c r="BW78" s="191">
        <f t="shared" si="115"/>
        <v>1054000</v>
      </c>
    </row>
    <row r="79" spans="1:75" s="237" customFormat="1" ht="20.25" customHeight="1" x14ac:dyDescent="0.25">
      <c r="A79" s="271"/>
      <c r="B79" s="169"/>
      <c r="C79" s="244" t="s">
        <v>843</v>
      </c>
      <c r="D79" s="274" t="s">
        <v>302</v>
      </c>
      <c r="E79" s="229" t="s">
        <v>75</v>
      </c>
      <c r="F79" s="208">
        <v>30000</v>
      </c>
      <c r="G79" s="194">
        <f t="shared" si="102"/>
        <v>34</v>
      </c>
      <c r="H79" s="195">
        <f t="shared" si="114"/>
        <v>1020000</v>
      </c>
      <c r="I79" s="195">
        <f t="shared" si="103"/>
        <v>102000</v>
      </c>
      <c r="J79" s="195">
        <f t="shared" si="104"/>
        <v>816000</v>
      </c>
      <c r="K79" s="195"/>
      <c r="L79" s="195"/>
      <c r="M79" s="195"/>
      <c r="N79" s="195"/>
      <c r="O79" s="195"/>
      <c r="P79" s="195"/>
      <c r="Q79" s="195">
        <f t="shared" si="113"/>
        <v>102000</v>
      </c>
      <c r="R79" s="195"/>
      <c r="S79" s="230"/>
      <c r="T79" s="230"/>
      <c r="U79" s="230">
        <v>50</v>
      </c>
      <c r="V79" s="230">
        <v>14</v>
      </c>
      <c r="W79" s="197">
        <f t="shared" si="105"/>
        <v>0</v>
      </c>
      <c r="X79" s="197">
        <f t="shared" si="106"/>
        <v>0</v>
      </c>
      <c r="Y79" s="197">
        <f t="shared" si="107"/>
        <v>1500000</v>
      </c>
      <c r="Z79" s="197">
        <f t="shared" si="108"/>
        <v>420000</v>
      </c>
      <c r="AA79" s="284">
        <v>0</v>
      </c>
      <c r="AB79" s="188">
        <f t="shared" si="84"/>
        <v>0</v>
      </c>
      <c r="AC79" s="230">
        <v>3</v>
      </c>
      <c r="AD79" s="188">
        <f t="shared" si="85"/>
        <v>90000</v>
      </c>
      <c r="AE79" s="230">
        <v>4</v>
      </c>
      <c r="AF79" s="188">
        <f t="shared" si="86"/>
        <v>120000</v>
      </c>
      <c r="AG79" s="230">
        <v>2</v>
      </c>
      <c r="AH79" s="188">
        <f t="shared" si="87"/>
        <v>60000</v>
      </c>
      <c r="AI79" s="230">
        <v>5</v>
      </c>
      <c r="AJ79" s="188">
        <f t="shared" si="88"/>
        <v>150000</v>
      </c>
      <c r="AK79" s="230">
        <v>2</v>
      </c>
      <c r="AL79" s="188">
        <f t="shared" si="89"/>
        <v>60000</v>
      </c>
      <c r="AM79" s="230">
        <v>5</v>
      </c>
      <c r="AN79" s="188">
        <f t="shared" si="90"/>
        <v>150000</v>
      </c>
      <c r="AO79" s="230">
        <v>2</v>
      </c>
      <c r="AP79" s="188">
        <f t="shared" si="91"/>
        <v>60000</v>
      </c>
      <c r="AQ79" s="230">
        <v>2</v>
      </c>
      <c r="AR79" s="188">
        <f t="shared" si="92"/>
        <v>60000</v>
      </c>
      <c r="AS79" s="230">
        <v>4</v>
      </c>
      <c r="AT79" s="188">
        <f t="shared" si="93"/>
        <v>120000</v>
      </c>
      <c r="AU79" s="230">
        <v>2</v>
      </c>
      <c r="AV79" s="188">
        <f t="shared" si="94"/>
        <v>60000</v>
      </c>
      <c r="AW79" s="281">
        <v>0</v>
      </c>
      <c r="AX79" s="188">
        <f t="shared" si="95"/>
        <v>0</v>
      </c>
      <c r="AY79" s="233">
        <v>0</v>
      </c>
      <c r="AZ79" s="188">
        <f t="shared" si="96"/>
        <v>0</v>
      </c>
      <c r="BA79" s="281">
        <v>1</v>
      </c>
      <c r="BB79" s="188">
        <f t="shared" si="97"/>
        <v>30000</v>
      </c>
      <c r="BC79" s="230">
        <v>0</v>
      </c>
      <c r="BD79" s="188">
        <f t="shared" si="98"/>
        <v>0</v>
      </c>
      <c r="BE79" s="230">
        <v>2</v>
      </c>
      <c r="BF79" s="188">
        <f t="shared" si="99"/>
        <v>60000</v>
      </c>
      <c r="BG79" s="230">
        <v>0</v>
      </c>
      <c r="BH79" s="188">
        <f t="shared" si="100"/>
        <v>0</v>
      </c>
      <c r="BI79" s="230"/>
      <c r="BJ79" s="188">
        <f t="shared" si="101"/>
        <v>0</v>
      </c>
      <c r="BK79" s="188">
        <f t="shared" si="109"/>
        <v>34</v>
      </c>
      <c r="BL79" s="188">
        <f t="shared" si="110"/>
        <v>1020000</v>
      </c>
      <c r="BM79" s="212" t="s">
        <v>216</v>
      </c>
      <c r="BN79" s="201"/>
      <c r="BO79" s="195"/>
      <c r="BP79" s="283"/>
      <c r="BQ79" s="225">
        <f t="shared" si="111"/>
        <v>1020000</v>
      </c>
      <c r="BR79" s="283"/>
      <c r="BS79" s="190">
        <f t="shared" si="112"/>
        <v>1020000</v>
      </c>
      <c r="BT79" s="283"/>
      <c r="BU79" s="283"/>
      <c r="BV79" s="190"/>
      <c r="BW79" s="191">
        <f t="shared" si="115"/>
        <v>1020000</v>
      </c>
    </row>
    <row r="80" spans="1:75" s="237" customFormat="1" ht="20.25" customHeight="1" x14ac:dyDescent="0.25">
      <c r="A80" s="271"/>
      <c r="B80" s="169"/>
      <c r="C80" s="244" t="s">
        <v>844</v>
      </c>
      <c r="D80" s="274" t="s">
        <v>495</v>
      </c>
      <c r="E80" s="229" t="s">
        <v>75</v>
      </c>
      <c r="F80" s="208">
        <v>37500</v>
      </c>
      <c r="G80" s="194">
        <f t="shared" si="102"/>
        <v>33</v>
      </c>
      <c r="H80" s="195">
        <f t="shared" si="114"/>
        <v>1237500</v>
      </c>
      <c r="I80" s="195">
        <f t="shared" si="103"/>
        <v>123750</v>
      </c>
      <c r="J80" s="195">
        <f t="shared" si="104"/>
        <v>990000</v>
      </c>
      <c r="K80" s="195"/>
      <c r="L80" s="195"/>
      <c r="M80" s="195"/>
      <c r="N80" s="195"/>
      <c r="O80" s="195"/>
      <c r="P80" s="195"/>
      <c r="Q80" s="195">
        <f t="shared" si="113"/>
        <v>123750</v>
      </c>
      <c r="R80" s="195"/>
      <c r="S80" s="230"/>
      <c r="T80" s="230"/>
      <c r="U80" s="230">
        <v>10</v>
      </c>
      <c r="V80" s="230">
        <v>4</v>
      </c>
      <c r="W80" s="197">
        <f t="shared" si="105"/>
        <v>0</v>
      </c>
      <c r="X80" s="197">
        <f t="shared" si="106"/>
        <v>0</v>
      </c>
      <c r="Y80" s="197">
        <f t="shared" si="107"/>
        <v>375000</v>
      </c>
      <c r="Z80" s="197">
        <f t="shared" si="108"/>
        <v>150000</v>
      </c>
      <c r="AA80" s="284">
        <v>0</v>
      </c>
      <c r="AB80" s="188">
        <f t="shared" si="84"/>
        <v>0</v>
      </c>
      <c r="AC80" s="230">
        <v>2</v>
      </c>
      <c r="AD80" s="188">
        <f t="shared" si="85"/>
        <v>75000</v>
      </c>
      <c r="AE80" s="230">
        <v>2</v>
      </c>
      <c r="AF80" s="188">
        <f t="shared" si="86"/>
        <v>75000</v>
      </c>
      <c r="AG80" s="230">
        <v>6</v>
      </c>
      <c r="AH80" s="188">
        <f t="shared" si="87"/>
        <v>225000</v>
      </c>
      <c r="AI80" s="230">
        <v>0</v>
      </c>
      <c r="AJ80" s="188">
        <f t="shared" si="88"/>
        <v>0</v>
      </c>
      <c r="AK80" s="230">
        <v>0</v>
      </c>
      <c r="AL80" s="188">
        <f t="shared" si="89"/>
        <v>0</v>
      </c>
      <c r="AM80" s="230">
        <v>0</v>
      </c>
      <c r="AN80" s="188">
        <f t="shared" si="90"/>
        <v>0</v>
      </c>
      <c r="AO80" s="230">
        <v>4</v>
      </c>
      <c r="AP80" s="188">
        <f t="shared" si="91"/>
        <v>150000</v>
      </c>
      <c r="AQ80" s="230">
        <v>0</v>
      </c>
      <c r="AR80" s="188">
        <f t="shared" si="92"/>
        <v>0</v>
      </c>
      <c r="AS80" s="230">
        <v>0</v>
      </c>
      <c r="AT80" s="188">
        <f t="shared" si="93"/>
        <v>0</v>
      </c>
      <c r="AU80" s="230">
        <v>10</v>
      </c>
      <c r="AV80" s="188">
        <f t="shared" si="94"/>
        <v>375000</v>
      </c>
      <c r="AW80" s="281">
        <v>3</v>
      </c>
      <c r="AX80" s="188">
        <f t="shared" si="95"/>
        <v>112500</v>
      </c>
      <c r="AY80" s="233">
        <v>6</v>
      </c>
      <c r="AZ80" s="188">
        <f t="shared" si="96"/>
        <v>225000</v>
      </c>
      <c r="BA80" s="281">
        <v>0</v>
      </c>
      <c r="BB80" s="188">
        <f t="shared" si="97"/>
        <v>0</v>
      </c>
      <c r="BC80" s="230">
        <v>0</v>
      </c>
      <c r="BD80" s="188">
        <f t="shared" si="98"/>
        <v>0</v>
      </c>
      <c r="BE80" s="230">
        <v>0</v>
      </c>
      <c r="BF80" s="188">
        <f t="shared" si="99"/>
        <v>0</v>
      </c>
      <c r="BG80" s="230">
        <v>0</v>
      </c>
      <c r="BH80" s="188">
        <f t="shared" si="100"/>
        <v>0</v>
      </c>
      <c r="BI80" s="230"/>
      <c r="BJ80" s="188">
        <f t="shared" si="101"/>
        <v>0</v>
      </c>
      <c r="BK80" s="188">
        <f t="shared" si="109"/>
        <v>33</v>
      </c>
      <c r="BL80" s="188">
        <f t="shared" si="110"/>
        <v>1237500</v>
      </c>
      <c r="BM80" s="212" t="s">
        <v>216</v>
      </c>
      <c r="BN80" s="201"/>
      <c r="BO80" s="195"/>
      <c r="BP80" s="283"/>
      <c r="BQ80" s="225">
        <f t="shared" si="111"/>
        <v>1237500</v>
      </c>
      <c r="BR80" s="283"/>
      <c r="BS80" s="190">
        <f t="shared" si="112"/>
        <v>1237500</v>
      </c>
      <c r="BT80" s="283"/>
      <c r="BU80" s="283"/>
      <c r="BV80" s="190"/>
      <c r="BW80" s="191">
        <f t="shared" si="115"/>
        <v>1237500</v>
      </c>
    </row>
    <row r="81" spans="1:75" s="237" customFormat="1" ht="20.25" customHeight="1" x14ac:dyDescent="0.25">
      <c r="A81" s="271"/>
      <c r="B81" s="169"/>
      <c r="C81" s="244" t="s">
        <v>845</v>
      </c>
      <c r="D81" s="274" t="s">
        <v>567</v>
      </c>
      <c r="E81" s="229" t="s">
        <v>75</v>
      </c>
      <c r="F81" s="208">
        <v>50000</v>
      </c>
      <c r="G81" s="194">
        <f>BK81</f>
        <v>0</v>
      </c>
      <c r="H81" s="195">
        <f>BL81</f>
        <v>0</v>
      </c>
      <c r="I81" s="195">
        <f t="shared" si="103"/>
        <v>0</v>
      </c>
      <c r="J81" s="195">
        <f t="shared" si="104"/>
        <v>0</v>
      </c>
      <c r="K81" s="195"/>
      <c r="L81" s="195"/>
      <c r="M81" s="195"/>
      <c r="N81" s="195"/>
      <c r="O81" s="195"/>
      <c r="P81" s="195"/>
      <c r="Q81" s="195">
        <f t="shared" si="113"/>
        <v>0</v>
      </c>
      <c r="R81" s="195"/>
      <c r="S81" s="230"/>
      <c r="T81" s="230">
        <f>G81*0.6</f>
        <v>0</v>
      </c>
      <c r="U81" s="230">
        <f>G81*0.4</f>
        <v>0</v>
      </c>
      <c r="V81" s="230"/>
      <c r="W81" s="197">
        <f t="shared" si="105"/>
        <v>0</v>
      </c>
      <c r="X81" s="197">
        <f t="shared" si="106"/>
        <v>0</v>
      </c>
      <c r="Y81" s="197">
        <f t="shared" si="107"/>
        <v>0</v>
      </c>
      <c r="Z81" s="197">
        <f t="shared" si="108"/>
        <v>0</v>
      </c>
      <c r="AA81" s="284">
        <v>0</v>
      </c>
      <c r="AB81" s="188">
        <f t="shared" si="84"/>
        <v>0</v>
      </c>
      <c r="AC81" s="230">
        <v>0</v>
      </c>
      <c r="AD81" s="188">
        <f t="shared" si="85"/>
        <v>0</v>
      </c>
      <c r="AE81" s="230">
        <v>0</v>
      </c>
      <c r="AF81" s="188">
        <f t="shared" si="86"/>
        <v>0</v>
      </c>
      <c r="AG81" s="230">
        <v>0</v>
      </c>
      <c r="AH81" s="188">
        <f t="shared" si="87"/>
        <v>0</v>
      </c>
      <c r="AI81" s="230">
        <v>0</v>
      </c>
      <c r="AJ81" s="188">
        <f t="shared" si="88"/>
        <v>0</v>
      </c>
      <c r="AK81" s="230">
        <v>0</v>
      </c>
      <c r="AL81" s="188">
        <f t="shared" si="89"/>
        <v>0</v>
      </c>
      <c r="AM81" s="230">
        <v>0</v>
      </c>
      <c r="AN81" s="188">
        <f t="shared" si="90"/>
        <v>0</v>
      </c>
      <c r="AO81" s="230">
        <v>0</v>
      </c>
      <c r="AP81" s="188">
        <f t="shared" si="91"/>
        <v>0</v>
      </c>
      <c r="AQ81" s="230">
        <v>0</v>
      </c>
      <c r="AR81" s="188">
        <f t="shared" si="92"/>
        <v>0</v>
      </c>
      <c r="AS81" s="230">
        <v>0</v>
      </c>
      <c r="AT81" s="188">
        <f t="shared" si="93"/>
        <v>0</v>
      </c>
      <c r="AU81" s="230">
        <v>0</v>
      </c>
      <c r="AV81" s="188">
        <f t="shared" si="94"/>
        <v>0</v>
      </c>
      <c r="AW81" s="281">
        <v>0</v>
      </c>
      <c r="AX81" s="188">
        <f t="shared" si="95"/>
        <v>0</v>
      </c>
      <c r="AY81" s="233">
        <v>0</v>
      </c>
      <c r="AZ81" s="188">
        <f t="shared" si="96"/>
        <v>0</v>
      </c>
      <c r="BA81" s="281">
        <v>0</v>
      </c>
      <c r="BB81" s="188">
        <f t="shared" si="97"/>
        <v>0</v>
      </c>
      <c r="BC81" s="230">
        <v>0</v>
      </c>
      <c r="BD81" s="188">
        <f t="shared" si="98"/>
        <v>0</v>
      </c>
      <c r="BE81" s="230">
        <v>0</v>
      </c>
      <c r="BF81" s="188">
        <f t="shared" si="99"/>
        <v>0</v>
      </c>
      <c r="BG81" s="230">
        <v>0</v>
      </c>
      <c r="BH81" s="188">
        <f t="shared" si="100"/>
        <v>0</v>
      </c>
      <c r="BI81" s="230"/>
      <c r="BJ81" s="188">
        <f t="shared" si="101"/>
        <v>0</v>
      </c>
      <c r="BK81" s="188">
        <f t="shared" si="109"/>
        <v>0</v>
      </c>
      <c r="BL81" s="188">
        <f t="shared" si="110"/>
        <v>0</v>
      </c>
      <c r="BM81" s="212" t="s">
        <v>216</v>
      </c>
      <c r="BN81" s="201"/>
      <c r="BO81" s="195"/>
      <c r="BP81" s="283"/>
      <c r="BQ81" s="225">
        <f>H81</f>
        <v>0</v>
      </c>
      <c r="BR81" s="283"/>
      <c r="BS81" s="190">
        <f t="shared" ref="BS81:BS88" si="116">BO81+BP81+BQ81+BR81</f>
        <v>0</v>
      </c>
      <c r="BT81" s="283"/>
      <c r="BU81" s="283"/>
      <c r="BV81" s="190"/>
      <c r="BW81" s="191">
        <f t="shared" ref="BW81:BW88" si="117">BS81+BV81</f>
        <v>0</v>
      </c>
    </row>
    <row r="82" spans="1:75" s="237" customFormat="1" ht="20.25" customHeight="1" x14ac:dyDescent="0.25">
      <c r="A82" s="278"/>
      <c r="B82" s="207"/>
      <c r="C82" s="562"/>
      <c r="D82" s="209" t="s">
        <v>3</v>
      </c>
      <c r="E82" s="559"/>
      <c r="F82" s="210"/>
      <c r="G82" s="184">
        <f t="shared" ref="G82:AL82" si="118">SUM(G66:G81)</f>
        <v>445.5</v>
      </c>
      <c r="H82" s="184">
        <f t="shared" si="118"/>
        <v>12759500</v>
      </c>
      <c r="I82" s="184">
        <f t="shared" si="118"/>
        <v>1275950</v>
      </c>
      <c r="J82" s="184">
        <f t="shared" si="118"/>
        <v>10207600</v>
      </c>
      <c r="K82" s="184">
        <f t="shared" si="118"/>
        <v>0</v>
      </c>
      <c r="L82" s="184">
        <f t="shared" si="118"/>
        <v>0</v>
      </c>
      <c r="M82" s="184">
        <f t="shared" si="118"/>
        <v>0</v>
      </c>
      <c r="N82" s="184">
        <f t="shared" si="118"/>
        <v>0</v>
      </c>
      <c r="O82" s="184">
        <f t="shared" si="118"/>
        <v>0</v>
      </c>
      <c r="P82" s="184">
        <f t="shared" si="118"/>
        <v>0</v>
      </c>
      <c r="Q82" s="184">
        <f t="shared" si="118"/>
        <v>1275950</v>
      </c>
      <c r="R82" s="184">
        <f t="shared" si="118"/>
        <v>0</v>
      </c>
      <c r="S82" s="184">
        <f t="shared" si="118"/>
        <v>14.25</v>
      </c>
      <c r="T82" s="184">
        <f t="shared" si="118"/>
        <v>103.05</v>
      </c>
      <c r="U82" s="184">
        <f t="shared" si="118"/>
        <v>295.25</v>
      </c>
      <c r="V82" s="184">
        <f t="shared" si="118"/>
        <v>43.95</v>
      </c>
      <c r="W82" s="184">
        <f t="shared" si="118"/>
        <v>519000.00000000006</v>
      </c>
      <c r="X82" s="184">
        <f t="shared" si="118"/>
        <v>3071200</v>
      </c>
      <c r="Y82" s="184">
        <f>SUM(Y66:Y81)+900000</f>
        <v>8672800</v>
      </c>
      <c r="Z82" s="184">
        <f t="shared" si="118"/>
        <v>1584000</v>
      </c>
      <c r="AA82" s="184">
        <f t="shared" si="118"/>
        <v>14.5</v>
      </c>
      <c r="AB82" s="184">
        <f t="shared" si="118"/>
        <v>361000</v>
      </c>
      <c r="AC82" s="184">
        <f t="shared" si="118"/>
        <v>26</v>
      </c>
      <c r="AD82" s="184">
        <f t="shared" si="118"/>
        <v>817000</v>
      </c>
      <c r="AE82" s="184">
        <f t="shared" si="118"/>
        <v>29</v>
      </c>
      <c r="AF82" s="184">
        <f t="shared" si="118"/>
        <v>802000</v>
      </c>
      <c r="AG82" s="184">
        <f t="shared" si="118"/>
        <v>31</v>
      </c>
      <c r="AH82" s="184">
        <f t="shared" si="118"/>
        <v>920000</v>
      </c>
      <c r="AI82" s="184">
        <f t="shared" si="118"/>
        <v>23</v>
      </c>
      <c r="AJ82" s="184">
        <f t="shared" si="118"/>
        <v>600000</v>
      </c>
      <c r="AK82" s="184">
        <f t="shared" si="118"/>
        <v>15</v>
      </c>
      <c r="AL82" s="184">
        <f t="shared" si="118"/>
        <v>440000</v>
      </c>
      <c r="AM82" s="184">
        <f t="shared" ref="AM82:AX82" si="119">SUM(AM66:AM81)</f>
        <v>41</v>
      </c>
      <c r="AN82" s="184">
        <f t="shared" si="119"/>
        <v>1017000</v>
      </c>
      <c r="AO82" s="184">
        <f t="shared" si="119"/>
        <v>30</v>
      </c>
      <c r="AP82" s="184">
        <f t="shared" si="119"/>
        <v>847000</v>
      </c>
      <c r="AQ82" s="184">
        <f t="shared" si="119"/>
        <v>34</v>
      </c>
      <c r="AR82" s="184">
        <f t="shared" si="119"/>
        <v>1044000</v>
      </c>
      <c r="AS82" s="184">
        <f t="shared" si="119"/>
        <v>45</v>
      </c>
      <c r="AT82" s="184">
        <f t="shared" si="119"/>
        <v>1458000</v>
      </c>
      <c r="AU82" s="184">
        <f t="shared" si="119"/>
        <v>34</v>
      </c>
      <c r="AV82" s="184">
        <f t="shared" si="119"/>
        <v>970000</v>
      </c>
      <c r="AW82" s="184">
        <f t="shared" si="119"/>
        <v>16</v>
      </c>
      <c r="AX82" s="184">
        <f t="shared" si="119"/>
        <v>490500</v>
      </c>
      <c r="AY82" s="279">
        <f t="shared" ref="AY82:BL82" si="120">SUM(AY66:AY81)</f>
        <v>6</v>
      </c>
      <c r="AZ82" s="184">
        <f t="shared" si="120"/>
        <v>225000</v>
      </c>
      <c r="BA82" s="279">
        <f t="shared" si="120"/>
        <v>26</v>
      </c>
      <c r="BB82" s="184">
        <f t="shared" si="120"/>
        <v>715000</v>
      </c>
      <c r="BC82" s="184">
        <f t="shared" si="120"/>
        <v>34</v>
      </c>
      <c r="BD82" s="184">
        <f t="shared" si="120"/>
        <v>975000</v>
      </c>
      <c r="BE82" s="184">
        <f t="shared" si="120"/>
        <v>34</v>
      </c>
      <c r="BF82" s="184">
        <f t="shared" si="120"/>
        <v>923000</v>
      </c>
      <c r="BG82" s="184">
        <f t="shared" si="120"/>
        <v>7</v>
      </c>
      <c r="BH82" s="184">
        <f t="shared" si="120"/>
        <v>155000</v>
      </c>
      <c r="BI82" s="184">
        <f t="shared" si="120"/>
        <v>0</v>
      </c>
      <c r="BJ82" s="184">
        <f t="shared" si="120"/>
        <v>0</v>
      </c>
      <c r="BK82" s="184">
        <f t="shared" si="120"/>
        <v>445.5</v>
      </c>
      <c r="BL82" s="184">
        <f t="shared" si="120"/>
        <v>12759500</v>
      </c>
      <c r="BM82" s="184"/>
      <c r="BN82" s="184"/>
      <c r="BO82" s="184">
        <f t="shared" ref="BO82:BW82" si="121">SUM(BO66:BO81)</f>
        <v>0</v>
      </c>
      <c r="BP82" s="184">
        <f t="shared" si="121"/>
        <v>0</v>
      </c>
      <c r="BQ82" s="184">
        <f t="shared" si="121"/>
        <v>12759500</v>
      </c>
      <c r="BR82" s="184">
        <f t="shared" si="121"/>
        <v>0</v>
      </c>
      <c r="BS82" s="184">
        <f t="shared" si="121"/>
        <v>12759500</v>
      </c>
      <c r="BT82" s="184">
        <f t="shared" si="121"/>
        <v>0</v>
      </c>
      <c r="BU82" s="184">
        <f t="shared" si="121"/>
        <v>0</v>
      </c>
      <c r="BV82" s="184">
        <f t="shared" si="121"/>
        <v>0</v>
      </c>
      <c r="BW82" s="184">
        <f t="shared" si="121"/>
        <v>12759500</v>
      </c>
    </row>
    <row r="83" spans="1:75" s="237" customFormat="1" ht="35.25" customHeight="1" x14ac:dyDescent="0.25">
      <c r="A83" s="271"/>
      <c r="B83" s="169"/>
      <c r="C83" s="181"/>
      <c r="D83" s="558" t="s">
        <v>275</v>
      </c>
      <c r="E83" s="229"/>
      <c r="F83" s="208"/>
      <c r="G83" s="194"/>
      <c r="H83" s="195"/>
      <c r="I83" s="195"/>
      <c r="J83" s="195"/>
      <c r="K83" s="195"/>
      <c r="L83" s="195"/>
      <c r="M83" s="195"/>
      <c r="N83" s="195"/>
      <c r="O83" s="195"/>
      <c r="P83" s="195"/>
      <c r="Q83" s="195"/>
      <c r="R83" s="195"/>
      <c r="S83" s="230"/>
      <c r="T83" s="230"/>
      <c r="U83" s="230"/>
      <c r="V83" s="230"/>
      <c r="W83" s="231"/>
      <c r="X83" s="231"/>
      <c r="Y83" s="231"/>
      <c r="Z83" s="231"/>
      <c r="AA83" s="230"/>
      <c r="AB83" s="188">
        <f>AA83*F83</f>
        <v>0</v>
      </c>
      <c r="AC83" s="230"/>
      <c r="AD83" s="188">
        <f t="shared" ref="AD83:AD88" si="122">AC83*F83</f>
        <v>0</v>
      </c>
      <c r="AE83" s="230"/>
      <c r="AF83" s="188">
        <f>AE83*F83</f>
        <v>0</v>
      </c>
      <c r="AG83" s="230"/>
      <c r="AH83" s="188">
        <f>AG83*F83</f>
        <v>0</v>
      </c>
      <c r="AI83" s="230"/>
      <c r="AJ83" s="188">
        <f>AI83*F83</f>
        <v>0</v>
      </c>
      <c r="AK83" s="230"/>
      <c r="AL83" s="188">
        <f t="shared" ref="AL83:AL88" si="123">AK83*F83</f>
        <v>0</v>
      </c>
      <c r="AM83" s="230"/>
      <c r="AN83" s="188">
        <f>AM83*F83</f>
        <v>0</v>
      </c>
      <c r="AO83" s="230"/>
      <c r="AP83" s="188">
        <f>AO83*F83</f>
        <v>0</v>
      </c>
      <c r="AQ83" s="230"/>
      <c r="AR83" s="188">
        <f>AQ83*F83</f>
        <v>0</v>
      </c>
      <c r="AS83" s="230"/>
      <c r="AT83" s="188">
        <f>AS83*F83</f>
        <v>0</v>
      </c>
      <c r="AU83" s="230"/>
      <c r="AV83" s="188">
        <f>AU83*F83</f>
        <v>0</v>
      </c>
      <c r="AW83" s="230"/>
      <c r="AX83" s="188">
        <f t="shared" ref="AX83:AX88" si="124">AW83*F83</f>
        <v>0</v>
      </c>
      <c r="AY83" s="233"/>
      <c r="AZ83" s="188">
        <f>AY83*F83</f>
        <v>0</v>
      </c>
      <c r="BA83" s="281"/>
      <c r="BB83" s="188">
        <f t="shared" ref="BB83:BB88" si="125">BA83*F83</f>
        <v>0</v>
      </c>
      <c r="BC83" s="230"/>
      <c r="BD83" s="188">
        <f t="shared" ref="BD83:BD88" si="126">BC83*F83</f>
        <v>0</v>
      </c>
      <c r="BE83" s="230"/>
      <c r="BF83" s="188">
        <f t="shared" ref="BF83:BF88" si="127">BE83*F83</f>
        <v>0</v>
      </c>
      <c r="BG83" s="230"/>
      <c r="BH83" s="188">
        <f>BG83*F83</f>
        <v>0</v>
      </c>
      <c r="BI83" s="230"/>
      <c r="BJ83" s="188">
        <f t="shared" ref="BJ83:BJ88" si="128">BI83*F83</f>
        <v>0</v>
      </c>
      <c r="BK83" s="189">
        <f>BI83+BG83+BE83+BC83+BA83+AY83+AW83+AU83+AS83+AQ83+AO83+AM83+AK83+AI83+AG83+AE83+AC83+AA83</f>
        <v>0</v>
      </c>
      <c r="BL83" s="188"/>
      <c r="BM83" s="212"/>
      <c r="BN83" s="201"/>
      <c r="BO83" s="195"/>
      <c r="BP83" s="283"/>
      <c r="BQ83" s="283"/>
      <c r="BR83" s="283"/>
      <c r="BS83" s="190"/>
      <c r="BT83" s="283"/>
      <c r="BU83" s="283"/>
      <c r="BV83" s="190"/>
      <c r="BW83" s="191"/>
    </row>
    <row r="84" spans="1:75" s="237" customFormat="1" ht="20.25" customHeight="1" x14ac:dyDescent="0.25">
      <c r="A84" s="271"/>
      <c r="B84" s="169"/>
      <c r="C84" s="244" t="s">
        <v>846</v>
      </c>
      <c r="D84" s="274" t="s">
        <v>261</v>
      </c>
      <c r="E84" s="229" t="s">
        <v>75</v>
      </c>
      <c r="F84" s="208">
        <v>120000</v>
      </c>
      <c r="G84" s="194">
        <f>BK84</f>
        <v>6</v>
      </c>
      <c r="H84" s="195">
        <f>G84*F84</f>
        <v>720000</v>
      </c>
      <c r="I84" s="195">
        <f>H84*0.1</f>
        <v>72000</v>
      </c>
      <c r="J84" s="195">
        <f>H84*0.8</f>
        <v>576000</v>
      </c>
      <c r="K84" s="195"/>
      <c r="L84" s="195"/>
      <c r="M84" s="195"/>
      <c r="N84" s="195"/>
      <c r="O84" s="195"/>
      <c r="P84" s="195"/>
      <c r="Q84" s="195">
        <f>H84*0.1</f>
        <v>72000</v>
      </c>
      <c r="R84" s="195"/>
      <c r="S84" s="230"/>
      <c r="T84" s="230"/>
      <c r="U84" s="230">
        <f>G84*1</f>
        <v>6</v>
      </c>
      <c r="V84" s="230"/>
      <c r="W84" s="197">
        <f>S84*F84</f>
        <v>0</v>
      </c>
      <c r="X84" s="197">
        <f>T84*F84</f>
        <v>0</v>
      </c>
      <c r="Y84" s="197">
        <f>U84*F84</f>
        <v>720000</v>
      </c>
      <c r="Z84" s="197">
        <f>V84*F84</f>
        <v>0</v>
      </c>
      <c r="AA84" s="230"/>
      <c r="AB84" s="188">
        <f>AA84*F84</f>
        <v>0</v>
      </c>
      <c r="AC84" s="230">
        <v>1</v>
      </c>
      <c r="AD84" s="188">
        <f t="shared" si="122"/>
        <v>120000</v>
      </c>
      <c r="AE84" s="230">
        <v>0</v>
      </c>
      <c r="AF84" s="188">
        <f>AE84*F84</f>
        <v>0</v>
      </c>
      <c r="AG84" s="230">
        <v>1</v>
      </c>
      <c r="AH84" s="188">
        <f>AG84*F84</f>
        <v>120000</v>
      </c>
      <c r="AI84" s="230">
        <v>0</v>
      </c>
      <c r="AJ84" s="188">
        <f>AI84*F84</f>
        <v>0</v>
      </c>
      <c r="AK84" s="230">
        <v>0</v>
      </c>
      <c r="AL84" s="188">
        <f t="shared" si="123"/>
        <v>0</v>
      </c>
      <c r="AM84" s="230">
        <v>0</v>
      </c>
      <c r="AN84" s="188">
        <f>AM84*F84</f>
        <v>0</v>
      </c>
      <c r="AO84" s="230">
        <v>0</v>
      </c>
      <c r="AP84" s="188">
        <f>AO84*F84</f>
        <v>0</v>
      </c>
      <c r="AQ84" s="230">
        <v>2</v>
      </c>
      <c r="AR84" s="188">
        <f>AQ84*F84</f>
        <v>240000</v>
      </c>
      <c r="AS84" s="230">
        <v>2</v>
      </c>
      <c r="AT84" s="188">
        <f>AS84*F84</f>
        <v>240000</v>
      </c>
      <c r="AU84" s="230">
        <v>0</v>
      </c>
      <c r="AV84" s="188">
        <f>AU84*F84</f>
        <v>0</v>
      </c>
      <c r="AW84" s="230"/>
      <c r="AX84" s="188">
        <f t="shared" si="124"/>
        <v>0</v>
      </c>
      <c r="AY84" s="233">
        <v>0</v>
      </c>
      <c r="AZ84" s="188">
        <f>AY84*F84</f>
        <v>0</v>
      </c>
      <c r="BA84" s="281">
        <v>0</v>
      </c>
      <c r="BB84" s="188">
        <f t="shared" si="125"/>
        <v>0</v>
      </c>
      <c r="BC84" s="230">
        <v>0</v>
      </c>
      <c r="BD84" s="188">
        <f t="shared" si="126"/>
        <v>0</v>
      </c>
      <c r="BE84" s="230">
        <v>0</v>
      </c>
      <c r="BF84" s="188">
        <f t="shared" si="127"/>
        <v>0</v>
      </c>
      <c r="BG84" s="230">
        <v>0</v>
      </c>
      <c r="BH84" s="188">
        <f>BG84*F84</f>
        <v>0</v>
      </c>
      <c r="BI84" s="230"/>
      <c r="BJ84" s="188">
        <f t="shared" si="128"/>
        <v>0</v>
      </c>
      <c r="BK84" s="188">
        <f t="shared" ref="BK84:BL88" si="129">AA84+AC84+AE84+AG84+AI84+AK84+AM84+AO84+AQ84+AS84+AU84+AW84+AY84+BA84+BC84+BE84+BG84+BI84</f>
        <v>6</v>
      </c>
      <c r="BL84" s="188">
        <f t="shared" si="129"/>
        <v>720000</v>
      </c>
      <c r="BM84" s="212" t="s">
        <v>216</v>
      </c>
      <c r="BN84" s="201"/>
      <c r="BO84" s="195"/>
      <c r="BP84" s="283"/>
      <c r="BQ84" s="225">
        <f>H84</f>
        <v>720000</v>
      </c>
      <c r="BR84" s="283"/>
      <c r="BS84" s="190">
        <f t="shared" si="116"/>
        <v>720000</v>
      </c>
      <c r="BT84" s="283"/>
      <c r="BU84" s="283"/>
      <c r="BV84" s="190"/>
      <c r="BW84" s="191">
        <f t="shared" si="117"/>
        <v>720000</v>
      </c>
    </row>
    <row r="85" spans="1:75" s="237" customFormat="1" ht="20.25" customHeight="1" x14ac:dyDescent="0.25">
      <c r="A85" s="271"/>
      <c r="B85" s="169"/>
      <c r="C85" s="244" t="s">
        <v>847</v>
      </c>
      <c r="D85" s="286" t="s">
        <v>675</v>
      </c>
      <c r="E85" s="229" t="s">
        <v>14</v>
      </c>
      <c r="F85" s="208">
        <v>30000</v>
      </c>
      <c r="G85" s="194">
        <f>BK85</f>
        <v>17</v>
      </c>
      <c r="H85" s="194">
        <f>BL85</f>
        <v>837000</v>
      </c>
      <c r="I85" s="195">
        <f>H85*0.1</f>
        <v>83700</v>
      </c>
      <c r="J85" s="195">
        <f>H85*0.8</f>
        <v>669600</v>
      </c>
      <c r="K85" s="195"/>
      <c r="L85" s="195"/>
      <c r="M85" s="195"/>
      <c r="N85" s="195"/>
      <c r="O85" s="195"/>
      <c r="P85" s="195"/>
      <c r="Q85" s="195">
        <f>H85*0.1</f>
        <v>83700</v>
      </c>
      <c r="R85" s="195"/>
      <c r="S85" s="230"/>
      <c r="T85" s="230">
        <f>G85*0.6</f>
        <v>10.199999999999999</v>
      </c>
      <c r="U85" s="230">
        <f>G85*0.2</f>
        <v>3.4000000000000004</v>
      </c>
      <c r="V85" s="230">
        <f>G85*0.2</f>
        <v>3.4000000000000004</v>
      </c>
      <c r="W85" s="197">
        <f>S85*F85</f>
        <v>0</v>
      </c>
      <c r="X85" s="197">
        <f>T85*F85</f>
        <v>306000</v>
      </c>
      <c r="Y85" s="197">
        <f>U85*F85</f>
        <v>102000.00000000001</v>
      </c>
      <c r="Z85" s="197">
        <f>V85*F85</f>
        <v>102000.00000000001</v>
      </c>
      <c r="AA85" s="230">
        <v>0</v>
      </c>
      <c r="AB85" s="188">
        <f>AA85*F85</f>
        <v>0</v>
      </c>
      <c r="AC85" s="230">
        <v>2</v>
      </c>
      <c r="AD85" s="188">
        <f t="shared" si="122"/>
        <v>60000</v>
      </c>
      <c r="AE85" s="230">
        <v>0</v>
      </c>
      <c r="AF85" s="188">
        <f>AE85*F85</f>
        <v>0</v>
      </c>
      <c r="AG85" s="230">
        <v>4</v>
      </c>
      <c r="AH85" s="188">
        <f>AG85*F85</f>
        <v>120000</v>
      </c>
      <c r="AI85" s="230">
        <v>0</v>
      </c>
      <c r="AJ85" s="188">
        <f>AI85*F85</f>
        <v>0</v>
      </c>
      <c r="AK85" s="230">
        <v>0</v>
      </c>
      <c r="AL85" s="188">
        <f t="shared" si="123"/>
        <v>0</v>
      </c>
      <c r="AM85" s="230">
        <v>0</v>
      </c>
      <c r="AN85" s="188">
        <f>AM85*F85</f>
        <v>0</v>
      </c>
      <c r="AO85" s="230">
        <v>5</v>
      </c>
      <c r="AP85" s="188">
        <v>600000</v>
      </c>
      <c r="AQ85" s="230">
        <v>0</v>
      </c>
      <c r="AR85" s="188">
        <f>AQ85*F85</f>
        <v>0</v>
      </c>
      <c r="AS85" s="230">
        <v>5</v>
      </c>
      <c r="AT85" s="188">
        <v>27000</v>
      </c>
      <c r="AU85" s="230">
        <v>0</v>
      </c>
      <c r="AV85" s="188">
        <f>AU85*F85</f>
        <v>0</v>
      </c>
      <c r="AW85" s="230">
        <v>0</v>
      </c>
      <c r="AX85" s="188">
        <f t="shared" si="124"/>
        <v>0</v>
      </c>
      <c r="AY85" s="233">
        <v>0</v>
      </c>
      <c r="AZ85" s="188">
        <f>AY85*F85</f>
        <v>0</v>
      </c>
      <c r="BA85" s="281">
        <v>0</v>
      </c>
      <c r="BB85" s="188">
        <f t="shared" si="125"/>
        <v>0</v>
      </c>
      <c r="BC85" s="230">
        <v>1</v>
      </c>
      <c r="BD85" s="188">
        <f t="shared" si="126"/>
        <v>30000</v>
      </c>
      <c r="BE85" s="230">
        <v>0</v>
      </c>
      <c r="BF85" s="188">
        <f t="shared" si="127"/>
        <v>0</v>
      </c>
      <c r="BG85" s="230">
        <v>0</v>
      </c>
      <c r="BH85" s="188">
        <f>BG85*F85</f>
        <v>0</v>
      </c>
      <c r="BI85" s="230"/>
      <c r="BJ85" s="188">
        <f t="shared" si="128"/>
        <v>0</v>
      </c>
      <c r="BK85" s="188">
        <f t="shared" si="129"/>
        <v>17</v>
      </c>
      <c r="BL85" s="188">
        <f>AB85+AD85+AF85+AH85+AJ85+AL85+AN85+AP85+AR85+AT85+AV85+AX85+AZ85+BB85+BD85+BF85+BH85+BJ85</f>
        <v>837000</v>
      </c>
      <c r="BM85" s="212" t="s">
        <v>216</v>
      </c>
      <c r="BN85" s="201"/>
      <c r="BO85" s="195"/>
      <c r="BP85" s="283"/>
      <c r="BQ85" s="225">
        <f>H85</f>
        <v>837000</v>
      </c>
      <c r="BR85" s="283"/>
      <c r="BS85" s="190">
        <f t="shared" si="116"/>
        <v>837000</v>
      </c>
      <c r="BT85" s="283"/>
      <c r="BU85" s="283"/>
      <c r="BV85" s="190"/>
      <c r="BW85" s="191">
        <f t="shared" si="117"/>
        <v>837000</v>
      </c>
    </row>
    <row r="86" spans="1:75" s="237" customFormat="1" ht="20.25" customHeight="1" x14ac:dyDescent="0.25">
      <c r="A86" s="271"/>
      <c r="B86" s="169"/>
      <c r="C86" s="244" t="s">
        <v>848</v>
      </c>
      <c r="D86" s="286" t="s">
        <v>674</v>
      </c>
      <c r="E86" s="229" t="s">
        <v>14</v>
      </c>
      <c r="F86" s="208">
        <v>5000</v>
      </c>
      <c r="G86" s="194">
        <f>BK86</f>
        <v>65</v>
      </c>
      <c r="H86" s="195">
        <f>G86*F86</f>
        <v>325000</v>
      </c>
      <c r="I86" s="195">
        <f>H86*0.1</f>
        <v>32500</v>
      </c>
      <c r="J86" s="195">
        <f>H86*0.8</f>
        <v>260000</v>
      </c>
      <c r="K86" s="195"/>
      <c r="L86" s="195"/>
      <c r="M86" s="195"/>
      <c r="N86" s="195"/>
      <c r="O86" s="195"/>
      <c r="P86" s="195"/>
      <c r="Q86" s="195">
        <f>H86*0.1</f>
        <v>32500</v>
      </c>
      <c r="R86" s="195"/>
      <c r="S86" s="230"/>
      <c r="T86" s="230"/>
      <c r="U86" s="230"/>
      <c r="V86" s="230"/>
      <c r="W86" s="197"/>
      <c r="X86" s="197"/>
      <c r="Y86" s="197"/>
      <c r="Z86" s="197"/>
      <c r="AA86" s="230">
        <v>5</v>
      </c>
      <c r="AB86" s="188">
        <f>AA86*F86</f>
        <v>25000</v>
      </c>
      <c r="AC86" s="230">
        <v>0</v>
      </c>
      <c r="AD86" s="188">
        <f t="shared" si="122"/>
        <v>0</v>
      </c>
      <c r="AE86" s="230">
        <v>5</v>
      </c>
      <c r="AF86" s="188">
        <f>AE86*F86</f>
        <v>25000</v>
      </c>
      <c r="AG86" s="230">
        <v>5</v>
      </c>
      <c r="AH86" s="188">
        <f>AG86*F86</f>
        <v>25000</v>
      </c>
      <c r="AI86" s="230">
        <v>0</v>
      </c>
      <c r="AJ86" s="188">
        <f>AI86*F86</f>
        <v>0</v>
      </c>
      <c r="AK86" s="230">
        <v>0</v>
      </c>
      <c r="AL86" s="188">
        <f t="shared" si="123"/>
        <v>0</v>
      </c>
      <c r="AM86" s="230">
        <v>5</v>
      </c>
      <c r="AN86" s="188">
        <f>AM86*F86</f>
        <v>25000</v>
      </c>
      <c r="AO86" s="230">
        <v>5</v>
      </c>
      <c r="AP86" s="188">
        <f>AO86*F86</f>
        <v>25000</v>
      </c>
      <c r="AQ86" s="230">
        <v>5</v>
      </c>
      <c r="AR86" s="188">
        <f>AQ86*F86</f>
        <v>25000</v>
      </c>
      <c r="AS86" s="230">
        <v>5</v>
      </c>
      <c r="AT86" s="188">
        <f>AS86*F86</f>
        <v>25000</v>
      </c>
      <c r="AU86" s="230">
        <v>5</v>
      </c>
      <c r="AV86" s="188">
        <f>AU86*F86</f>
        <v>25000</v>
      </c>
      <c r="AW86" s="230">
        <v>5</v>
      </c>
      <c r="AX86" s="188">
        <f t="shared" si="124"/>
        <v>25000</v>
      </c>
      <c r="AY86" s="233">
        <v>5</v>
      </c>
      <c r="AZ86" s="188">
        <f>AY86*F86</f>
        <v>25000</v>
      </c>
      <c r="BA86" s="281">
        <v>5</v>
      </c>
      <c r="BB86" s="188">
        <f t="shared" si="125"/>
        <v>25000</v>
      </c>
      <c r="BC86" s="230">
        <v>5</v>
      </c>
      <c r="BD86" s="188">
        <f t="shared" si="126"/>
        <v>25000</v>
      </c>
      <c r="BE86" s="230">
        <v>0</v>
      </c>
      <c r="BF86" s="188">
        <f t="shared" si="127"/>
        <v>0</v>
      </c>
      <c r="BG86" s="230">
        <v>5</v>
      </c>
      <c r="BH86" s="188">
        <f>BG86*F86</f>
        <v>25000</v>
      </c>
      <c r="BI86" s="230"/>
      <c r="BJ86" s="188">
        <f t="shared" si="128"/>
        <v>0</v>
      </c>
      <c r="BK86" s="188">
        <f>AA86+AC86+AE86+AG86+AI86+AK86+AM86+AO86+AQ86+AS86+AU86+AW86+AY86+BA86+BC86+BE86+BG86+BI86</f>
        <v>65</v>
      </c>
      <c r="BL86" s="188">
        <f>AB86+AD86+AF86+AH86+AJ86+AL86+AN86+AP86+AR86+AT86+AV86+AX86+AZ86+BB86+BD86+BF86+BH86+BJ86</f>
        <v>325000</v>
      </c>
      <c r="BM86" s="212" t="s">
        <v>216</v>
      </c>
      <c r="BN86" s="201"/>
      <c r="BO86" s="195"/>
      <c r="BP86" s="283"/>
      <c r="BQ86" s="225">
        <f>H86</f>
        <v>325000</v>
      </c>
      <c r="BR86" s="283"/>
      <c r="BS86" s="190">
        <f t="shared" si="116"/>
        <v>325000</v>
      </c>
      <c r="BT86" s="283"/>
      <c r="BU86" s="283"/>
      <c r="BV86" s="190"/>
      <c r="BW86" s="191">
        <f t="shared" si="117"/>
        <v>325000</v>
      </c>
    </row>
    <row r="87" spans="1:75" s="237" customFormat="1" ht="20.25" customHeight="1" x14ac:dyDescent="0.25">
      <c r="A87" s="271"/>
      <c r="B87" s="169"/>
      <c r="C87" s="244" t="s">
        <v>849</v>
      </c>
      <c r="D87" s="286" t="s">
        <v>631</v>
      </c>
      <c r="E87" s="229" t="s">
        <v>75</v>
      </c>
      <c r="F87" s="208">
        <v>100000</v>
      </c>
      <c r="G87" s="194">
        <f>BK87</f>
        <v>0</v>
      </c>
      <c r="H87" s="195">
        <f>G87*F87</f>
        <v>0</v>
      </c>
      <c r="I87" s="195">
        <f>H87*0.1</f>
        <v>0</v>
      </c>
      <c r="J87" s="195">
        <f>H87*0.8</f>
        <v>0</v>
      </c>
      <c r="K87" s="195"/>
      <c r="L87" s="195"/>
      <c r="M87" s="195"/>
      <c r="N87" s="195"/>
      <c r="O87" s="195"/>
      <c r="P87" s="195"/>
      <c r="Q87" s="195">
        <f>H87*0.1</f>
        <v>0</v>
      </c>
      <c r="R87" s="195"/>
      <c r="S87" s="230"/>
      <c r="T87" s="230"/>
      <c r="U87" s="230"/>
      <c r="V87" s="230"/>
      <c r="W87" s="197"/>
      <c r="X87" s="197"/>
      <c r="Y87" s="197"/>
      <c r="Z87" s="197"/>
      <c r="AA87" s="230"/>
      <c r="AB87" s="188"/>
      <c r="AC87" s="230">
        <v>0</v>
      </c>
      <c r="AD87" s="188">
        <f t="shared" si="122"/>
        <v>0</v>
      </c>
      <c r="AE87" s="230">
        <v>0</v>
      </c>
      <c r="AF87" s="188">
        <f>AE87*F87</f>
        <v>0</v>
      </c>
      <c r="AG87" s="230">
        <v>0</v>
      </c>
      <c r="AH87" s="188">
        <f>AG87*F87</f>
        <v>0</v>
      </c>
      <c r="AI87" s="230"/>
      <c r="AJ87" s="188"/>
      <c r="AK87" s="230">
        <v>0</v>
      </c>
      <c r="AL87" s="188">
        <f t="shared" si="123"/>
        <v>0</v>
      </c>
      <c r="AM87" s="230"/>
      <c r="AN87" s="188"/>
      <c r="AO87" s="230"/>
      <c r="AP87" s="188"/>
      <c r="AQ87" s="230"/>
      <c r="AR87" s="188"/>
      <c r="AS87" s="230"/>
      <c r="AT87" s="188"/>
      <c r="AU87" s="230"/>
      <c r="AV87" s="188"/>
      <c r="AW87" s="230">
        <v>0</v>
      </c>
      <c r="AX87" s="188">
        <f t="shared" si="124"/>
        <v>0</v>
      </c>
      <c r="AY87" s="233"/>
      <c r="AZ87" s="188"/>
      <c r="BA87" s="281">
        <v>0</v>
      </c>
      <c r="BB87" s="188">
        <f t="shared" si="125"/>
        <v>0</v>
      </c>
      <c r="BC87" s="230">
        <v>0</v>
      </c>
      <c r="BD87" s="188">
        <f t="shared" si="126"/>
        <v>0</v>
      </c>
      <c r="BE87" s="230">
        <v>0</v>
      </c>
      <c r="BF87" s="188">
        <f t="shared" si="127"/>
        <v>0</v>
      </c>
      <c r="BG87" s="230"/>
      <c r="BH87" s="188"/>
      <c r="BI87" s="230"/>
      <c r="BJ87" s="188">
        <f t="shared" si="128"/>
        <v>0</v>
      </c>
      <c r="BK87" s="188">
        <f>AA87+AC87+AE87+AG87+AI87+AK87+AM87+AO87+AQ87+AS87+AU87+AW87+AY87+BA87+BC87+BE87+BG87+BI87</f>
        <v>0</v>
      </c>
      <c r="BL87" s="188">
        <f>AB87+AD87+AF87+AH87+AJ87+AL87+AN87+AP87+AR87+AT87+AV87+AX87+AZ87+BB87+BD87+BF87+BH87+BJ87</f>
        <v>0</v>
      </c>
      <c r="BM87" s="212" t="s">
        <v>216</v>
      </c>
      <c r="BN87" s="201"/>
      <c r="BO87" s="195"/>
      <c r="BP87" s="283"/>
      <c r="BQ87" s="225"/>
      <c r="BR87" s="283"/>
      <c r="BS87" s="190"/>
      <c r="BT87" s="283"/>
      <c r="BU87" s="283"/>
      <c r="BV87" s="190"/>
      <c r="BW87" s="191">
        <f t="shared" si="117"/>
        <v>0</v>
      </c>
    </row>
    <row r="88" spans="1:75" s="237" customFormat="1" ht="20.25" customHeight="1" x14ac:dyDescent="0.25">
      <c r="A88" s="271"/>
      <c r="B88" s="169"/>
      <c r="C88" s="244" t="s">
        <v>850</v>
      </c>
      <c r="D88" s="286" t="s">
        <v>565</v>
      </c>
      <c r="E88" s="229" t="s">
        <v>75</v>
      </c>
      <c r="F88" s="208">
        <v>100000</v>
      </c>
      <c r="G88" s="194">
        <f>BK88</f>
        <v>0</v>
      </c>
      <c r="H88" s="195">
        <f>G88*F88</f>
        <v>0</v>
      </c>
      <c r="I88" s="195">
        <f>H88*0.1</f>
        <v>0</v>
      </c>
      <c r="J88" s="195">
        <f>H88*0.8</f>
        <v>0</v>
      </c>
      <c r="K88" s="195"/>
      <c r="L88" s="195"/>
      <c r="M88" s="195"/>
      <c r="N88" s="195"/>
      <c r="O88" s="195"/>
      <c r="P88" s="195"/>
      <c r="Q88" s="195">
        <f>H88*0.1</f>
        <v>0</v>
      </c>
      <c r="R88" s="195"/>
      <c r="S88" s="230"/>
      <c r="T88" s="230">
        <f>G88*0.6</f>
        <v>0</v>
      </c>
      <c r="U88" s="230">
        <f>G88*0.2</f>
        <v>0</v>
      </c>
      <c r="V88" s="230">
        <f>G88*0.2</f>
        <v>0</v>
      </c>
      <c r="W88" s="197">
        <f>S88*F88</f>
        <v>0</v>
      </c>
      <c r="X88" s="197">
        <f>T88*F88</f>
        <v>0</v>
      </c>
      <c r="Y88" s="197">
        <f>U88*F88</f>
        <v>0</v>
      </c>
      <c r="Z88" s="197">
        <f>V88*F88</f>
        <v>0</v>
      </c>
      <c r="AA88" s="230"/>
      <c r="AB88" s="188"/>
      <c r="AC88" s="230">
        <v>0</v>
      </c>
      <c r="AD88" s="188">
        <f t="shared" si="122"/>
        <v>0</v>
      </c>
      <c r="AE88" s="230">
        <v>0</v>
      </c>
      <c r="AF88" s="188"/>
      <c r="AG88" s="230">
        <v>0</v>
      </c>
      <c r="AH88" s="188"/>
      <c r="AI88" s="230"/>
      <c r="AJ88" s="188"/>
      <c r="AK88" s="230">
        <v>0</v>
      </c>
      <c r="AL88" s="188">
        <f t="shared" si="123"/>
        <v>0</v>
      </c>
      <c r="AM88" s="230"/>
      <c r="AN88" s="188"/>
      <c r="AO88" s="230">
        <v>0</v>
      </c>
      <c r="AP88" s="188"/>
      <c r="AQ88" s="230"/>
      <c r="AR88" s="188"/>
      <c r="AS88" s="230"/>
      <c r="AT88" s="188"/>
      <c r="AU88" s="230"/>
      <c r="AV88" s="188"/>
      <c r="AW88" s="230">
        <v>0</v>
      </c>
      <c r="AX88" s="188">
        <f t="shared" si="124"/>
        <v>0</v>
      </c>
      <c r="AY88" s="233"/>
      <c r="AZ88" s="188"/>
      <c r="BA88" s="281">
        <v>0</v>
      </c>
      <c r="BB88" s="188">
        <f t="shared" si="125"/>
        <v>0</v>
      </c>
      <c r="BC88" s="230">
        <v>0</v>
      </c>
      <c r="BD88" s="188">
        <f t="shared" si="126"/>
        <v>0</v>
      </c>
      <c r="BE88" s="230">
        <v>0</v>
      </c>
      <c r="BF88" s="188">
        <f t="shared" si="127"/>
        <v>0</v>
      </c>
      <c r="BG88" s="230"/>
      <c r="BH88" s="188"/>
      <c r="BI88" s="230"/>
      <c r="BJ88" s="188">
        <f t="shared" si="128"/>
        <v>0</v>
      </c>
      <c r="BK88" s="188">
        <f t="shared" si="129"/>
        <v>0</v>
      </c>
      <c r="BL88" s="188">
        <f t="shared" si="129"/>
        <v>0</v>
      </c>
      <c r="BM88" s="212" t="s">
        <v>216</v>
      </c>
      <c r="BN88" s="201"/>
      <c r="BO88" s="195"/>
      <c r="BP88" s="283"/>
      <c r="BQ88" s="225">
        <f>H88</f>
        <v>0</v>
      </c>
      <c r="BR88" s="283"/>
      <c r="BS88" s="190">
        <f t="shared" si="116"/>
        <v>0</v>
      </c>
      <c r="BT88" s="283"/>
      <c r="BU88" s="283"/>
      <c r="BV88" s="190"/>
      <c r="BW88" s="191">
        <f t="shared" si="117"/>
        <v>0</v>
      </c>
    </row>
    <row r="89" spans="1:75" s="180" customFormat="1" x14ac:dyDescent="0.25">
      <c r="A89" s="278"/>
      <c r="B89" s="207"/>
      <c r="C89" s="562"/>
      <c r="D89" s="223" t="s">
        <v>501</v>
      </c>
      <c r="E89" s="205" t="s">
        <v>111</v>
      </c>
      <c r="F89" s="223"/>
      <c r="G89" s="184">
        <f t="shared" ref="G89:AL89" si="130">SUM(G84:G88)</f>
        <v>88</v>
      </c>
      <c r="H89" s="184">
        <f t="shared" si="130"/>
        <v>1882000</v>
      </c>
      <c r="I89" s="184">
        <f t="shared" si="130"/>
        <v>188200</v>
      </c>
      <c r="J89" s="184">
        <f t="shared" si="130"/>
        <v>1505600</v>
      </c>
      <c r="K89" s="184">
        <f t="shared" si="130"/>
        <v>0</v>
      </c>
      <c r="L89" s="184">
        <f t="shared" si="130"/>
        <v>0</v>
      </c>
      <c r="M89" s="184">
        <f t="shared" si="130"/>
        <v>0</v>
      </c>
      <c r="N89" s="184">
        <f t="shared" si="130"/>
        <v>0</v>
      </c>
      <c r="O89" s="184">
        <f t="shared" si="130"/>
        <v>0</v>
      </c>
      <c r="P89" s="184">
        <f t="shared" si="130"/>
        <v>0</v>
      </c>
      <c r="Q89" s="184">
        <f t="shared" si="130"/>
        <v>188200</v>
      </c>
      <c r="R89" s="184">
        <f t="shared" si="130"/>
        <v>0</v>
      </c>
      <c r="S89" s="184">
        <f t="shared" si="130"/>
        <v>0</v>
      </c>
      <c r="T89" s="184">
        <f t="shared" si="130"/>
        <v>10.199999999999999</v>
      </c>
      <c r="U89" s="184">
        <f t="shared" si="130"/>
        <v>9.4</v>
      </c>
      <c r="V89" s="184">
        <f t="shared" si="130"/>
        <v>3.4000000000000004</v>
      </c>
      <c r="W89" s="184">
        <f t="shared" si="130"/>
        <v>0</v>
      </c>
      <c r="X89" s="184">
        <f t="shared" si="130"/>
        <v>306000</v>
      </c>
      <c r="Y89" s="184">
        <f t="shared" si="130"/>
        <v>822000</v>
      </c>
      <c r="Z89" s="184">
        <f t="shared" si="130"/>
        <v>102000.00000000001</v>
      </c>
      <c r="AA89" s="184">
        <f t="shared" si="130"/>
        <v>5</v>
      </c>
      <c r="AB89" s="184">
        <f t="shared" si="130"/>
        <v>25000</v>
      </c>
      <c r="AC89" s="184">
        <f t="shared" si="130"/>
        <v>3</v>
      </c>
      <c r="AD89" s="184">
        <f t="shared" si="130"/>
        <v>180000</v>
      </c>
      <c r="AE89" s="184">
        <f t="shared" si="130"/>
        <v>5</v>
      </c>
      <c r="AF89" s="184">
        <f t="shared" si="130"/>
        <v>25000</v>
      </c>
      <c r="AG89" s="184">
        <f t="shared" si="130"/>
        <v>10</v>
      </c>
      <c r="AH89" s="184">
        <f t="shared" si="130"/>
        <v>265000</v>
      </c>
      <c r="AI89" s="184">
        <f t="shared" si="130"/>
        <v>0</v>
      </c>
      <c r="AJ89" s="184">
        <f t="shared" si="130"/>
        <v>0</v>
      </c>
      <c r="AK89" s="184">
        <f t="shared" si="130"/>
        <v>0</v>
      </c>
      <c r="AL89" s="184">
        <f t="shared" si="130"/>
        <v>0</v>
      </c>
      <c r="AM89" s="184">
        <f t="shared" ref="AM89:BL89" si="131">SUM(AM84:AM88)</f>
        <v>5</v>
      </c>
      <c r="AN89" s="184">
        <f t="shared" si="131"/>
        <v>25000</v>
      </c>
      <c r="AO89" s="184">
        <f t="shared" si="131"/>
        <v>10</v>
      </c>
      <c r="AP89" s="184">
        <f t="shared" si="131"/>
        <v>625000</v>
      </c>
      <c r="AQ89" s="184">
        <f t="shared" si="131"/>
        <v>7</v>
      </c>
      <c r="AR89" s="184">
        <f t="shared" si="131"/>
        <v>265000</v>
      </c>
      <c r="AS89" s="184">
        <f t="shared" si="131"/>
        <v>12</v>
      </c>
      <c r="AT89" s="184">
        <f t="shared" si="131"/>
        <v>292000</v>
      </c>
      <c r="AU89" s="184">
        <f t="shared" si="131"/>
        <v>5</v>
      </c>
      <c r="AV89" s="184">
        <f t="shared" si="131"/>
        <v>25000</v>
      </c>
      <c r="AW89" s="184">
        <f t="shared" si="131"/>
        <v>5</v>
      </c>
      <c r="AX89" s="184">
        <f t="shared" si="131"/>
        <v>25000</v>
      </c>
      <c r="AY89" s="279">
        <f t="shared" si="131"/>
        <v>5</v>
      </c>
      <c r="AZ89" s="184">
        <f t="shared" si="131"/>
        <v>25000</v>
      </c>
      <c r="BA89" s="279">
        <f t="shared" si="131"/>
        <v>5</v>
      </c>
      <c r="BB89" s="184">
        <f t="shared" si="131"/>
        <v>25000</v>
      </c>
      <c r="BC89" s="184">
        <f t="shared" si="131"/>
        <v>6</v>
      </c>
      <c r="BD89" s="184">
        <f t="shared" si="131"/>
        <v>55000</v>
      </c>
      <c r="BE89" s="184">
        <f t="shared" si="131"/>
        <v>0</v>
      </c>
      <c r="BF89" s="184">
        <f t="shared" si="131"/>
        <v>0</v>
      </c>
      <c r="BG89" s="184">
        <f t="shared" si="131"/>
        <v>5</v>
      </c>
      <c r="BH89" s="184">
        <f t="shared" si="131"/>
        <v>25000</v>
      </c>
      <c r="BI89" s="184">
        <f t="shared" si="131"/>
        <v>0</v>
      </c>
      <c r="BJ89" s="184">
        <f t="shared" si="131"/>
        <v>0</v>
      </c>
      <c r="BK89" s="184">
        <f t="shared" si="131"/>
        <v>88</v>
      </c>
      <c r="BL89" s="184">
        <f t="shared" si="131"/>
        <v>1882000</v>
      </c>
      <c r="BM89" s="204" t="s">
        <v>111</v>
      </c>
      <c r="BN89" s="611"/>
      <c r="BO89" s="184">
        <f t="shared" ref="BO89:BW89" si="132">SUM(BO84:BO88)</f>
        <v>0</v>
      </c>
      <c r="BP89" s="184">
        <f t="shared" si="132"/>
        <v>0</v>
      </c>
      <c r="BQ89" s="184">
        <f t="shared" si="132"/>
        <v>1882000</v>
      </c>
      <c r="BR89" s="184">
        <f t="shared" si="132"/>
        <v>0</v>
      </c>
      <c r="BS89" s="184">
        <f t="shared" si="132"/>
        <v>1882000</v>
      </c>
      <c r="BT89" s="184">
        <f t="shared" si="132"/>
        <v>0</v>
      </c>
      <c r="BU89" s="184">
        <f t="shared" si="132"/>
        <v>0</v>
      </c>
      <c r="BV89" s="184">
        <f t="shared" si="132"/>
        <v>0</v>
      </c>
      <c r="BW89" s="184">
        <f t="shared" si="132"/>
        <v>1882000</v>
      </c>
    </row>
    <row r="90" spans="1:75" s="237" customFormat="1" x14ac:dyDescent="0.25">
      <c r="A90" s="227"/>
      <c r="B90" s="220"/>
      <c r="C90" s="555"/>
      <c r="D90" s="223" t="s">
        <v>508</v>
      </c>
      <c r="E90" s="193" t="s">
        <v>111</v>
      </c>
      <c r="F90" s="193" t="s">
        <v>111</v>
      </c>
      <c r="G90" s="291">
        <f t="shared" ref="G90:AL90" si="133">G89+G82+G64+G40+G33</f>
        <v>14905.369999999999</v>
      </c>
      <c r="H90" s="291">
        <f t="shared" si="133"/>
        <v>187950582</v>
      </c>
      <c r="I90" s="291">
        <f t="shared" si="133"/>
        <v>10106064.699999999</v>
      </c>
      <c r="J90" s="291">
        <f t="shared" si="133"/>
        <v>80448517.599999994</v>
      </c>
      <c r="K90" s="291">
        <f t="shared" si="133"/>
        <v>0</v>
      </c>
      <c r="L90" s="291">
        <f t="shared" si="133"/>
        <v>0</v>
      </c>
      <c r="M90" s="291">
        <f t="shared" si="133"/>
        <v>87389935</v>
      </c>
      <c r="N90" s="291">
        <f t="shared" si="133"/>
        <v>0</v>
      </c>
      <c r="O90" s="291">
        <f t="shared" si="133"/>
        <v>0</v>
      </c>
      <c r="P90" s="291">
        <f t="shared" si="133"/>
        <v>0</v>
      </c>
      <c r="Q90" s="291">
        <f t="shared" si="133"/>
        <v>10006064.699999999</v>
      </c>
      <c r="R90" s="291">
        <f t="shared" si="133"/>
        <v>0</v>
      </c>
      <c r="S90" s="291">
        <f t="shared" si="133"/>
        <v>1959.4304999999999</v>
      </c>
      <c r="T90" s="291">
        <f t="shared" si="133"/>
        <v>3054.7894999999999</v>
      </c>
      <c r="U90" s="291">
        <f t="shared" si="133"/>
        <v>2992.2999999999997</v>
      </c>
      <c r="V90" s="291">
        <f t="shared" si="133"/>
        <v>1967.85</v>
      </c>
      <c r="W90" s="291">
        <f t="shared" si="133"/>
        <v>15509462</v>
      </c>
      <c r="X90" s="291">
        <f t="shared" si="133"/>
        <v>21352568</v>
      </c>
      <c r="Y90" s="291">
        <f t="shared" si="133"/>
        <v>40423250</v>
      </c>
      <c r="Z90" s="291">
        <f t="shared" si="133"/>
        <v>51971744</v>
      </c>
      <c r="AA90" s="291">
        <f t="shared" si="133"/>
        <v>876.5</v>
      </c>
      <c r="AB90" s="291">
        <f t="shared" si="133"/>
        <v>13862930</v>
      </c>
      <c r="AC90" s="291">
        <f t="shared" si="133"/>
        <v>596</v>
      </c>
      <c r="AD90" s="291">
        <f t="shared" si="133"/>
        <v>9415316</v>
      </c>
      <c r="AE90" s="291">
        <f t="shared" si="133"/>
        <v>833</v>
      </c>
      <c r="AF90" s="291">
        <f t="shared" si="133"/>
        <v>12242168</v>
      </c>
      <c r="AG90" s="291">
        <f t="shared" si="133"/>
        <v>891</v>
      </c>
      <c r="AH90" s="291">
        <f t="shared" si="133"/>
        <v>17338676</v>
      </c>
      <c r="AI90" s="291">
        <f t="shared" si="133"/>
        <v>663</v>
      </c>
      <c r="AJ90" s="291">
        <f t="shared" si="133"/>
        <v>9508392</v>
      </c>
      <c r="AK90" s="291">
        <f t="shared" si="133"/>
        <v>725</v>
      </c>
      <c r="AL90" s="291">
        <f t="shared" si="133"/>
        <v>7900454</v>
      </c>
      <c r="AM90" s="291">
        <f t="shared" ref="AM90:BL90" si="134">AM89+AM82+AM64+AM40+AM33</f>
        <v>953</v>
      </c>
      <c r="AN90" s="291">
        <f t="shared" si="134"/>
        <v>11920174</v>
      </c>
      <c r="AO90" s="291">
        <f t="shared" si="134"/>
        <v>897</v>
      </c>
      <c r="AP90" s="291">
        <f t="shared" si="134"/>
        <v>10344612</v>
      </c>
      <c r="AQ90" s="291">
        <f t="shared" si="134"/>
        <v>792</v>
      </c>
      <c r="AR90" s="291">
        <f t="shared" si="134"/>
        <v>10548749</v>
      </c>
      <c r="AS90" s="291">
        <f t="shared" si="134"/>
        <v>882</v>
      </c>
      <c r="AT90" s="291">
        <f t="shared" si="134"/>
        <v>12806740</v>
      </c>
      <c r="AU90" s="291">
        <f t="shared" si="134"/>
        <v>1019.87</v>
      </c>
      <c r="AV90" s="291">
        <f t="shared" si="134"/>
        <v>11704997</v>
      </c>
      <c r="AW90" s="291">
        <f t="shared" si="134"/>
        <v>674</v>
      </c>
      <c r="AX90" s="291">
        <f t="shared" si="134"/>
        <v>6699081</v>
      </c>
      <c r="AY90" s="291">
        <f t="shared" si="134"/>
        <v>851</v>
      </c>
      <c r="AZ90" s="291">
        <f t="shared" si="134"/>
        <v>8621487</v>
      </c>
      <c r="BA90" s="291">
        <f t="shared" si="134"/>
        <v>992</v>
      </c>
      <c r="BB90" s="291">
        <f t="shared" si="134"/>
        <v>11936185</v>
      </c>
      <c r="BC90" s="291">
        <f t="shared" si="134"/>
        <v>1159</v>
      </c>
      <c r="BD90" s="291">
        <f t="shared" si="134"/>
        <v>11550622</v>
      </c>
      <c r="BE90" s="291">
        <f t="shared" si="134"/>
        <v>709</v>
      </c>
      <c r="BF90" s="291">
        <f t="shared" si="134"/>
        <v>9092712</v>
      </c>
      <c r="BG90" s="291">
        <f t="shared" si="134"/>
        <v>1391</v>
      </c>
      <c r="BH90" s="291">
        <f t="shared" si="134"/>
        <v>11957287</v>
      </c>
      <c r="BI90" s="291">
        <f t="shared" si="134"/>
        <v>1</v>
      </c>
      <c r="BJ90" s="291">
        <f t="shared" si="134"/>
        <v>500000</v>
      </c>
      <c r="BK90" s="291">
        <f t="shared" si="134"/>
        <v>14905.369999999999</v>
      </c>
      <c r="BL90" s="291">
        <f t="shared" si="134"/>
        <v>187950582</v>
      </c>
      <c r="BM90" s="291"/>
      <c r="BN90" s="291"/>
      <c r="BO90" s="291">
        <f t="shared" ref="BO90:BW90" si="135">BO89+BO82+BO64+BO40+BO33</f>
        <v>0</v>
      </c>
      <c r="BP90" s="291">
        <f t="shared" si="135"/>
        <v>500000</v>
      </c>
      <c r="BQ90" s="291">
        <f t="shared" si="135"/>
        <v>100060647</v>
      </c>
      <c r="BR90" s="291">
        <f t="shared" si="135"/>
        <v>0</v>
      </c>
      <c r="BS90" s="291">
        <f t="shared" si="135"/>
        <v>100560647</v>
      </c>
      <c r="BT90" s="291">
        <f t="shared" si="135"/>
        <v>29760000</v>
      </c>
      <c r="BU90" s="291">
        <f t="shared" si="135"/>
        <v>57629935</v>
      </c>
      <c r="BV90" s="291">
        <f t="shared" si="135"/>
        <v>87389935</v>
      </c>
      <c r="BW90" s="291">
        <f t="shared" si="135"/>
        <v>187950582</v>
      </c>
    </row>
    <row r="91" spans="1:75" ht="31.5" x14ac:dyDescent="0.25">
      <c r="A91" s="227"/>
      <c r="B91" s="169"/>
      <c r="C91" s="584" t="s">
        <v>851</v>
      </c>
      <c r="D91" s="267" t="s">
        <v>1007</v>
      </c>
      <c r="E91" s="193" t="s">
        <v>79</v>
      </c>
      <c r="F91" s="193">
        <v>15000</v>
      </c>
      <c r="G91" s="194">
        <f>BK91</f>
        <v>90</v>
      </c>
      <c r="H91" s="194">
        <f>BL91</f>
        <v>1375000</v>
      </c>
      <c r="I91" s="228">
        <f>0.2*H91</f>
        <v>275000</v>
      </c>
      <c r="J91" s="208">
        <f>0.8*H91</f>
        <v>1100000</v>
      </c>
      <c r="K91" s="208"/>
      <c r="L91" s="208"/>
      <c r="M91" s="208"/>
      <c r="N91" s="208"/>
      <c r="O91" s="208"/>
      <c r="P91" s="232"/>
      <c r="Q91" s="232"/>
      <c r="R91" s="232"/>
      <c r="S91" s="230"/>
      <c r="T91" s="230"/>
      <c r="U91" s="230">
        <v>27</v>
      </c>
      <c r="V91" s="230">
        <v>60</v>
      </c>
      <c r="W91" s="230">
        <f>S91*F91</f>
        <v>0</v>
      </c>
      <c r="X91" s="230">
        <f>T91*F91</f>
        <v>0</v>
      </c>
      <c r="Y91" s="230">
        <f>U91*F91</f>
        <v>405000</v>
      </c>
      <c r="Z91" s="230">
        <f>V91*F91</f>
        <v>900000</v>
      </c>
      <c r="AA91" s="254">
        <v>4</v>
      </c>
      <c r="AB91" s="231">
        <f>AA91*F91</f>
        <v>60000</v>
      </c>
      <c r="AC91" s="254">
        <v>3</v>
      </c>
      <c r="AD91" s="231">
        <f>AC91*F91</f>
        <v>45000</v>
      </c>
      <c r="AE91" s="254">
        <v>4</v>
      </c>
      <c r="AF91" s="231">
        <f>AE91*F91</f>
        <v>60000</v>
      </c>
      <c r="AG91" s="254">
        <v>5</v>
      </c>
      <c r="AH91" s="231">
        <f>AG91*F91</f>
        <v>75000</v>
      </c>
      <c r="AI91" s="254">
        <v>2</v>
      </c>
      <c r="AJ91" s="231">
        <f>AI91*F91</f>
        <v>30000</v>
      </c>
      <c r="AK91" s="224">
        <v>4</v>
      </c>
      <c r="AL91" s="231">
        <f>AK91*F91</f>
        <v>60000</v>
      </c>
      <c r="AM91" s="254">
        <v>5</v>
      </c>
      <c r="AN91" s="231">
        <f>AM91*F91</f>
        <v>75000</v>
      </c>
      <c r="AO91" s="224">
        <v>8</v>
      </c>
      <c r="AP91" s="231">
        <v>160000</v>
      </c>
      <c r="AQ91" s="254">
        <v>2</v>
      </c>
      <c r="AR91" s="231">
        <f>AQ91*F91</f>
        <v>30000</v>
      </c>
      <c r="AS91" s="254">
        <v>3</v>
      </c>
      <c r="AT91" s="231">
        <f>AS91*F91</f>
        <v>45000</v>
      </c>
      <c r="AU91" s="224">
        <v>6</v>
      </c>
      <c r="AV91" s="231">
        <f>AU91*F91</f>
        <v>90000</v>
      </c>
      <c r="AW91" s="224">
        <v>5</v>
      </c>
      <c r="AX91" s="231">
        <f>AW91*F91</f>
        <v>75000</v>
      </c>
      <c r="AY91" s="228">
        <v>9</v>
      </c>
      <c r="AZ91" s="231">
        <f>AY91*F91</f>
        <v>135000</v>
      </c>
      <c r="BA91" s="255">
        <v>9</v>
      </c>
      <c r="BB91" s="231">
        <f>BA91*F91</f>
        <v>135000</v>
      </c>
      <c r="BC91" s="254">
        <v>3</v>
      </c>
      <c r="BD91" s="231">
        <v>30000</v>
      </c>
      <c r="BE91" s="254">
        <v>12</v>
      </c>
      <c r="BF91" s="231">
        <f>BE91*F91</f>
        <v>180000</v>
      </c>
      <c r="BG91" s="254">
        <v>6</v>
      </c>
      <c r="BH91" s="231">
        <f>BG91*F91</f>
        <v>90000</v>
      </c>
      <c r="BI91" s="254"/>
      <c r="BJ91" s="231">
        <f>BI91*F91</f>
        <v>0</v>
      </c>
      <c r="BK91" s="188">
        <f>AA91+AC91+AE91+AG91+AI91+AK91+AM91+AO91+AQ91+AS91+AU91+AW91+AY91+BA91+BC91+BE91+BG91+BI91</f>
        <v>90</v>
      </c>
      <c r="BL91" s="188">
        <f>AB91+AD91+AF91+AH91+AJ91+AL91+AN91+AP91+AR91+AT91+AV91+AX91+AZ91+BB91+BD91+BF91+BH91+BJ91</f>
        <v>1375000</v>
      </c>
      <c r="BM91" s="186" t="s">
        <v>210</v>
      </c>
      <c r="BO91" s="225"/>
      <c r="BP91" s="225">
        <f>H91</f>
        <v>1375000</v>
      </c>
      <c r="BQ91" s="225"/>
      <c r="BR91" s="225"/>
      <c r="BS91" s="225">
        <f>BO91+BP91+BQ91+BR91</f>
        <v>1375000</v>
      </c>
      <c r="BT91" s="225"/>
      <c r="BU91" s="225"/>
      <c r="BV91" s="225">
        <f>BT91+BU91</f>
        <v>0</v>
      </c>
      <c r="BW91" s="226">
        <f>BS91+BV91</f>
        <v>1375000</v>
      </c>
    </row>
    <row r="92" spans="1:75" s="237" customFormat="1" x14ac:dyDescent="0.25">
      <c r="A92" s="234"/>
      <c r="B92" s="220"/>
      <c r="C92" s="555"/>
      <c r="D92" s="223" t="s">
        <v>17</v>
      </c>
      <c r="E92" s="205" t="s">
        <v>111</v>
      </c>
      <c r="F92" s="223"/>
      <c r="G92" s="235">
        <f t="shared" ref="G92:AL92" si="136">G91+G90+G16</f>
        <v>15144.369999999999</v>
      </c>
      <c r="H92" s="235">
        <f t="shared" si="136"/>
        <v>191315582</v>
      </c>
      <c r="I92" s="235">
        <f t="shared" si="136"/>
        <v>10381064.699999999</v>
      </c>
      <c r="J92" s="235">
        <f t="shared" si="136"/>
        <v>82340517.599999994</v>
      </c>
      <c r="K92" s="235">
        <f t="shared" si="136"/>
        <v>0</v>
      </c>
      <c r="L92" s="235">
        <f t="shared" si="136"/>
        <v>0</v>
      </c>
      <c r="M92" s="235">
        <f t="shared" si="136"/>
        <v>87389935</v>
      </c>
      <c r="N92" s="235">
        <f t="shared" si="136"/>
        <v>1000000</v>
      </c>
      <c r="O92" s="235">
        <f t="shared" si="136"/>
        <v>0</v>
      </c>
      <c r="P92" s="235">
        <f t="shared" si="136"/>
        <v>0</v>
      </c>
      <c r="Q92" s="235">
        <f t="shared" si="136"/>
        <v>10204064.699999999</v>
      </c>
      <c r="R92" s="235">
        <f t="shared" si="136"/>
        <v>0</v>
      </c>
      <c r="S92" s="235">
        <f t="shared" si="136"/>
        <v>1971.9304999999999</v>
      </c>
      <c r="T92" s="235">
        <f t="shared" si="136"/>
        <v>3067.2894999999999</v>
      </c>
      <c r="U92" s="235">
        <f t="shared" si="136"/>
        <v>3031.7999999999997</v>
      </c>
      <c r="V92" s="235">
        <f t="shared" si="136"/>
        <v>2040.35</v>
      </c>
      <c r="W92" s="235">
        <f t="shared" si="136"/>
        <v>15759462</v>
      </c>
      <c r="X92" s="235">
        <f t="shared" si="136"/>
        <v>21602568</v>
      </c>
      <c r="Y92" s="235">
        <f t="shared" si="136"/>
        <v>41078250</v>
      </c>
      <c r="Z92" s="235">
        <f t="shared" si="136"/>
        <v>53121744</v>
      </c>
      <c r="AA92" s="235">
        <f t="shared" si="136"/>
        <v>885.5</v>
      </c>
      <c r="AB92" s="235">
        <f t="shared" si="136"/>
        <v>13972930</v>
      </c>
      <c r="AC92" s="235">
        <f t="shared" si="136"/>
        <v>609</v>
      </c>
      <c r="AD92" s="235">
        <f t="shared" si="136"/>
        <v>9560316</v>
      </c>
      <c r="AE92" s="235">
        <f t="shared" si="136"/>
        <v>840</v>
      </c>
      <c r="AF92" s="235">
        <f t="shared" si="136"/>
        <v>12332168</v>
      </c>
      <c r="AG92" s="235">
        <f t="shared" si="136"/>
        <v>906</v>
      </c>
      <c r="AH92" s="235">
        <f t="shared" si="136"/>
        <v>17513676</v>
      </c>
      <c r="AI92" s="235">
        <f t="shared" si="136"/>
        <v>670</v>
      </c>
      <c r="AJ92" s="235">
        <f t="shared" si="136"/>
        <v>9588392</v>
      </c>
      <c r="AK92" s="235">
        <f t="shared" si="136"/>
        <v>739</v>
      </c>
      <c r="AL92" s="235">
        <f t="shared" si="136"/>
        <v>8060454</v>
      </c>
      <c r="AM92" s="235">
        <f t="shared" ref="AM92:BL92" si="137">AM91+AM90+AM16</f>
        <v>963</v>
      </c>
      <c r="AN92" s="235">
        <f t="shared" si="137"/>
        <v>12045174</v>
      </c>
      <c r="AO92" s="235">
        <f t="shared" si="137"/>
        <v>910</v>
      </c>
      <c r="AP92" s="235">
        <f t="shared" si="137"/>
        <v>10554612</v>
      </c>
      <c r="AQ92" s="235">
        <f t="shared" si="137"/>
        <v>799</v>
      </c>
      <c r="AR92" s="235">
        <f t="shared" si="137"/>
        <v>10628749</v>
      </c>
      <c r="AS92" s="235">
        <f t="shared" si="137"/>
        <v>891</v>
      </c>
      <c r="AT92" s="235">
        <f t="shared" si="137"/>
        <v>12911740</v>
      </c>
      <c r="AU92" s="235">
        <f t="shared" si="137"/>
        <v>1030.8699999999999</v>
      </c>
      <c r="AV92" s="235">
        <f t="shared" si="137"/>
        <v>11844997</v>
      </c>
      <c r="AW92" s="235">
        <f t="shared" si="137"/>
        <v>684</v>
      </c>
      <c r="AX92" s="235">
        <f t="shared" si="137"/>
        <v>6824081</v>
      </c>
      <c r="AY92" s="236">
        <f t="shared" si="137"/>
        <v>865</v>
      </c>
      <c r="AZ92" s="235">
        <f t="shared" si="137"/>
        <v>8806487</v>
      </c>
      <c r="BA92" s="236">
        <f t="shared" si="137"/>
        <v>1003</v>
      </c>
      <c r="BB92" s="235">
        <f t="shared" si="137"/>
        <v>12091185</v>
      </c>
      <c r="BC92" s="235">
        <f t="shared" si="137"/>
        <v>1215</v>
      </c>
      <c r="BD92" s="235">
        <f t="shared" si="137"/>
        <v>12610622</v>
      </c>
      <c r="BE92" s="235">
        <f t="shared" si="137"/>
        <v>731</v>
      </c>
      <c r="BF92" s="235">
        <f t="shared" si="137"/>
        <v>9372712</v>
      </c>
      <c r="BG92" s="235">
        <f t="shared" si="137"/>
        <v>1402</v>
      </c>
      <c r="BH92" s="235">
        <f t="shared" si="137"/>
        <v>12097287</v>
      </c>
      <c r="BI92" s="235">
        <f t="shared" si="137"/>
        <v>1</v>
      </c>
      <c r="BJ92" s="235">
        <f t="shared" si="137"/>
        <v>500000</v>
      </c>
      <c r="BK92" s="235">
        <f t="shared" si="137"/>
        <v>15144.369999999999</v>
      </c>
      <c r="BL92" s="235">
        <f t="shared" si="137"/>
        <v>191315582</v>
      </c>
      <c r="BM92" s="235"/>
      <c r="BN92" s="235"/>
      <c r="BO92" s="235">
        <f t="shared" ref="BO92:BW92" si="138">BO91+BO90+BO16</f>
        <v>0</v>
      </c>
      <c r="BP92" s="235">
        <f t="shared" si="138"/>
        <v>2865000</v>
      </c>
      <c r="BQ92" s="235">
        <f t="shared" si="138"/>
        <v>101060647</v>
      </c>
      <c r="BR92" s="235">
        <f t="shared" si="138"/>
        <v>0</v>
      </c>
      <c r="BS92" s="235">
        <f t="shared" si="138"/>
        <v>103925647</v>
      </c>
      <c r="BT92" s="235">
        <f t="shared" si="138"/>
        <v>29760000</v>
      </c>
      <c r="BU92" s="235">
        <f t="shared" si="138"/>
        <v>57629935</v>
      </c>
      <c r="BV92" s="235">
        <f t="shared" si="138"/>
        <v>87389935</v>
      </c>
      <c r="BW92" s="235">
        <f t="shared" si="138"/>
        <v>191315582</v>
      </c>
    </row>
    <row r="95" spans="1:75" x14ac:dyDescent="0.25">
      <c r="H95" s="217">
        <f>H92-BL92</f>
        <v>0</v>
      </c>
    </row>
    <row r="96" spans="1:75" x14ac:dyDescent="0.25">
      <c r="H96" s="217"/>
    </row>
  </sheetData>
  <autoFilter ref="A8:BW92" xr:uid="{00000000-0001-0000-0700-000000000000}"/>
  <mergeCells count="41">
    <mergeCell ref="A1:B1"/>
    <mergeCell ref="D1:R1"/>
    <mergeCell ref="A2:B2"/>
    <mergeCell ref="D2:R2"/>
    <mergeCell ref="A3:B3"/>
    <mergeCell ref="D3:R3"/>
    <mergeCell ref="A4:B4"/>
    <mergeCell ref="D4:R4"/>
    <mergeCell ref="A5:B5"/>
    <mergeCell ref="D5:R5"/>
    <mergeCell ref="A6:E6"/>
    <mergeCell ref="F6:H6"/>
    <mergeCell ref="I6:R6"/>
    <mergeCell ref="AW6:AX7"/>
    <mergeCell ref="AY6:AZ7"/>
    <mergeCell ref="BA6:BB7"/>
    <mergeCell ref="AK6:AL7"/>
    <mergeCell ref="AM6:AN7"/>
    <mergeCell ref="AO6:AP7"/>
    <mergeCell ref="AQ6:AR7"/>
    <mergeCell ref="C7:C8"/>
    <mergeCell ref="BO7:BS7"/>
    <mergeCell ref="BT7:BV7"/>
    <mergeCell ref="D7:D8"/>
    <mergeCell ref="H7:H8"/>
    <mergeCell ref="BC6:BD7"/>
    <mergeCell ref="BE6:BF7"/>
    <mergeCell ref="AS6:AT7"/>
    <mergeCell ref="S6:V7"/>
    <mergeCell ref="W6:Z7"/>
    <mergeCell ref="AA6:AB7"/>
    <mergeCell ref="AC6:AD7"/>
    <mergeCell ref="AE6:AF7"/>
    <mergeCell ref="AG6:AH7"/>
    <mergeCell ref="AI6:AJ7"/>
    <mergeCell ref="AU6:AV7"/>
    <mergeCell ref="BW7:BW8"/>
    <mergeCell ref="BG6:BH7"/>
    <mergeCell ref="BI6:BJ7"/>
    <mergeCell ref="BK6:BL7"/>
    <mergeCell ref="BM6:BM8"/>
  </mergeCells>
  <phoneticPr fontId="3" type="noConversion"/>
  <pageMargins left="0.27" right="0.38" top="0.75" bottom="0.75" header="0.3" footer="0.3"/>
  <pageSetup paperSize="9" scale="1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FF0000"/>
    <pageSetUpPr fitToPage="1"/>
  </sheetPr>
  <dimension ref="A1:BW68"/>
  <sheetViews>
    <sheetView zoomScale="80" zoomScaleNormal="80" workbookViewId="0">
      <pane xSplit="8" ySplit="9" topLeftCell="I55" activePane="bottomRight" state="frozen"/>
      <selection pane="topRight" activeCell="I1" sqref="I1"/>
      <selection pane="bottomLeft" activeCell="A10" sqref="A10"/>
      <selection pane="bottomRight" activeCell="E72" sqref="E72"/>
    </sheetView>
  </sheetViews>
  <sheetFormatPr defaultColWidth="8.7109375" defaultRowHeight="12.75" x14ac:dyDescent="0.25"/>
  <cols>
    <col min="1" max="1" width="9.28515625" style="298" customWidth="1"/>
    <col min="2" max="2" width="8.85546875" style="298" bestFit="1" customWidth="1"/>
    <col min="3" max="3" width="5.140625" style="298" bestFit="1" customWidth="1"/>
    <col min="4" max="4" width="38.7109375" style="298" customWidth="1"/>
    <col min="5" max="5" width="11.5703125" style="298" bestFit="1" customWidth="1"/>
    <col min="6" max="6" width="16.42578125" style="298" customWidth="1"/>
    <col min="7" max="7" width="12.140625" style="298" customWidth="1"/>
    <col min="8" max="8" width="19.5703125" style="300" customWidth="1"/>
    <col min="9" max="9" width="13.140625" style="300" customWidth="1"/>
    <col min="10" max="11" width="14.42578125" style="300" customWidth="1"/>
    <col min="12" max="12" width="11.42578125" style="300" customWidth="1"/>
    <col min="13" max="13" width="14.42578125" style="300" customWidth="1"/>
    <col min="14" max="14" width="11.140625" style="300" customWidth="1"/>
    <col min="15" max="15" width="15.85546875" style="300" customWidth="1"/>
    <col min="16" max="16" width="7.140625" style="300" customWidth="1"/>
    <col min="17" max="17" width="13.140625" style="300" customWidth="1"/>
    <col min="18" max="18" width="7.42578125" style="300" customWidth="1"/>
    <col min="19" max="19" width="11.85546875" style="298" customWidth="1"/>
    <col min="20" max="20" width="10.85546875" style="298" customWidth="1"/>
    <col min="21" max="21" width="11.28515625" style="298" customWidth="1"/>
    <col min="22" max="22" width="10.28515625" style="298" customWidth="1"/>
    <col min="23" max="24" width="17.140625" style="298" customWidth="1"/>
    <col min="25" max="25" width="18.42578125" style="298" customWidth="1"/>
    <col min="26" max="26" width="17.140625" style="298" customWidth="1"/>
    <col min="27" max="27" width="8" style="298" customWidth="1"/>
    <col min="28" max="28" width="16" style="299" customWidth="1"/>
    <col min="29" max="29" width="8.28515625" style="298" customWidth="1"/>
    <col min="30" max="30" width="16" style="298" customWidth="1"/>
    <col min="31" max="31" width="8.140625" style="298" customWidth="1"/>
    <col min="32" max="32" width="16" style="298" customWidth="1"/>
    <col min="33" max="33" width="8.5703125" style="298" customWidth="1"/>
    <col min="34" max="34" width="16" style="298" customWidth="1"/>
    <col min="35" max="35" width="8" style="298" customWidth="1"/>
    <col min="36" max="36" width="14.28515625" style="298" customWidth="1"/>
    <col min="37" max="37" width="8.5703125" style="298" customWidth="1"/>
    <col min="38" max="38" width="16" style="298" customWidth="1"/>
    <col min="39" max="39" width="8.85546875" style="298" bestFit="1" customWidth="1"/>
    <col min="40" max="40" width="16" style="298" customWidth="1"/>
    <col min="41" max="41" width="10.7109375" style="298" bestFit="1" customWidth="1"/>
    <col min="42" max="42" width="16" style="298" customWidth="1"/>
    <col min="43" max="43" width="9.42578125" style="298" customWidth="1"/>
    <col min="44" max="44" width="15" style="298" bestFit="1" customWidth="1"/>
    <col min="45" max="45" width="10.7109375" style="298" bestFit="1" customWidth="1"/>
    <col min="46" max="46" width="16.5703125" style="298" bestFit="1" customWidth="1"/>
    <col min="47" max="47" width="9.5703125" style="298" bestFit="1" customWidth="1"/>
    <col min="48" max="48" width="14.28515625" style="298" customWidth="1"/>
    <col min="49" max="49" width="10.28515625" style="298" bestFit="1" customWidth="1"/>
    <col min="50" max="50" width="14.42578125" style="298" customWidth="1"/>
    <col min="51" max="51" width="11.140625" style="300" customWidth="1"/>
    <col min="52" max="52" width="14.28515625" style="298" customWidth="1"/>
    <col min="53" max="53" width="10" style="300" bestFit="1" customWidth="1"/>
    <col min="54" max="54" width="16.5703125" style="298" bestFit="1" customWidth="1"/>
    <col min="55" max="55" width="8.5703125" style="298" bestFit="1" customWidth="1"/>
    <col min="56" max="56" width="16.5703125" style="298" bestFit="1" customWidth="1"/>
    <col min="57" max="57" width="8.5703125" style="298" bestFit="1" customWidth="1"/>
    <col min="58" max="58" width="14.28515625" style="298" customWidth="1"/>
    <col min="59" max="59" width="8.7109375" style="298" bestFit="1" customWidth="1"/>
    <col min="60" max="60" width="16" style="298" customWidth="1"/>
    <col min="61" max="61" width="10.28515625" style="298" bestFit="1" customWidth="1"/>
    <col min="62" max="62" width="15.5703125" style="298" bestFit="1" customWidth="1"/>
    <col min="63" max="63" width="13" style="298" customWidth="1"/>
    <col min="64" max="64" width="18.28515625" style="298" customWidth="1"/>
    <col min="65" max="65" width="24.28515625" style="301" customWidth="1"/>
    <col min="66" max="66" width="4.7109375" style="298" customWidth="1"/>
    <col min="67" max="67" width="20.42578125" style="298" customWidth="1"/>
    <col min="68" max="68" width="17.7109375" style="298" bestFit="1" customWidth="1"/>
    <col min="69" max="69" width="19.140625" style="298" bestFit="1" customWidth="1"/>
    <col min="70" max="70" width="18" style="298" customWidth="1"/>
    <col min="71" max="71" width="18.42578125" style="298" customWidth="1"/>
    <col min="72" max="74" width="9.140625" style="298" customWidth="1"/>
    <col min="75" max="75" width="19.85546875" style="298" customWidth="1"/>
    <col min="76" max="16384" width="8.7109375" style="298"/>
  </cols>
  <sheetData>
    <row r="1" spans="1:75" x14ac:dyDescent="0.25">
      <c r="A1" s="807" t="s">
        <v>159</v>
      </c>
      <c r="B1" s="807"/>
      <c r="C1" s="570"/>
      <c r="D1" s="808" t="s">
        <v>153</v>
      </c>
      <c r="E1" s="808"/>
      <c r="F1" s="808"/>
      <c r="G1" s="808"/>
      <c r="H1" s="808"/>
      <c r="I1" s="808"/>
      <c r="J1" s="808"/>
      <c r="K1" s="808"/>
      <c r="L1" s="808"/>
      <c r="M1" s="808"/>
      <c r="N1" s="808"/>
      <c r="O1" s="808"/>
      <c r="P1" s="808"/>
      <c r="Q1" s="808"/>
      <c r="R1" s="808"/>
      <c r="S1" s="297"/>
      <c r="T1" s="297"/>
      <c r="U1" s="297"/>
      <c r="V1" s="297"/>
      <c r="W1" s="297"/>
      <c r="X1" s="297"/>
      <c r="Y1" s="297"/>
      <c r="Z1" s="297"/>
    </row>
    <row r="2" spans="1:75" x14ac:dyDescent="0.2">
      <c r="A2" s="807" t="s">
        <v>155</v>
      </c>
      <c r="B2" s="807"/>
      <c r="C2" s="570"/>
      <c r="D2" s="808" t="s">
        <v>154</v>
      </c>
      <c r="E2" s="808"/>
      <c r="F2" s="808"/>
      <c r="G2" s="808"/>
      <c r="H2" s="808"/>
      <c r="I2" s="808"/>
      <c r="J2" s="808"/>
      <c r="K2" s="808"/>
      <c r="L2" s="808"/>
      <c r="M2" s="808"/>
      <c r="N2" s="808"/>
      <c r="O2" s="808"/>
      <c r="P2" s="808"/>
      <c r="Q2" s="808"/>
      <c r="R2" s="808"/>
      <c r="S2" s="297"/>
      <c r="T2" s="297"/>
      <c r="U2" s="297"/>
      <c r="V2" s="297"/>
      <c r="W2" s="297"/>
      <c r="X2" s="297"/>
      <c r="Y2" s="297"/>
      <c r="Z2" s="297"/>
      <c r="AA2" s="302" t="s">
        <v>288</v>
      </c>
      <c r="AB2" s="302">
        <v>8.34</v>
      </c>
      <c r="AC2" s="302"/>
      <c r="AD2" s="302">
        <v>2.85</v>
      </c>
      <c r="AE2" s="302"/>
      <c r="AF2" s="302">
        <v>8.3800000000000008</v>
      </c>
      <c r="AG2" s="302"/>
      <c r="AH2" s="302">
        <v>7.49</v>
      </c>
      <c r="AI2" s="302"/>
      <c r="AJ2" s="302">
        <v>3.33</v>
      </c>
      <c r="AK2" s="302"/>
      <c r="AL2" s="302">
        <v>6.64</v>
      </c>
      <c r="AM2" s="302"/>
      <c r="AN2" s="302">
        <v>3.67</v>
      </c>
      <c r="AO2" s="302"/>
      <c r="AP2" s="302">
        <v>5.0599999999999996</v>
      </c>
      <c r="AQ2" s="302"/>
      <c r="AR2" s="302">
        <v>5.94</v>
      </c>
      <c r="AS2" s="302"/>
      <c r="AT2" s="302">
        <v>6.85</v>
      </c>
      <c r="AU2" s="302"/>
      <c r="AV2" s="302">
        <v>7.45</v>
      </c>
      <c r="AW2" s="302"/>
      <c r="AX2" s="302">
        <v>5.13</v>
      </c>
      <c r="AY2" s="302"/>
      <c r="AZ2" s="302">
        <v>4.8600000000000003</v>
      </c>
      <c r="BA2" s="302"/>
      <c r="BB2" s="302">
        <v>5.79</v>
      </c>
      <c r="BC2" s="302"/>
      <c r="BD2" s="302">
        <v>5.3</v>
      </c>
      <c r="BE2" s="302"/>
      <c r="BF2" s="302">
        <v>3.47</v>
      </c>
      <c r="BG2" s="302"/>
      <c r="BH2" s="302">
        <v>9.42</v>
      </c>
      <c r="BI2" s="302"/>
      <c r="BJ2" s="302"/>
      <c r="BK2" s="302"/>
      <c r="BL2" s="302"/>
    </row>
    <row r="3" spans="1:75" x14ac:dyDescent="0.2">
      <c r="A3" s="807" t="s">
        <v>156</v>
      </c>
      <c r="B3" s="807"/>
      <c r="C3" s="570"/>
      <c r="D3" s="808" t="s">
        <v>950</v>
      </c>
      <c r="E3" s="808"/>
      <c r="F3" s="808"/>
      <c r="G3" s="808"/>
      <c r="H3" s="808"/>
      <c r="I3" s="808"/>
      <c r="J3" s="808"/>
      <c r="K3" s="808"/>
      <c r="L3" s="808"/>
      <c r="M3" s="808"/>
      <c r="N3" s="808"/>
      <c r="O3" s="808"/>
      <c r="P3" s="808"/>
      <c r="Q3" s="808"/>
      <c r="R3" s="808"/>
      <c r="S3" s="297"/>
      <c r="T3" s="297"/>
      <c r="U3" s="297"/>
      <c r="V3" s="297"/>
      <c r="W3" s="297"/>
      <c r="X3" s="297"/>
      <c r="Y3" s="297"/>
      <c r="Z3" s="297"/>
      <c r="AA3" s="302" t="s">
        <v>286</v>
      </c>
      <c r="AB3" s="302">
        <v>48</v>
      </c>
      <c r="AC3" s="302"/>
      <c r="AD3" s="302">
        <v>23</v>
      </c>
      <c r="AE3" s="302"/>
      <c r="AF3" s="302">
        <v>80</v>
      </c>
      <c r="AG3" s="302"/>
      <c r="AH3" s="302">
        <v>105</v>
      </c>
      <c r="AI3" s="302"/>
      <c r="AJ3" s="302">
        <v>43</v>
      </c>
      <c r="AK3" s="302"/>
      <c r="AL3" s="302">
        <v>75</v>
      </c>
      <c r="AM3" s="302"/>
      <c r="AN3" s="302">
        <v>41</v>
      </c>
      <c r="AO3" s="302"/>
      <c r="AP3" s="302">
        <v>101</v>
      </c>
      <c r="AQ3" s="302"/>
      <c r="AR3" s="302">
        <v>8</v>
      </c>
      <c r="AS3" s="302"/>
      <c r="AT3" s="302">
        <v>33</v>
      </c>
      <c r="AU3" s="302"/>
      <c r="AV3" s="302">
        <v>53</v>
      </c>
      <c r="AW3" s="302"/>
      <c r="AX3" s="302">
        <v>52</v>
      </c>
      <c r="AY3" s="302"/>
      <c r="AZ3" s="302">
        <v>76</v>
      </c>
      <c r="BA3" s="302"/>
      <c r="BB3" s="302">
        <v>82</v>
      </c>
      <c r="BC3" s="302"/>
      <c r="BD3" s="302">
        <v>104</v>
      </c>
      <c r="BE3" s="302"/>
      <c r="BF3" s="302">
        <v>147</v>
      </c>
      <c r="BG3" s="302"/>
      <c r="BH3" s="302">
        <v>54</v>
      </c>
      <c r="BI3" s="302"/>
      <c r="BJ3" s="302"/>
      <c r="BK3" s="302"/>
      <c r="BL3" s="302"/>
    </row>
    <row r="4" spans="1:75" x14ac:dyDescent="0.2">
      <c r="A4" s="807" t="s">
        <v>169</v>
      </c>
      <c r="B4" s="807"/>
      <c r="C4" s="570"/>
      <c r="D4" s="808" t="s">
        <v>89</v>
      </c>
      <c r="E4" s="808"/>
      <c r="F4" s="808"/>
      <c r="G4" s="808"/>
      <c r="H4" s="808"/>
      <c r="I4" s="808"/>
      <c r="J4" s="808"/>
      <c r="K4" s="808"/>
      <c r="L4" s="808"/>
      <c r="M4" s="808"/>
      <c r="N4" s="808"/>
      <c r="O4" s="808"/>
      <c r="P4" s="808"/>
      <c r="Q4" s="808"/>
      <c r="R4" s="808"/>
      <c r="S4" s="297"/>
      <c r="T4" s="297"/>
      <c r="U4" s="297"/>
      <c r="V4" s="297"/>
      <c r="W4" s="297"/>
      <c r="X4" s="297"/>
      <c r="Y4" s="297"/>
      <c r="Z4" s="297"/>
      <c r="AA4" s="302" t="s">
        <v>287</v>
      </c>
      <c r="AB4" s="303">
        <f>AB3/1125*100</f>
        <v>4.2666666666666666</v>
      </c>
      <c r="AC4" s="303">
        <f t="shared" ref="AC4:BH4" si="0">AC3/1125*100</f>
        <v>0</v>
      </c>
      <c r="AD4" s="303">
        <f t="shared" si="0"/>
        <v>2.0444444444444447</v>
      </c>
      <c r="AE4" s="303">
        <f t="shared" si="0"/>
        <v>0</v>
      </c>
      <c r="AF4" s="303">
        <f t="shared" si="0"/>
        <v>7.1111111111111107</v>
      </c>
      <c r="AG4" s="303">
        <f t="shared" si="0"/>
        <v>0</v>
      </c>
      <c r="AH4" s="303">
        <f t="shared" si="0"/>
        <v>9.3333333333333339</v>
      </c>
      <c r="AI4" s="303">
        <f t="shared" si="0"/>
        <v>0</v>
      </c>
      <c r="AJ4" s="303">
        <f t="shared" si="0"/>
        <v>3.822222222222222</v>
      </c>
      <c r="AK4" s="303">
        <f t="shared" si="0"/>
        <v>0</v>
      </c>
      <c r="AL4" s="303">
        <f t="shared" si="0"/>
        <v>6.666666666666667</v>
      </c>
      <c r="AM4" s="303">
        <f t="shared" si="0"/>
        <v>0</v>
      </c>
      <c r="AN4" s="303">
        <f t="shared" si="0"/>
        <v>3.6444444444444448</v>
      </c>
      <c r="AO4" s="303">
        <f t="shared" si="0"/>
        <v>0</v>
      </c>
      <c r="AP4" s="303">
        <f t="shared" si="0"/>
        <v>8.9777777777777779</v>
      </c>
      <c r="AQ4" s="303">
        <f t="shared" si="0"/>
        <v>0</v>
      </c>
      <c r="AR4" s="303">
        <f t="shared" si="0"/>
        <v>0.71111111111111114</v>
      </c>
      <c r="AS4" s="303">
        <f t="shared" si="0"/>
        <v>0</v>
      </c>
      <c r="AT4" s="303">
        <f t="shared" si="0"/>
        <v>2.9333333333333331</v>
      </c>
      <c r="AU4" s="303">
        <f t="shared" si="0"/>
        <v>0</v>
      </c>
      <c r="AV4" s="303">
        <f t="shared" si="0"/>
        <v>4.7111111111111112</v>
      </c>
      <c r="AW4" s="303">
        <f t="shared" si="0"/>
        <v>0</v>
      </c>
      <c r="AX4" s="303">
        <f t="shared" si="0"/>
        <v>4.6222222222222218</v>
      </c>
      <c r="AY4" s="303">
        <f t="shared" si="0"/>
        <v>0</v>
      </c>
      <c r="AZ4" s="303">
        <f t="shared" si="0"/>
        <v>6.7555555555555546</v>
      </c>
      <c r="BA4" s="303">
        <f t="shared" si="0"/>
        <v>0</v>
      </c>
      <c r="BB4" s="303">
        <f t="shared" si="0"/>
        <v>7.2888888888888896</v>
      </c>
      <c r="BC4" s="303">
        <f t="shared" si="0"/>
        <v>0</v>
      </c>
      <c r="BD4" s="303">
        <f t="shared" si="0"/>
        <v>9.2444444444444436</v>
      </c>
      <c r="BE4" s="303">
        <f t="shared" si="0"/>
        <v>0</v>
      </c>
      <c r="BF4" s="303">
        <f t="shared" si="0"/>
        <v>13.066666666666665</v>
      </c>
      <c r="BG4" s="303">
        <f t="shared" si="0"/>
        <v>0</v>
      </c>
      <c r="BH4" s="303">
        <f t="shared" si="0"/>
        <v>4.8</v>
      </c>
      <c r="BI4" s="302"/>
      <c r="BJ4" s="302"/>
      <c r="BK4" s="302"/>
      <c r="BL4" s="302"/>
    </row>
    <row r="5" spans="1:75" x14ac:dyDescent="0.2">
      <c r="A5" s="807" t="s">
        <v>171</v>
      </c>
      <c r="B5" s="807"/>
      <c r="C5" s="570"/>
      <c r="D5" s="808" t="s">
        <v>170</v>
      </c>
      <c r="E5" s="808"/>
      <c r="F5" s="808"/>
      <c r="G5" s="808"/>
      <c r="H5" s="808"/>
      <c r="I5" s="808"/>
      <c r="J5" s="808"/>
      <c r="K5" s="808"/>
      <c r="L5" s="808"/>
      <c r="M5" s="808"/>
      <c r="N5" s="808"/>
      <c r="O5" s="808"/>
      <c r="P5" s="808"/>
      <c r="Q5" s="808"/>
      <c r="R5" s="808"/>
      <c r="S5" s="297"/>
      <c r="T5" s="297"/>
      <c r="U5" s="297"/>
      <c r="V5" s="297"/>
      <c r="W5" s="297"/>
      <c r="X5" s="297"/>
      <c r="Y5" s="297"/>
      <c r="Z5" s="297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</row>
    <row r="6" spans="1:75" ht="21" customHeight="1" x14ac:dyDescent="0.25">
      <c r="A6" s="809"/>
      <c r="B6" s="810"/>
      <c r="C6" s="810"/>
      <c r="D6" s="810"/>
      <c r="E6" s="811"/>
      <c r="F6" s="572"/>
      <c r="G6" s="809" t="s">
        <v>21</v>
      </c>
      <c r="H6" s="811"/>
      <c r="I6" s="812" t="s">
        <v>152</v>
      </c>
      <c r="J6" s="813"/>
      <c r="K6" s="813"/>
      <c r="L6" s="813"/>
      <c r="M6" s="813"/>
      <c r="N6" s="813"/>
      <c r="O6" s="813"/>
      <c r="P6" s="813"/>
      <c r="Q6" s="813"/>
      <c r="R6" s="814"/>
      <c r="S6" s="795" t="s">
        <v>60</v>
      </c>
      <c r="T6" s="796"/>
      <c r="U6" s="796"/>
      <c r="V6" s="797"/>
      <c r="W6" s="801" t="s">
        <v>6</v>
      </c>
      <c r="X6" s="802"/>
      <c r="Y6" s="802"/>
      <c r="Z6" s="803"/>
      <c r="AA6" s="788" t="s">
        <v>180</v>
      </c>
      <c r="AB6" s="788"/>
      <c r="AC6" s="788" t="s">
        <v>181</v>
      </c>
      <c r="AD6" s="788"/>
      <c r="AE6" s="788" t="s">
        <v>182</v>
      </c>
      <c r="AF6" s="788"/>
      <c r="AG6" s="788" t="s">
        <v>183</v>
      </c>
      <c r="AH6" s="788"/>
      <c r="AI6" s="788" t="s">
        <v>184</v>
      </c>
      <c r="AJ6" s="788"/>
      <c r="AK6" s="788" t="s">
        <v>185</v>
      </c>
      <c r="AL6" s="788"/>
      <c r="AM6" s="788" t="s">
        <v>186</v>
      </c>
      <c r="AN6" s="788"/>
      <c r="AO6" s="788" t="s">
        <v>187</v>
      </c>
      <c r="AP6" s="788"/>
      <c r="AQ6" s="788" t="s">
        <v>188</v>
      </c>
      <c r="AR6" s="788"/>
      <c r="AS6" s="788" t="s">
        <v>189</v>
      </c>
      <c r="AT6" s="788"/>
      <c r="AU6" s="788" t="s">
        <v>190</v>
      </c>
      <c r="AV6" s="788"/>
      <c r="AW6" s="788" t="s">
        <v>191</v>
      </c>
      <c r="AX6" s="788"/>
      <c r="AY6" s="788" t="s">
        <v>192</v>
      </c>
      <c r="AZ6" s="788"/>
      <c r="BA6" s="788" t="s">
        <v>193</v>
      </c>
      <c r="BB6" s="788"/>
      <c r="BC6" s="788" t="s">
        <v>194</v>
      </c>
      <c r="BD6" s="788"/>
      <c r="BE6" s="788" t="s">
        <v>195</v>
      </c>
      <c r="BF6" s="788"/>
      <c r="BG6" s="788" t="s">
        <v>196</v>
      </c>
      <c r="BH6" s="788"/>
      <c r="BI6" s="788" t="s">
        <v>197</v>
      </c>
      <c r="BJ6" s="788"/>
      <c r="BK6" s="788" t="s">
        <v>17</v>
      </c>
      <c r="BL6" s="788"/>
      <c r="BM6" s="304"/>
    </row>
    <row r="7" spans="1:75" x14ac:dyDescent="0.2">
      <c r="A7" s="789" t="s">
        <v>13</v>
      </c>
      <c r="B7" s="786" t="s">
        <v>56</v>
      </c>
      <c r="C7" s="567"/>
      <c r="D7" s="789" t="s">
        <v>12</v>
      </c>
      <c r="E7" s="789" t="s">
        <v>14</v>
      </c>
      <c r="F7" s="786" t="s">
        <v>35</v>
      </c>
      <c r="G7" s="786" t="s">
        <v>23</v>
      </c>
      <c r="H7" s="793" t="s">
        <v>208</v>
      </c>
      <c r="I7" s="305" t="s">
        <v>200</v>
      </c>
      <c r="J7" s="305" t="s">
        <v>201</v>
      </c>
      <c r="K7" s="305" t="s">
        <v>202</v>
      </c>
      <c r="L7" s="305" t="s">
        <v>203</v>
      </c>
      <c r="M7" s="305" t="s">
        <v>204</v>
      </c>
      <c r="N7" s="305" t="s">
        <v>205</v>
      </c>
      <c r="O7" s="306" t="s">
        <v>919</v>
      </c>
      <c r="P7" s="305" t="s">
        <v>206</v>
      </c>
      <c r="Q7" s="305" t="s">
        <v>207</v>
      </c>
      <c r="R7" s="305" t="s">
        <v>768</v>
      </c>
      <c r="S7" s="798"/>
      <c r="T7" s="799"/>
      <c r="U7" s="799"/>
      <c r="V7" s="800"/>
      <c r="W7" s="804"/>
      <c r="X7" s="805"/>
      <c r="Y7" s="805"/>
      <c r="Z7" s="806"/>
      <c r="AA7" s="788"/>
      <c r="AB7" s="788"/>
      <c r="AC7" s="788" t="s">
        <v>43</v>
      </c>
      <c r="AD7" s="788"/>
      <c r="AE7" s="788" t="s">
        <v>44</v>
      </c>
      <c r="AF7" s="788"/>
      <c r="AG7" s="788" t="s">
        <v>45</v>
      </c>
      <c r="AH7" s="788"/>
      <c r="AI7" s="788" t="s">
        <v>46</v>
      </c>
      <c r="AJ7" s="788"/>
      <c r="AK7" s="788" t="s">
        <v>47</v>
      </c>
      <c r="AL7" s="788"/>
      <c r="AM7" s="788" t="s">
        <v>48</v>
      </c>
      <c r="AN7" s="788"/>
      <c r="AO7" s="788" t="s">
        <v>49</v>
      </c>
      <c r="AP7" s="788"/>
      <c r="AQ7" s="788" t="s">
        <v>50</v>
      </c>
      <c r="AR7" s="788"/>
      <c r="AS7" s="788" t="s">
        <v>51</v>
      </c>
      <c r="AT7" s="788"/>
      <c r="AU7" s="788" t="s">
        <v>52</v>
      </c>
      <c r="AV7" s="788"/>
      <c r="AW7" s="788" t="s">
        <v>53</v>
      </c>
      <c r="AX7" s="788"/>
      <c r="AY7" s="788" t="s">
        <v>54</v>
      </c>
      <c r="AZ7" s="788"/>
      <c r="BA7" s="788" t="s">
        <v>55</v>
      </c>
      <c r="BB7" s="788"/>
      <c r="BC7" s="788" t="s">
        <v>40</v>
      </c>
      <c r="BD7" s="788"/>
      <c r="BE7" s="788" t="s">
        <v>37</v>
      </c>
      <c r="BF7" s="788"/>
      <c r="BG7" s="788"/>
      <c r="BH7" s="788"/>
      <c r="BI7" s="788"/>
      <c r="BJ7" s="788"/>
      <c r="BK7" s="788"/>
      <c r="BL7" s="788"/>
      <c r="BM7" s="307"/>
      <c r="BO7" s="792" t="s">
        <v>228</v>
      </c>
      <c r="BP7" s="792"/>
      <c r="BQ7" s="792"/>
      <c r="BR7" s="792"/>
      <c r="BS7" s="792"/>
      <c r="BT7" s="792" t="s">
        <v>229</v>
      </c>
      <c r="BU7" s="792"/>
      <c r="BV7" s="792"/>
      <c r="BW7" s="785" t="s">
        <v>17</v>
      </c>
    </row>
    <row r="8" spans="1:75" ht="38.25" x14ac:dyDescent="0.2">
      <c r="A8" s="790"/>
      <c r="B8" s="791"/>
      <c r="C8" s="568" t="s">
        <v>20</v>
      </c>
      <c r="D8" s="790"/>
      <c r="E8" s="790"/>
      <c r="F8" s="791"/>
      <c r="G8" s="791"/>
      <c r="H8" s="794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9" t="s">
        <v>7</v>
      </c>
      <c r="T8" s="309" t="s">
        <v>8</v>
      </c>
      <c r="U8" s="309" t="s">
        <v>9</v>
      </c>
      <c r="V8" s="309" t="s">
        <v>10</v>
      </c>
      <c r="W8" s="309" t="s">
        <v>7</v>
      </c>
      <c r="X8" s="309" t="s">
        <v>8</v>
      </c>
      <c r="Y8" s="309" t="s">
        <v>9</v>
      </c>
      <c r="Z8" s="309" t="s">
        <v>10</v>
      </c>
      <c r="AA8" s="310" t="s">
        <v>14</v>
      </c>
      <c r="AB8" s="311" t="s">
        <v>15</v>
      </c>
      <c r="AC8" s="310" t="s">
        <v>14</v>
      </c>
      <c r="AD8" s="310" t="s">
        <v>15</v>
      </c>
      <c r="AE8" s="310" t="s">
        <v>14</v>
      </c>
      <c r="AF8" s="310" t="s">
        <v>15</v>
      </c>
      <c r="AG8" s="310" t="s">
        <v>14</v>
      </c>
      <c r="AH8" s="310" t="s">
        <v>15</v>
      </c>
      <c r="AI8" s="310" t="s">
        <v>14</v>
      </c>
      <c r="AJ8" s="310" t="s">
        <v>15</v>
      </c>
      <c r="AK8" s="310" t="s">
        <v>14</v>
      </c>
      <c r="AL8" s="310" t="s">
        <v>15</v>
      </c>
      <c r="AM8" s="310" t="s">
        <v>14</v>
      </c>
      <c r="AN8" s="310" t="s">
        <v>15</v>
      </c>
      <c r="AO8" s="310" t="s">
        <v>14</v>
      </c>
      <c r="AP8" s="310" t="s">
        <v>15</v>
      </c>
      <c r="AQ8" s="310" t="s">
        <v>14</v>
      </c>
      <c r="AR8" s="310" t="s">
        <v>15</v>
      </c>
      <c r="AS8" s="310" t="s">
        <v>14</v>
      </c>
      <c r="AT8" s="310" t="s">
        <v>15</v>
      </c>
      <c r="AU8" s="310" t="s">
        <v>14</v>
      </c>
      <c r="AV8" s="310" t="s">
        <v>15</v>
      </c>
      <c r="AW8" s="310" t="s">
        <v>14</v>
      </c>
      <c r="AX8" s="310" t="s">
        <v>15</v>
      </c>
      <c r="AY8" s="312" t="s">
        <v>14</v>
      </c>
      <c r="AZ8" s="310" t="s">
        <v>15</v>
      </c>
      <c r="BA8" s="312" t="s">
        <v>14</v>
      </c>
      <c r="BB8" s="310" t="s">
        <v>15</v>
      </c>
      <c r="BC8" s="310" t="s">
        <v>14</v>
      </c>
      <c r="BD8" s="310" t="s">
        <v>15</v>
      </c>
      <c r="BE8" s="310" t="s">
        <v>14</v>
      </c>
      <c r="BF8" s="310" t="s">
        <v>15</v>
      </c>
      <c r="BG8" s="310" t="s">
        <v>14</v>
      </c>
      <c r="BH8" s="310" t="s">
        <v>15</v>
      </c>
      <c r="BI8" s="310" t="s">
        <v>14</v>
      </c>
      <c r="BJ8" s="310" t="s">
        <v>15</v>
      </c>
      <c r="BK8" s="310" t="s">
        <v>14</v>
      </c>
      <c r="BL8" s="310" t="s">
        <v>15</v>
      </c>
      <c r="BM8" s="307"/>
      <c r="BO8" s="313" t="s">
        <v>219</v>
      </c>
      <c r="BP8" s="314" t="s">
        <v>220</v>
      </c>
      <c r="BQ8" s="314" t="s">
        <v>221</v>
      </c>
      <c r="BR8" s="569" t="s">
        <v>222</v>
      </c>
      <c r="BS8" s="314" t="s">
        <v>223</v>
      </c>
      <c r="BT8" s="314" t="s">
        <v>224</v>
      </c>
      <c r="BU8" s="314" t="s">
        <v>225</v>
      </c>
      <c r="BV8" s="314" t="s">
        <v>226</v>
      </c>
      <c r="BW8" s="785"/>
    </row>
    <row r="9" spans="1:75" ht="21" customHeight="1" x14ac:dyDescent="0.2">
      <c r="A9" s="786" t="s">
        <v>89</v>
      </c>
      <c r="B9" s="315">
        <v>23000</v>
      </c>
      <c r="C9" s="315"/>
      <c r="D9" s="316" t="s">
        <v>316</v>
      </c>
      <c r="E9" s="317"/>
      <c r="F9" s="317"/>
      <c r="G9" s="318"/>
      <c r="H9" s="319"/>
      <c r="I9" s="319"/>
      <c r="J9" s="319"/>
      <c r="K9" s="319"/>
      <c r="L9" s="319"/>
      <c r="M9" s="319"/>
      <c r="N9" s="319"/>
      <c r="O9" s="319"/>
      <c r="P9" s="312"/>
      <c r="Q9" s="312"/>
      <c r="R9" s="312"/>
      <c r="S9" s="309"/>
      <c r="T9" s="309"/>
      <c r="U9" s="309"/>
      <c r="V9" s="309"/>
      <c r="W9" s="309"/>
      <c r="X9" s="309"/>
      <c r="Y9" s="309"/>
      <c r="Z9" s="309"/>
      <c r="AA9" s="310"/>
      <c r="AB9" s="311"/>
      <c r="AC9" s="310"/>
      <c r="AD9" s="311"/>
      <c r="AE9" s="310"/>
      <c r="AF9" s="311"/>
      <c r="AG9" s="310"/>
      <c r="AH9" s="311"/>
      <c r="AI9" s="310"/>
      <c r="AJ9" s="311"/>
      <c r="AK9" s="310"/>
      <c r="AL9" s="311"/>
      <c r="AM9" s="310"/>
      <c r="AN9" s="311"/>
      <c r="AO9" s="310"/>
      <c r="AP9" s="311"/>
      <c r="AQ9" s="310"/>
      <c r="AR9" s="311"/>
      <c r="AS9" s="310"/>
      <c r="AT9" s="311"/>
      <c r="AU9" s="310"/>
      <c r="AV9" s="311"/>
      <c r="AW9" s="310"/>
      <c r="AX9" s="311"/>
      <c r="AY9" s="312"/>
      <c r="AZ9" s="311"/>
      <c r="BA9" s="312"/>
      <c r="BB9" s="311"/>
      <c r="BC9" s="310"/>
      <c r="BD9" s="311"/>
      <c r="BE9" s="310"/>
      <c r="BF9" s="311"/>
      <c r="BG9" s="310"/>
      <c r="BH9" s="311"/>
      <c r="BI9" s="310"/>
      <c r="BJ9" s="311"/>
      <c r="BK9" s="310"/>
      <c r="BL9" s="311"/>
      <c r="BM9" s="317"/>
      <c r="BO9" s="318"/>
      <c r="BP9" s="318"/>
      <c r="BQ9" s="318"/>
      <c r="BR9" s="318"/>
      <c r="BS9" s="318"/>
      <c r="BT9" s="318"/>
      <c r="BU9" s="318"/>
      <c r="BV9" s="318"/>
      <c r="BW9" s="318"/>
    </row>
    <row r="10" spans="1:75" x14ac:dyDescent="0.2">
      <c r="A10" s="787"/>
      <c r="B10" s="304">
        <v>23100</v>
      </c>
      <c r="C10" s="304"/>
      <c r="D10" s="316" t="s">
        <v>676</v>
      </c>
      <c r="E10" s="317"/>
      <c r="F10" s="317"/>
      <c r="G10" s="318"/>
      <c r="H10" s="319"/>
      <c r="I10" s="319"/>
      <c r="J10" s="319"/>
      <c r="K10" s="319"/>
      <c r="L10" s="319"/>
      <c r="M10" s="319"/>
      <c r="N10" s="319"/>
      <c r="O10" s="319"/>
      <c r="P10" s="312"/>
      <c r="Q10" s="312"/>
      <c r="R10" s="312"/>
      <c r="S10" s="320"/>
      <c r="T10" s="320"/>
      <c r="U10" s="320"/>
      <c r="V10" s="320"/>
      <c r="W10" s="320"/>
      <c r="X10" s="320"/>
      <c r="Y10" s="320"/>
      <c r="Z10" s="320"/>
      <c r="AA10" s="310"/>
      <c r="AB10" s="311"/>
      <c r="AC10" s="310"/>
      <c r="AD10" s="311"/>
      <c r="AE10" s="310"/>
      <c r="AF10" s="311"/>
      <c r="AG10" s="310"/>
      <c r="AH10" s="311"/>
      <c r="AI10" s="310"/>
      <c r="AJ10" s="311"/>
      <c r="AK10" s="310"/>
      <c r="AL10" s="311"/>
      <c r="AM10" s="310"/>
      <c r="AN10" s="311"/>
      <c r="AO10" s="310"/>
      <c r="AP10" s="311"/>
      <c r="AQ10" s="310"/>
      <c r="AR10" s="311"/>
      <c r="AS10" s="310"/>
      <c r="AT10" s="311"/>
      <c r="AU10" s="310"/>
      <c r="AV10" s="311"/>
      <c r="AW10" s="310"/>
      <c r="AX10" s="311"/>
      <c r="AY10" s="312"/>
      <c r="AZ10" s="311"/>
      <c r="BA10" s="312"/>
      <c r="BB10" s="311"/>
      <c r="BC10" s="310"/>
      <c r="BD10" s="311"/>
      <c r="BE10" s="310"/>
      <c r="BF10" s="311"/>
      <c r="BG10" s="310"/>
      <c r="BH10" s="311"/>
      <c r="BI10" s="310"/>
      <c r="BJ10" s="311"/>
      <c r="BK10" s="310"/>
      <c r="BL10" s="311"/>
      <c r="BM10" s="317"/>
      <c r="BO10" s="321"/>
      <c r="BP10" s="321"/>
      <c r="BQ10" s="321"/>
      <c r="BR10" s="321"/>
      <c r="BS10" s="321"/>
      <c r="BT10" s="321"/>
      <c r="BU10" s="321"/>
      <c r="BV10" s="321"/>
      <c r="BW10" s="322">
        <f>BS10+BV10</f>
        <v>0</v>
      </c>
    </row>
    <row r="11" spans="1:75" s="332" customFormat="1" ht="31.5" customHeight="1" x14ac:dyDescent="0.25">
      <c r="A11" s="787"/>
      <c r="B11" s="323"/>
      <c r="C11" s="328" t="s">
        <v>852</v>
      </c>
      <c r="D11" s="612" t="s">
        <v>997</v>
      </c>
      <c r="E11" s="324" t="s">
        <v>16</v>
      </c>
      <c r="F11" s="324">
        <v>10000</v>
      </c>
      <c r="G11" s="325">
        <f>BK11</f>
        <v>180</v>
      </c>
      <c r="H11" s="326">
        <f>F11*G11</f>
        <v>1800000</v>
      </c>
      <c r="I11" s="326">
        <f>H11*0.2</f>
        <v>360000</v>
      </c>
      <c r="J11" s="326">
        <f>H11*0.8</f>
        <v>1440000</v>
      </c>
      <c r="K11" s="326"/>
      <c r="L11" s="326"/>
      <c r="M11" s="326"/>
      <c r="N11" s="326"/>
      <c r="O11" s="326"/>
      <c r="P11" s="327"/>
      <c r="Q11" s="327"/>
      <c r="R11" s="327"/>
      <c r="S11" s="328">
        <f>G11*0.25</f>
        <v>45</v>
      </c>
      <c r="T11" s="329">
        <f>G11*0.25</f>
        <v>45</v>
      </c>
      <c r="U11" s="328">
        <f>G11*0.25</f>
        <v>45</v>
      </c>
      <c r="V11" s="328">
        <f>G11*0.25</f>
        <v>45</v>
      </c>
      <c r="W11" s="330">
        <f>S11*F11</f>
        <v>450000</v>
      </c>
      <c r="X11" s="330">
        <f>T11*F11</f>
        <v>450000</v>
      </c>
      <c r="Y11" s="330">
        <f>U11*F11</f>
        <v>450000</v>
      </c>
      <c r="Z11" s="330">
        <f>V11*F11</f>
        <v>450000</v>
      </c>
      <c r="AA11" s="328">
        <v>8</v>
      </c>
      <c r="AB11" s="327">
        <f t="shared" ref="AB11:AB45" si="1">AA11*F11</f>
        <v>80000</v>
      </c>
      <c r="AC11" s="328">
        <v>6</v>
      </c>
      <c r="AD11" s="327">
        <f t="shared" ref="AD11:AD55" si="2">AC11*F11</f>
        <v>60000</v>
      </c>
      <c r="AE11" s="328">
        <v>8</v>
      </c>
      <c r="AF11" s="327">
        <f t="shared" ref="AF11:AF55" si="3">AE11*F11</f>
        <v>80000</v>
      </c>
      <c r="AG11" s="328">
        <v>10</v>
      </c>
      <c r="AH11" s="327">
        <f t="shared" ref="AH11:AH63" si="4">AG11*F11</f>
        <v>100000</v>
      </c>
      <c r="AI11" s="328">
        <v>4</v>
      </c>
      <c r="AJ11" s="327">
        <f t="shared" ref="AJ11:AJ55" si="5">AI11*F11</f>
        <v>40000</v>
      </c>
      <c r="AK11" s="328">
        <v>8</v>
      </c>
      <c r="AL11" s="327">
        <f t="shared" ref="AL11:AL55" si="6">AK11*F11</f>
        <v>80000</v>
      </c>
      <c r="AM11" s="328">
        <v>10</v>
      </c>
      <c r="AN11" s="327">
        <f>AM11*F11</f>
        <v>100000</v>
      </c>
      <c r="AO11" s="328">
        <v>16</v>
      </c>
      <c r="AP11" s="327">
        <f t="shared" ref="AP11:AP63" si="7">AO11*F11</f>
        <v>160000</v>
      </c>
      <c r="AQ11" s="328">
        <v>4</v>
      </c>
      <c r="AR11" s="327">
        <f>AQ11*F11</f>
        <v>40000</v>
      </c>
      <c r="AS11" s="328">
        <v>6</v>
      </c>
      <c r="AT11" s="327">
        <f>AS11*F11</f>
        <v>60000</v>
      </c>
      <c r="AU11" s="328">
        <v>12</v>
      </c>
      <c r="AV11" s="327">
        <f t="shared" ref="AV11:AV55" si="8">AU11*F11</f>
        <v>120000</v>
      </c>
      <c r="AW11" s="328">
        <v>10</v>
      </c>
      <c r="AX11" s="327">
        <f t="shared" ref="AX11:AX55" si="9">AW11*F11</f>
        <v>100000</v>
      </c>
      <c r="AY11" s="331">
        <v>18</v>
      </c>
      <c r="AZ11" s="327">
        <f t="shared" ref="AZ11:AZ56" si="10">AY11*F11</f>
        <v>180000</v>
      </c>
      <c r="BA11" s="331">
        <v>18</v>
      </c>
      <c r="BB11" s="327">
        <f>BA11*F11</f>
        <v>180000</v>
      </c>
      <c r="BC11" s="328">
        <v>6</v>
      </c>
      <c r="BD11" s="327">
        <f t="shared" ref="BD11:BD58" si="11">BC11*F11</f>
        <v>60000</v>
      </c>
      <c r="BE11" s="328">
        <v>24</v>
      </c>
      <c r="BF11" s="327">
        <f t="shared" ref="BF11:BF58" si="12">BE11*F11</f>
        <v>240000</v>
      </c>
      <c r="BG11" s="328">
        <v>12</v>
      </c>
      <c r="BH11" s="327">
        <f t="shared" ref="BH11:BH55" si="13">BG11*F11</f>
        <v>120000</v>
      </c>
      <c r="BI11" s="328"/>
      <c r="BJ11" s="327">
        <f t="shared" ref="BJ11:BJ43" si="14">BI11*F11</f>
        <v>0</v>
      </c>
      <c r="BK11" s="325">
        <f t="shared" ref="BK11:BL13" si="15">BI11+BG11+BE11+BC11+BA11+AY11+AW11+AU11+AS11+AQ11+AO11+AM11+AK11+AI11+AG11+AE11+AC11+AA11</f>
        <v>180</v>
      </c>
      <c r="BL11" s="325">
        <f t="shared" si="15"/>
        <v>1800000</v>
      </c>
      <c r="BM11" s="324" t="s">
        <v>210</v>
      </c>
      <c r="BO11" s="333"/>
      <c r="BP11" s="333">
        <f>H11</f>
        <v>1800000</v>
      </c>
      <c r="BQ11" s="333"/>
      <c r="BR11" s="333"/>
      <c r="BS11" s="333">
        <f>BO11+BP11+BQ11+BR11</f>
        <v>1800000</v>
      </c>
      <c r="BT11" s="333"/>
      <c r="BU11" s="333"/>
      <c r="BV11" s="333">
        <f>BT11+BU11</f>
        <v>0</v>
      </c>
      <c r="BW11" s="325">
        <f t="shared" ref="BW11:BW63" si="16">BS11+BV11</f>
        <v>1800000</v>
      </c>
    </row>
    <row r="12" spans="1:75" s="332" customFormat="1" ht="31.5" customHeight="1" x14ac:dyDescent="0.25">
      <c r="A12" s="787"/>
      <c r="B12" s="323"/>
      <c r="C12" s="328" t="s">
        <v>853</v>
      </c>
      <c r="D12" s="612" t="s">
        <v>978</v>
      </c>
      <c r="E12" s="324" t="s">
        <v>977</v>
      </c>
      <c r="F12" s="324">
        <v>150</v>
      </c>
      <c r="G12" s="325">
        <f>BK12</f>
        <v>3608</v>
      </c>
      <c r="H12" s="325">
        <f>BL12</f>
        <v>541200</v>
      </c>
      <c r="I12" s="326">
        <f>H12*0.2</f>
        <v>108240</v>
      </c>
      <c r="J12" s="326">
        <f>H12*0.8</f>
        <v>432960</v>
      </c>
      <c r="K12" s="326"/>
      <c r="L12" s="326"/>
      <c r="M12" s="326"/>
      <c r="N12" s="326"/>
      <c r="O12" s="326"/>
      <c r="P12" s="327"/>
      <c r="Q12" s="327"/>
      <c r="R12" s="327"/>
      <c r="S12" s="328"/>
      <c r="T12" s="329"/>
      <c r="U12" s="328"/>
      <c r="V12" s="328"/>
      <c r="W12" s="330"/>
      <c r="X12" s="330"/>
      <c r="Y12" s="330"/>
      <c r="Z12" s="330"/>
      <c r="AA12" s="328">
        <v>417</v>
      </c>
      <c r="AB12" s="327">
        <f t="shared" si="1"/>
        <v>62550</v>
      </c>
      <c r="AC12" s="328">
        <v>24</v>
      </c>
      <c r="AD12" s="327">
        <f t="shared" si="2"/>
        <v>3600</v>
      </c>
      <c r="AE12" s="328">
        <v>406</v>
      </c>
      <c r="AF12" s="327">
        <f t="shared" si="3"/>
        <v>60900</v>
      </c>
      <c r="AG12" s="328">
        <v>395</v>
      </c>
      <c r="AH12" s="327">
        <f t="shared" si="4"/>
        <v>59250</v>
      </c>
      <c r="AI12" s="328">
        <v>104</v>
      </c>
      <c r="AJ12" s="327">
        <f t="shared" si="5"/>
        <v>15600</v>
      </c>
      <c r="AK12" s="328">
        <v>27</v>
      </c>
      <c r="AL12" s="327">
        <f t="shared" si="6"/>
        <v>4050</v>
      </c>
      <c r="AM12" s="328">
        <v>24</v>
      </c>
      <c r="AN12" s="327">
        <f>AM12*F12</f>
        <v>3600</v>
      </c>
      <c r="AO12" s="328">
        <v>219</v>
      </c>
      <c r="AP12" s="327">
        <f t="shared" si="7"/>
        <v>32850</v>
      </c>
      <c r="AQ12" s="328">
        <v>216</v>
      </c>
      <c r="AR12" s="327">
        <f>AQ12*F12</f>
        <v>32400</v>
      </c>
      <c r="AS12" s="328">
        <v>616</v>
      </c>
      <c r="AT12" s="327">
        <f>AS12*F12</f>
        <v>92400</v>
      </c>
      <c r="AU12" s="328">
        <v>323</v>
      </c>
      <c r="AV12" s="327">
        <f t="shared" si="8"/>
        <v>48450</v>
      </c>
      <c r="AW12" s="328">
        <v>21</v>
      </c>
      <c r="AX12" s="327">
        <f t="shared" si="9"/>
        <v>3150</v>
      </c>
      <c r="AY12" s="331">
        <v>24</v>
      </c>
      <c r="AZ12" s="327">
        <f t="shared" si="10"/>
        <v>3600</v>
      </c>
      <c r="BA12" s="331">
        <v>253</v>
      </c>
      <c r="BB12" s="327">
        <f>BA12*F12</f>
        <v>37950</v>
      </c>
      <c r="BC12" s="328">
        <v>30</v>
      </c>
      <c r="BD12" s="327">
        <f t="shared" si="11"/>
        <v>4500</v>
      </c>
      <c r="BE12" s="328">
        <v>71</v>
      </c>
      <c r="BF12" s="327">
        <f t="shared" si="12"/>
        <v>10650</v>
      </c>
      <c r="BG12" s="328">
        <v>438</v>
      </c>
      <c r="BH12" s="327">
        <f t="shared" si="13"/>
        <v>65700</v>
      </c>
      <c r="BI12" s="328"/>
      <c r="BJ12" s="327"/>
      <c r="BK12" s="325">
        <f t="shared" si="15"/>
        <v>3608</v>
      </c>
      <c r="BL12" s="325">
        <f t="shared" si="15"/>
        <v>541200</v>
      </c>
      <c r="BM12" s="324" t="s">
        <v>210</v>
      </c>
      <c r="BO12" s="333"/>
      <c r="BP12" s="333">
        <f>H12</f>
        <v>541200</v>
      </c>
      <c r="BQ12" s="333"/>
      <c r="BR12" s="333"/>
      <c r="BS12" s="333">
        <f>BO12+BP12+BQ12+BR12</f>
        <v>541200</v>
      </c>
      <c r="BT12" s="333"/>
      <c r="BU12" s="333"/>
      <c r="BV12" s="333"/>
      <c r="BW12" s="325">
        <f t="shared" si="16"/>
        <v>541200</v>
      </c>
    </row>
    <row r="13" spans="1:75" ht="31.5" customHeight="1" x14ac:dyDescent="0.2">
      <c r="A13" s="787"/>
      <c r="B13" s="315"/>
      <c r="C13" s="328" t="s">
        <v>854</v>
      </c>
      <c r="D13" s="335" t="s">
        <v>1008</v>
      </c>
      <c r="E13" s="317" t="s">
        <v>81</v>
      </c>
      <c r="F13" s="336">
        <v>1500</v>
      </c>
      <c r="G13" s="325">
        <f>BK13</f>
        <v>180</v>
      </c>
      <c r="H13" s="326">
        <f>BL13</f>
        <v>255000</v>
      </c>
      <c r="I13" s="337">
        <f>H13*0.2</f>
        <v>51000</v>
      </c>
      <c r="J13" s="337">
        <f>H13*0.8</f>
        <v>204000</v>
      </c>
      <c r="K13" s="337"/>
      <c r="L13" s="337"/>
      <c r="M13" s="337"/>
      <c r="N13" s="337"/>
      <c r="O13" s="337"/>
      <c r="P13" s="338"/>
      <c r="Q13" s="338"/>
      <c r="R13" s="338"/>
      <c r="S13" s="320">
        <f>G13*0.25</f>
        <v>45</v>
      </c>
      <c r="T13" s="339">
        <f>G13*0.25</f>
        <v>45</v>
      </c>
      <c r="U13" s="340">
        <f>G13*0.25</f>
        <v>45</v>
      </c>
      <c r="V13" s="320">
        <f>G13*0.25</f>
        <v>45</v>
      </c>
      <c r="W13" s="340">
        <f>S13*F13</f>
        <v>67500</v>
      </c>
      <c r="X13" s="340">
        <f>T13*F13</f>
        <v>67500</v>
      </c>
      <c r="Y13" s="340">
        <f>U13*F13</f>
        <v>67500</v>
      </c>
      <c r="Z13" s="340">
        <f>V13*F13</f>
        <v>67500</v>
      </c>
      <c r="AA13" s="318">
        <v>8</v>
      </c>
      <c r="AB13" s="341">
        <f t="shared" si="1"/>
        <v>12000</v>
      </c>
      <c r="AC13" s="318">
        <v>6</v>
      </c>
      <c r="AD13" s="341">
        <f t="shared" si="2"/>
        <v>9000</v>
      </c>
      <c r="AE13" s="318">
        <v>8</v>
      </c>
      <c r="AF13" s="341">
        <f t="shared" si="3"/>
        <v>12000</v>
      </c>
      <c r="AG13" s="318">
        <v>10</v>
      </c>
      <c r="AH13" s="341">
        <f t="shared" si="4"/>
        <v>15000</v>
      </c>
      <c r="AI13" s="318">
        <v>4</v>
      </c>
      <c r="AJ13" s="341">
        <f t="shared" si="5"/>
        <v>6000</v>
      </c>
      <c r="AK13" s="318">
        <v>8</v>
      </c>
      <c r="AL13" s="341">
        <f t="shared" si="6"/>
        <v>12000</v>
      </c>
      <c r="AM13" s="318">
        <v>10</v>
      </c>
      <c r="AN13" s="341">
        <f>AM13*F13</f>
        <v>15000</v>
      </c>
      <c r="AO13" s="318">
        <v>16</v>
      </c>
      <c r="AP13" s="341">
        <f t="shared" si="7"/>
        <v>24000</v>
      </c>
      <c r="AQ13" s="318">
        <v>4</v>
      </c>
      <c r="AR13" s="327">
        <v>0</v>
      </c>
      <c r="AS13" s="318">
        <v>6</v>
      </c>
      <c r="AT13" s="341">
        <v>0</v>
      </c>
      <c r="AU13" s="318">
        <v>12</v>
      </c>
      <c r="AV13" s="341">
        <f t="shared" si="8"/>
        <v>18000</v>
      </c>
      <c r="AW13" s="318">
        <v>10</v>
      </c>
      <c r="AX13" s="341">
        <f t="shared" si="9"/>
        <v>15000</v>
      </c>
      <c r="AY13" s="294">
        <v>18</v>
      </c>
      <c r="AZ13" s="341">
        <f t="shared" si="10"/>
        <v>27000</v>
      </c>
      <c r="BA13" s="294">
        <v>18</v>
      </c>
      <c r="BB13" s="327">
        <f>BA13*F13</f>
        <v>27000</v>
      </c>
      <c r="BC13" s="318">
        <v>6</v>
      </c>
      <c r="BD13" s="341">
        <f t="shared" si="11"/>
        <v>9000</v>
      </c>
      <c r="BE13" s="318">
        <v>24</v>
      </c>
      <c r="BF13" s="341">
        <f t="shared" si="12"/>
        <v>36000</v>
      </c>
      <c r="BG13" s="318">
        <v>12</v>
      </c>
      <c r="BH13" s="341">
        <f t="shared" si="13"/>
        <v>18000</v>
      </c>
      <c r="BI13" s="318">
        <v>0</v>
      </c>
      <c r="BJ13" s="341">
        <f t="shared" si="14"/>
        <v>0</v>
      </c>
      <c r="BK13" s="322">
        <f t="shared" si="15"/>
        <v>180</v>
      </c>
      <c r="BL13" s="322">
        <f t="shared" si="15"/>
        <v>255000</v>
      </c>
      <c r="BM13" s="317" t="s">
        <v>210</v>
      </c>
      <c r="BO13" s="321"/>
      <c r="BP13" s="321">
        <f>H13</f>
        <v>255000</v>
      </c>
      <c r="BQ13" s="321"/>
      <c r="BR13" s="321"/>
      <c r="BS13" s="321">
        <f>BO13+BP13+BQ13+BR13</f>
        <v>255000</v>
      </c>
      <c r="BT13" s="321"/>
      <c r="BU13" s="321"/>
      <c r="BV13" s="321">
        <f>BT13+BU13</f>
        <v>0</v>
      </c>
      <c r="BW13" s="322">
        <f t="shared" si="16"/>
        <v>255000</v>
      </c>
    </row>
    <row r="14" spans="1:75" s="297" customFormat="1" x14ac:dyDescent="0.2">
      <c r="A14" s="787"/>
      <c r="B14" s="312"/>
      <c r="C14" s="312"/>
      <c r="D14" s="316" t="s">
        <v>416</v>
      </c>
      <c r="E14" s="317" t="s">
        <v>111</v>
      </c>
      <c r="F14" s="336"/>
      <c r="G14" s="310">
        <f t="shared" ref="G14:AL14" si="17">SUM(G11:G13)</f>
        <v>3968</v>
      </c>
      <c r="H14" s="310">
        <f t="shared" si="17"/>
        <v>2596200</v>
      </c>
      <c r="I14" s="310">
        <f t="shared" si="17"/>
        <v>519240</v>
      </c>
      <c r="J14" s="310">
        <f t="shared" si="17"/>
        <v>2076960</v>
      </c>
      <c r="K14" s="310">
        <f t="shared" si="17"/>
        <v>0</v>
      </c>
      <c r="L14" s="310">
        <f t="shared" si="17"/>
        <v>0</v>
      </c>
      <c r="M14" s="310">
        <f t="shared" si="17"/>
        <v>0</v>
      </c>
      <c r="N14" s="310">
        <f t="shared" si="17"/>
        <v>0</v>
      </c>
      <c r="O14" s="310">
        <f t="shared" si="17"/>
        <v>0</v>
      </c>
      <c r="P14" s="310">
        <f t="shared" si="17"/>
        <v>0</v>
      </c>
      <c r="Q14" s="310">
        <f t="shared" si="17"/>
        <v>0</v>
      </c>
      <c r="R14" s="310">
        <f t="shared" si="17"/>
        <v>0</v>
      </c>
      <c r="S14" s="310">
        <f t="shared" si="17"/>
        <v>90</v>
      </c>
      <c r="T14" s="310">
        <f t="shared" si="17"/>
        <v>90</v>
      </c>
      <c r="U14" s="310">
        <f t="shared" si="17"/>
        <v>90</v>
      </c>
      <c r="V14" s="310">
        <f t="shared" si="17"/>
        <v>90</v>
      </c>
      <c r="W14" s="310">
        <f t="shared" si="17"/>
        <v>517500</v>
      </c>
      <c r="X14" s="310">
        <f t="shared" si="17"/>
        <v>517500</v>
      </c>
      <c r="Y14" s="310">
        <f t="shared" si="17"/>
        <v>517500</v>
      </c>
      <c r="Z14" s="310">
        <f t="shared" si="17"/>
        <v>517500</v>
      </c>
      <c r="AA14" s="310">
        <f t="shared" si="17"/>
        <v>433</v>
      </c>
      <c r="AB14" s="310">
        <f t="shared" si="17"/>
        <v>154550</v>
      </c>
      <c r="AC14" s="310">
        <f t="shared" si="17"/>
        <v>36</v>
      </c>
      <c r="AD14" s="310">
        <f t="shared" si="17"/>
        <v>72600</v>
      </c>
      <c r="AE14" s="310">
        <f t="shared" si="17"/>
        <v>422</v>
      </c>
      <c r="AF14" s="310">
        <f t="shared" si="17"/>
        <v>152900</v>
      </c>
      <c r="AG14" s="310">
        <f t="shared" si="17"/>
        <v>415</v>
      </c>
      <c r="AH14" s="310">
        <f t="shared" si="17"/>
        <v>174250</v>
      </c>
      <c r="AI14" s="310">
        <f t="shared" si="17"/>
        <v>112</v>
      </c>
      <c r="AJ14" s="310">
        <f t="shared" si="17"/>
        <v>61600</v>
      </c>
      <c r="AK14" s="310">
        <f t="shared" si="17"/>
        <v>43</v>
      </c>
      <c r="AL14" s="310">
        <f t="shared" si="17"/>
        <v>96050</v>
      </c>
      <c r="AM14" s="310">
        <f t="shared" ref="AM14:AX14" si="18">SUM(AM11:AM13)</f>
        <v>44</v>
      </c>
      <c r="AN14" s="310">
        <f t="shared" si="18"/>
        <v>118600</v>
      </c>
      <c r="AO14" s="310">
        <f t="shared" si="18"/>
        <v>251</v>
      </c>
      <c r="AP14" s="310">
        <f t="shared" si="18"/>
        <v>216850</v>
      </c>
      <c r="AQ14" s="310">
        <f t="shared" si="18"/>
        <v>224</v>
      </c>
      <c r="AR14" s="310">
        <f t="shared" si="18"/>
        <v>72400</v>
      </c>
      <c r="AS14" s="310">
        <f t="shared" si="18"/>
        <v>628</v>
      </c>
      <c r="AT14" s="310">
        <f t="shared" si="18"/>
        <v>152400</v>
      </c>
      <c r="AU14" s="310">
        <f t="shared" si="18"/>
        <v>347</v>
      </c>
      <c r="AV14" s="310">
        <f t="shared" si="18"/>
        <v>186450</v>
      </c>
      <c r="AW14" s="310">
        <f t="shared" si="18"/>
        <v>41</v>
      </c>
      <c r="AX14" s="310">
        <f t="shared" si="18"/>
        <v>118150</v>
      </c>
      <c r="AY14" s="312">
        <f t="shared" ref="AY14:BR14" si="19">SUM(AY11:AY13)</f>
        <v>60</v>
      </c>
      <c r="AZ14" s="310">
        <f t="shared" si="19"/>
        <v>210600</v>
      </c>
      <c r="BA14" s="312">
        <f t="shared" si="19"/>
        <v>289</v>
      </c>
      <c r="BB14" s="310">
        <f t="shared" si="19"/>
        <v>244950</v>
      </c>
      <c r="BC14" s="310">
        <f t="shared" si="19"/>
        <v>42</v>
      </c>
      <c r="BD14" s="310">
        <f t="shared" si="19"/>
        <v>73500</v>
      </c>
      <c r="BE14" s="310">
        <f t="shared" si="19"/>
        <v>119</v>
      </c>
      <c r="BF14" s="310">
        <f t="shared" si="19"/>
        <v>286650</v>
      </c>
      <c r="BG14" s="310">
        <f t="shared" si="19"/>
        <v>462</v>
      </c>
      <c r="BH14" s="310">
        <f t="shared" si="19"/>
        <v>203700</v>
      </c>
      <c r="BI14" s="310">
        <f t="shared" si="19"/>
        <v>0</v>
      </c>
      <c r="BJ14" s="310">
        <f t="shared" si="19"/>
        <v>0</v>
      </c>
      <c r="BK14" s="310">
        <f t="shared" si="19"/>
        <v>3968</v>
      </c>
      <c r="BL14" s="310">
        <f t="shared" si="19"/>
        <v>2596200</v>
      </c>
      <c r="BM14" s="310">
        <f t="shared" si="19"/>
        <v>0</v>
      </c>
      <c r="BN14" s="310">
        <f t="shared" si="19"/>
        <v>0</v>
      </c>
      <c r="BO14" s="310">
        <f t="shared" si="19"/>
        <v>0</v>
      </c>
      <c r="BP14" s="310">
        <f t="shared" si="19"/>
        <v>2596200</v>
      </c>
      <c r="BQ14" s="310">
        <f t="shared" si="19"/>
        <v>0</v>
      </c>
      <c r="BR14" s="310">
        <f t="shared" si="19"/>
        <v>0</v>
      </c>
      <c r="BS14" s="310">
        <f>SUM(BS11:BS13)</f>
        <v>2596200</v>
      </c>
      <c r="BT14" s="310">
        <f>SUM(BT11:BT13)</f>
        <v>0</v>
      </c>
      <c r="BU14" s="310">
        <f>SUM(BU11:BU13)</f>
        <v>0</v>
      </c>
      <c r="BV14" s="310">
        <f>SUM(BV11:BV13)</f>
        <v>0</v>
      </c>
      <c r="BW14" s="310">
        <f>SUM(BW11:BW13)</f>
        <v>2596200</v>
      </c>
    </row>
    <row r="15" spans="1:75" x14ac:dyDescent="0.2">
      <c r="A15" s="787"/>
      <c r="B15" s="304">
        <v>23200</v>
      </c>
      <c r="C15" s="304"/>
      <c r="D15" s="316" t="s">
        <v>417</v>
      </c>
      <c r="E15" s="317"/>
      <c r="F15" s="317"/>
      <c r="G15" s="318"/>
      <c r="H15" s="319"/>
      <c r="I15" s="319"/>
      <c r="J15" s="319"/>
      <c r="K15" s="319"/>
      <c r="L15" s="319"/>
      <c r="M15" s="319"/>
      <c r="N15" s="319"/>
      <c r="O15" s="319"/>
      <c r="P15" s="312"/>
      <c r="Q15" s="312"/>
      <c r="R15" s="312"/>
      <c r="S15" s="309"/>
      <c r="T15" s="309"/>
      <c r="U15" s="309"/>
      <c r="V15" s="309"/>
      <c r="W15" s="309"/>
      <c r="X15" s="309"/>
      <c r="Y15" s="309"/>
      <c r="Z15" s="309"/>
      <c r="AA15" s="318"/>
      <c r="AB15" s="341">
        <f t="shared" si="1"/>
        <v>0</v>
      </c>
      <c r="AC15" s="318">
        <v>0</v>
      </c>
      <c r="AD15" s="341">
        <f t="shared" si="2"/>
        <v>0</v>
      </c>
      <c r="AE15" s="318"/>
      <c r="AF15" s="341">
        <f t="shared" si="3"/>
        <v>0</v>
      </c>
      <c r="AG15" s="318"/>
      <c r="AH15" s="341">
        <f t="shared" si="4"/>
        <v>0</v>
      </c>
      <c r="AI15" s="310"/>
      <c r="AJ15" s="341">
        <f t="shared" si="5"/>
        <v>0</v>
      </c>
      <c r="AK15" s="310">
        <v>0</v>
      </c>
      <c r="AL15" s="341">
        <f t="shared" si="6"/>
        <v>0</v>
      </c>
      <c r="AM15" s="310"/>
      <c r="AN15" s="341"/>
      <c r="AO15" s="310"/>
      <c r="AP15" s="341">
        <f t="shared" si="7"/>
        <v>0</v>
      </c>
      <c r="AQ15" s="310"/>
      <c r="AR15" s="341"/>
      <c r="AS15" s="310"/>
      <c r="AT15" s="341"/>
      <c r="AU15" s="310"/>
      <c r="AV15" s="341">
        <f t="shared" si="8"/>
        <v>0</v>
      </c>
      <c r="AW15" s="310"/>
      <c r="AX15" s="341">
        <f t="shared" si="9"/>
        <v>0</v>
      </c>
      <c r="AY15" s="312"/>
      <c r="AZ15" s="341">
        <f t="shared" si="10"/>
        <v>0</v>
      </c>
      <c r="BA15" s="312"/>
      <c r="BB15" s="341"/>
      <c r="BC15" s="310"/>
      <c r="BD15" s="341">
        <f t="shared" si="11"/>
        <v>0</v>
      </c>
      <c r="BE15" s="310"/>
      <c r="BF15" s="341">
        <f t="shared" si="12"/>
        <v>0</v>
      </c>
      <c r="BG15" s="310"/>
      <c r="BH15" s="341">
        <f t="shared" si="13"/>
        <v>0</v>
      </c>
      <c r="BI15" s="310"/>
      <c r="BJ15" s="341">
        <f t="shared" si="14"/>
        <v>0</v>
      </c>
      <c r="BK15" s="322">
        <f>BI15+BG15+BE15+BC15+BA15+AY15+AW15+AU15+AS15+AQ15+AO15+AM15+AK15+AI15+AG15+AE15+AC15+AA15</f>
        <v>0</v>
      </c>
      <c r="BL15" s="322">
        <f>BJ15+BH15+BF15+BD15+BB15+AZ15+AX15+AV15+AT15+AR15+AP15+AN15+AL15+AJ15+AH15+AF15+AD15+AB15</f>
        <v>0</v>
      </c>
      <c r="BM15" s="317"/>
      <c r="BO15" s="321"/>
      <c r="BP15" s="321"/>
      <c r="BQ15" s="321"/>
      <c r="BR15" s="321"/>
      <c r="BS15" s="321"/>
      <c r="BT15" s="321"/>
      <c r="BU15" s="321"/>
      <c r="BV15" s="321"/>
      <c r="BW15" s="322">
        <f t="shared" si="16"/>
        <v>0</v>
      </c>
    </row>
    <row r="16" spans="1:75" x14ac:dyDescent="0.2">
      <c r="A16" s="787"/>
      <c r="B16" s="304">
        <v>23300</v>
      </c>
      <c r="C16" s="304"/>
      <c r="D16" s="316" t="s">
        <v>418</v>
      </c>
      <c r="E16" s="317"/>
      <c r="F16" s="317"/>
      <c r="G16" s="318"/>
      <c r="H16" s="319"/>
      <c r="I16" s="319"/>
      <c r="J16" s="319"/>
      <c r="K16" s="319"/>
      <c r="L16" s="319"/>
      <c r="M16" s="319"/>
      <c r="N16" s="319"/>
      <c r="O16" s="319"/>
      <c r="P16" s="312"/>
      <c r="Q16" s="312"/>
      <c r="R16" s="312"/>
      <c r="S16" s="309"/>
      <c r="T16" s="320"/>
      <c r="U16" s="320"/>
      <c r="V16" s="320"/>
      <c r="W16" s="320"/>
      <c r="X16" s="320"/>
      <c r="Y16" s="320"/>
      <c r="Z16" s="320"/>
      <c r="AA16" s="318"/>
      <c r="AB16" s="341">
        <f t="shared" si="1"/>
        <v>0</v>
      </c>
      <c r="AC16" s="318">
        <v>0</v>
      </c>
      <c r="AD16" s="341">
        <f t="shared" si="2"/>
        <v>0</v>
      </c>
      <c r="AE16" s="318"/>
      <c r="AF16" s="341">
        <f t="shared" si="3"/>
        <v>0</v>
      </c>
      <c r="AG16" s="318"/>
      <c r="AH16" s="341">
        <f t="shared" si="4"/>
        <v>0</v>
      </c>
      <c r="AI16" s="310"/>
      <c r="AJ16" s="341">
        <f t="shared" si="5"/>
        <v>0</v>
      </c>
      <c r="AK16" s="310">
        <v>0</v>
      </c>
      <c r="AL16" s="341">
        <f t="shared" si="6"/>
        <v>0</v>
      </c>
      <c r="AM16" s="310"/>
      <c r="AN16" s="341">
        <f t="shared" ref="AN16:AN21" si="20">AM16*F16</f>
        <v>0</v>
      </c>
      <c r="AO16" s="310"/>
      <c r="AP16" s="341">
        <f t="shared" si="7"/>
        <v>0</v>
      </c>
      <c r="AQ16" s="310"/>
      <c r="AR16" s="341"/>
      <c r="AS16" s="310"/>
      <c r="AT16" s="341"/>
      <c r="AU16" s="310"/>
      <c r="AV16" s="341">
        <f t="shared" si="8"/>
        <v>0</v>
      </c>
      <c r="AW16" s="310"/>
      <c r="AX16" s="341">
        <f t="shared" si="9"/>
        <v>0</v>
      </c>
      <c r="AY16" s="312"/>
      <c r="AZ16" s="341">
        <f t="shared" si="10"/>
        <v>0</v>
      </c>
      <c r="BA16" s="312"/>
      <c r="BB16" s="341"/>
      <c r="BC16" s="310"/>
      <c r="BD16" s="341">
        <f t="shared" si="11"/>
        <v>0</v>
      </c>
      <c r="BE16" s="310"/>
      <c r="BF16" s="341">
        <f t="shared" si="12"/>
        <v>0</v>
      </c>
      <c r="BG16" s="310"/>
      <c r="BH16" s="341">
        <f t="shared" si="13"/>
        <v>0</v>
      </c>
      <c r="BI16" s="310"/>
      <c r="BJ16" s="341">
        <f t="shared" si="14"/>
        <v>0</v>
      </c>
      <c r="BK16" s="322">
        <f t="shared" ref="BK16:BL21" si="21">BI16+BG16+BE16+BC16+BA16+AY16+AW16+AU16+AS16+AQ16+AO16+AM16+AK16+AI16+AG16+AE16+AC16+AA16</f>
        <v>0</v>
      </c>
      <c r="BL16" s="322">
        <f t="shared" si="21"/>
        <v>0</v>
      </c>
      <c r="BM16" s="317"/>
      <c r="BO16" s="321"/>
      <c r="BP16" s="321"/>
      <c r="BQ16" s="321"/>
      <c r="BR16" s="321"/>
      <c r="BS16" s="321"/>
      <c r="BT16" s="321"/>
      <c r="BU16" s="321"/>
      <c r="BV16" s="321"/>
      <c r="BW16" s="322">
        <f t="shared" si="16"/>
        <v>0</v>
      </c>
    </row>
    <row r="17" spans="1:75" x14ac:dyDescent="0.2">
      <c r="A17" s="787"/>
      <c r="B17" s="315"/>
      <c r="C17" s="638" t="s">
        <v>855</v>
      </c>
      <c r="D17" s="342" t="s">
        <v>998</v>
      </c>
      <c r="E17" s="317" t="s">
        <v>80</v>
      </c>
      <c r="F17" s="336">
        <v>10000</v>
      </c>
      <c r="G17" s="318">
        <f>BK17</f>
        <v>0</v>
      </c>
      <c r="H17" s="337">
        <f>BL17</f>
        <v>0</v>
      </c>
      <c r="I17" s="337"/>
      <c r="J17" s="337">
        <f>H17*0.8</f>
        <v>0</v>
      </c>
      <c r="K17" s="337"/>
      <c r="L17" s="337"/>
      <c r="M17" s="337"/>
      <c r="N17" s="337"/>
      <c r="O17" s="337"/>
      <c r="P17" s="338"/>
      <c r="Q17" s="338">
        <f>H17*0.2</f>
        <v>0</v>
      </c>
      <c r="R17" s="337"/>
      <c r="S17" s="309">
        <f>G17*0.25</f>
        <v>0</v>
      </c>
      <c r="T17" s="339">
        <f>G17*0.25</f>
        <v>0</v>
      </c>
      <c r="U17" s="339">
        <f>G17*0.25</f>
        <v>0</v>
      </c>
      <c r="V17" s="320">
        <f>G17*0.25</f>
        <v>0</v>
      </c>
      <c r="W17" s="340">
        <f>H17:H17*0.25</f>
        <v>0</v>
      </c>
      <c r="X17" s="340">
        <f>H17:H17*0.1</f>
        <v>0</v>
      </c>
      <c r="Y17" s="340">
        <f>H17*0.35</f>
        <v>0</v>
      </c>
      <c r="Z17" s="340">
        <f>H17*0.3</f>
        <v>0</v>
      </c>
      <c r="AA17" s="318">
        <v>0</v>
      </c>
      <c r="AB17" s="341">
        <f t="shared" si="1"/>
        <v>0</v>
      </c>
      <c r="AC17" s="318">
        <v>0</v>
      </c>
      <c r="AD17" s="341">
        <v>0</v>
      </c>
      <c r="AE17" s="318">
        <v>0</v>
      </c>
      <c r="AF17" s="341">
        <f t="shared" si="3"/>
        <v>0</v>
      </c>
      <c r="AG17" s="318">
        <v>0</v>
      </c>
      <c r="AH17" s="341">
        <f t="shared" si="4"/>
        <v>0</v>
      </c>
      <c r="AI17" s="318">
        <v>0</v>
      </c>
      <c r="AJ17" s="341">
        <f t="shared" si="5"/>
        <v>0</v>
      </c>
      <c r="AK17" s="318">
        <v>0</v>
      </c>
      <c r="AL17" s="341">
        <f>AK17*F17</f>
        <v>0</v>
      </c>
      <c r="AM17" s="318">
        <v>0</v>
      </c>
      <c r="AN17" s="341">
        <f t="shared" si="20"/>
        <v>0</v>
      </c>
      <c r="AO17" s="318">
        <v>0</v>
      </c>
      <c r="AP17" s="341">
        <f t="shared" si="7"/>
        <v>0</v>
      </c>
      <c r="AQ17" s="318">
        <v>0</v>
      </c>
      <c r="AR17" s="341">
        <f>AQ17*F17</f>
        <v>0</v>
      </c>
      <c r="AS17" s="318">
        <v>0</v>
      </c>
      <c r="AT17" s="341">
        <f>AS17*F17</f>
        <v>0</v>
      </c>
      <c r="AU17" s="318">
        <v>0</v>
      </c>
      <c r="AV17" s="341">
        <f t="shared" si="8"/>
        <v>0</v>
      </c>
      <c r="AW17" s="318">
        <v>0</v>
      </c>
      <c r="AX17" s="341">
        <v>0</v>
      </c>
      <c r="AY17" s="294">
        <v>0</v>
      </c>
      <c r="AZ17" s="341">
        <f t="shared" si="10"/>
        <v>0</v>
      </c>
      <c r="BA17" s="294">
        <v>0</v>
      </c>
      <c r="BB17" s="341">
        <v>0</v>
      </c>
      <c r="BC17" s="318"/>
      <c r="BD17" s="341">
        <f t="shared" si="11"/>
        <v>0</v>
      </c>
      <c r="BE17" s="318"/>
      <c r="BF17" s="341">
        <f t="shared" si="12"/>
        <v>0</v>
      </c>
      <c r="BG17" s="318">
        <v>0</v>
      </c>
      <c r="BH17" s="341">
        <f t="shared" si="13"/>
        <v>0</v>
      </c>
      <c r="BI17" s="318"/>
      <c r="BJ17" s="341">
        <f t="shared" si="14"/>
        <v>0</v>
      </c>
      <c r="BK17" s="322">
        <f t="shared" si="21"/>
        <v>0</v>
      </c>
      <c r="BL17" s="322">
        <f t="shared" si="21"/>
        <v>0</v>
      </c>
      <c r="BM17" s="317" t="s">
        <v>214</v>
      </c>
      <c r="BO17" s="321"/>
      <c r="BP17" s="321"/>
      <c r="BQ17" s="321">
        <f>H17</f>
        <v>0</v>
      </c>
      <c r="BR17" s="321"/>
      <c r="BS17" s="321">
        <f>BR17+BQ17+BP17+BO17</f>
        <v>0</v>
      </c>
      <c r="BT17" s="321"/>
      <c r="BU17" s="321"/>
      <c r="BV17" s="321">
        <f>BT17+BU17</f>
        <v>0</v>
      </c>
      <c r="BW17" s="322">
        <f t="shared" si="16"/>
        <v>0</v>
      </c>
    </row>
    <row r="18" spans="1:75" x14ac:dyDescent="0.2">
      <c r="A18" s="787"/>
      <c r="B18" s="315">
        <v>0</v>
      </c>
      <c r="C18" s="315"/>
      <c r="D18" s="342" t="s">
        <v>82</v>
      </c>
      <c r="E18" s="317" t="s">
        <v>80</v>
      </c>
      <c r="F18" s="336" t="s">
        <v>306</v>
      </c>
      <c r="G18" s="318">
        <f>BK18</f>
        <v>0</v>
      </c>
      <c r="H18" s="318">
        <f>BL18</f>
        <v>0</v>
      </c>
      <c r="I18" s="337"/>
      <c r="J18" s="337">
        <f>H18*0.8</f>
        <v>0</v>
      </c>
      <c r="K18" s="337"/>
      <c r="L18" s="337"/>
      <c r="M18" s="337"/>
      <c r="N18" s="337"/>
      <c r="O18" s="337"/>
      <c r="P18" s="338"/>
      <c r="Q18" s="338">
        <f>H18*0.2</f>
        <v>0</v>
      </c>
      <c r="R18" s="337"/>
      <c r="S18" s="309">
        <f>G18*0.25</f>
        <v>0</v>
      </c>
      <c r="T18" s="339">
        <f>G18*0.25</f>
        <v>0</v>
      </c>
      <c r="U18" s="339">
        <f>G18*0.25</f>
        <v>0</v>
      </c>
      <c r="V18" s="320">
        <f>G18*0.25</f>
        <v>0</v>
      </c>
      <c r="W18" s="340">
        <f>S18*F18</f>
        <v>0</v>
      </c>
      <c r="X18" s="340">
        <f>T18*F18</f>
        <v>0</v>
      </c>
      <c r="Y18" s="340">
        <f>U18*F18</f>
        <v>0</v>
      </c>
      <c r="Z18" s="340">
        <f>V18*F18</f>
        <v>0</v>
      </c>
      <c r="AA18" s="318">
        <v>0</v>
      </c>
      <c r="AB18" s="341">
        <f t="shared" si="1"/>
        <v>0</v>
      </c>
      <c r="AC18" s="318">
        <v>0</v>
      </c>
      <c r="AD18" s="341">
        <v>0</v>
      </c>
      <c r="AE18" s="318">
        <v>0</v>
      </c>
      <c r="AF18" s="341">
        <f t="shared" si="3"/>
        <v>0</v>
      </c>
      <c r="AG18" s="318">
        <v>0</v>
      </c>
      <c r="AH18" s="341">
        <f t="shared" si="4"/>
        <v>0</v>
      </c>
      <c r="AI18" s="318">
        <v>0</v>
      </c>
      <c r="AJ18" s="341">
        <f t="shared" si="5"/>
        <v>0</v>
      </c>
      <c r="AK18" s="318">
        <v>0</v>
      </c>
      <c r="AL18" s="341">
        <f t="shared" si="6"/>
        <v>0</v>
      </c>
      <c r="AM18" s="318">
        <v>0</v>
      </c>
      <c r="AN18" s="341">
        <f t="shared" si="20"/>
        <v>0</v>
      </c>
      <c r="AO18" s="318">
        <v>0</v>
      </c>
      <c r="AP18" s="341">
        <f t="shared" si="7"/>
        <v>0</v>
      </c>
      <c r="AQ18" s="318">
        <v>0</v>
      </c>
      <c r="AR18" s="341">
        <f>AQ18*F18</f>
        <v>0</v>
      </c>
      <c r="AS18" s="318">
        <v>0</v>
      </c>
      <c r="AT18" s="341">
        <f>AS18*F18</f>
        <v>0</v>
      </c>
      <c r="AU18" s="318">
        <v>0</v>
      </c>
      <c r="AV18" s="341">
        <f t="shared" si="8"/>
        <v>0</v>
      </c>
      <c r="AW18" s="318">
        <v>0</v>
      </c>
      <c r="AX18" s="341">
        <v>0</v>
      </c>
      <c r="AY18" s="294">
        <v>0</v>
      </c>
      <c r="AZ18" s="341">
        <f t="shared" si="10"/>
        <v>0</v>
      </c>
      <c r="BA18" s="294">
        <v>0</v>
      </c>
      <c r="BB18" s="341">
        <f>BA18*F18</f>
        <v>0</v>
      </c>
      <c r="BC18" s="318"/>
      <c r="BD18" s="341">
        <f t="shared" si="11"/>
        <v>0</v>
      </c>
      <c r="BE18" s="318"/>
      <c r="BF18" s="341">
        <f t="shared" si="12"/>
        <v>0</v>
      </c>
      <c r="BG18" s="318">
        <v>0</v>
      </c>
      <c r="BH18" s="341">
        <f t="shared" si="13"/>
        <v>0</v>
      </c>
      <c r="BI18" s="318"/>
      <c r="BJ18" s="341">
        <f t="shared" si="14"/>
        <v>0</v>
      </c>
      <c r="BK18" s="322">
        <f t="shared" si="21"/>
        <v>0</v>
      </c>
      <c r="BL18" s="322">
        <f t="shared" si="21"/>
        <v>0</v>
      </c>
      <c r="BM18" s="317" t="s">
        <v>214</v>
      </c>
      <c r="BO18" s="321"/>
      <c r="BP18" s="321"/>
      <c r="BQ18" s="321">
        <f>H18</f>
        <v>0</v>
      </c>
      <c r="BR18" s="321"/>
      <c r="BS18" s="321">
        <f>BO18+BP18+BQ18+BR18</f>
        <v>0</v>
      </c>
      <c r="BT18" s="321"/>
      <c r="BU18" s="321"/>
      <c r="BV18" s="321">
        <f>BT18+BU18</f>
        <v>0</v>
      </c>
      <c r="BW18" s="322">
        <f t="shared" si="16"/>
        <v>0</v>
      </c>
    </row>
    <row r="19" spans="1:75" ht="30.75" customHeight="1" x14ac:dyDescent="0.2">
      <c r="A19" s="787"/>
      <c r="B19" s="315"/>
      <c r="C19" s="638" t="s">
        <v>856</v>
      </c>
      <c r="D19" s="342" t="s">
        <v>913</v>
      </c>
      <c r="E19" s="317" t="s">
        <v>80</v>
      </c>
      <c r="F19" s="336">
        <v>5000</v>
      </c>
      <c r="G19" s="318">
        <f>BK19</f>
        <v>0</v>
      </c>
      <c r="H19" s="337">
        <f>G19*F19</f>
        <v>0</v>
      </c>
      <c r="I19" s="337">
        <f>H19*0.2</f>
        <v>0</v>
      </c>
      <c r="J19" s="337">
        <f>H19*0.8</f>
        <v>0</v>
      </c>
      <c r="K19" s="337"/>
      <c r="L19" s="337"/>
      <c r="M19" s="337"/>
      <c r="N19" s="337"/>
      <c r="O19" s="337"/>
      <c r="P19" s="338"/>
      <c r="Q19" s="338"/>
      <c r="R19" s="337"/>
      <c r="S19" s="309"/>
      <c r="T19" s="339"/>
      <c r="U19" s="339"/>
      <c r="V19" s="320"/>
      <c r="W19" s="340"/>
      <c r="X19" s="340"/>
      <c r="Y19" s="340"/>
      <c r="Z19" s="340"/>
      <c r="AA19" s="318">
        <v>0</v>
      </c>
      <c r="AB19" s="341">
        <f t="shared" si="1"/>
        <v>0</v>
      </c>
      <c r="AC19" s="318">
        <v>0</v>
      </c>
      <c r="AD19" s="341">
        <f t="shared" si="2"/>
        <v>0</v>
      </c>
      <c r="AE19" s="318">
        <v>0</v>
      </c>
      <c r="AF19" s="341">
        <f t="shared" si="3"/>
        <v>0</v>
      </c>
      <c r="AG19" s="318">
        <v>0</v>
      </c>
      <c r="AH19" s="341">
        <f t="shared" si="4"/>
        <v>0</v>
      </c>
      <c r="AI19" s="318">
        <v>0</v>
      </c>
      <c r="AJ19" s="341">
        <f t="shared" si="5"/>
        <v>0</v>
      </c>
      <c r="AK19" s="318">
        <v>0</v>
      </c>
      <c r="AL19" s="341">
        <f t="shared" si="6"/>
        <v>0</v>
      </c>
      <c r="AM19" s="318">
        <v>0</v>
      </c>
      <c r="AN19" s="341">
        <f t="shared" si="20"/>
        <v>0</v>
      </c>
      <c r="AO19" s="318">
        <v>0</v>
      </c>
      <c r="AP19" s="341">
        <f t="shared" si="7"/>
        <v>0</v>
      </c>
      <c r="AQ19" s="318">
        <v>0</v>
      </c>
      <c r="AR19" s="341">
        <f>AQ19*F19</f>
        <v>0</v>
      </c>
      <c r="AS19" s="318">
        <v>0</v>
      </c>
      <c r="AT19" s="341">
        <f>AS19*F19</f>
        <v>0</v>
      </c>
      <c r="AU19" s="318">
        <v>0</v>
      </c>
      <c r="AV19" s="341">
        <f t="shared" si="8"/>
        <v>0</v>
      </c>
      <c r="AW19" s="318">
        <v>0</v>
      </c>
      <c r="AX19" s="341">
        <f t="shared" si="9"/>
        <v>0</v>
      </c>
      <c r="AY19" s="294">
        <v>0</v>
      </c>
      <c r="AZ19" s="341">
        <f t="shared" si="10"/>
        <v>0</v>
      </c>
      <c r="BA19" s="294">
        <v>0</v>
      </c>
      <c r="BB19" s="341">
        <f>BA19*F19</f>
        <v>0</v>
      </c>
      <c r="BC19" s="318">
        <v>0</v>
      </c>
      <c r="BD19" s="341">
        <f t="shared" si="11"/>
        <v>0</v>
      </c>
      <c r="BE19" s="318">
        <v>0</v>
      </c>
      <c r="BF19" s="341">
        <f t="shared" si="12"/>
        <v>0</v>
      </c>
      <c r="BG19" s="318">
        <v>0</v>
      </c>
      <c r="BH19" s="341">
        <f t="shared" si="13"/>
        <v>0</v>
      </c>
      <c r="BI19" s="318"/>
      <c r="BJ19" s="341"/>
      <c r="BK19" s="322">
        <f>BI19+BG19+BE19+BC19+BA19+AY19+AW19+AU19+AS19+AQ19+AO19+AM19+AK19+AI19+AG19+AE19+AC19+AA19</f>
        <v>0</v>
      </c>
      <c r="BL19" s="322">
        <f>BJ19+BH19+BF19+BD19+BB19+AZ19+AX19+AV19+AT19+AR19+AP19+AN19+AL19+AJ19+AH19+AF19+AD19+AB19</f>
        <v>0</v>
      </c>
      <c r="BM19" s="317"/>
      <c r="BO19" s="321"/>
      <c r="BP19" s="321"/>
      <c r="BQ19" s="321"/>
      <c r="BR19" s="321"/>
      <c r="BS19" s="321">
        <f t="shared" ref="BS19:BS20" si="22">BO19+BP19+BQ19+BR19</f>
        <v>0</v>
      </c>
      <c r="BT19" s="321"/>
      <c r="BU19" s="321"/>
      <c r="BV19" s="321"/>
      <c r="BW19" s="322">
        <f t="shared" si="16"/>
        <v>0</v>
      </c>
    </row>
    <row r="20" spans="1:75" ht="21.6" customHeight="1" x14ac:dyDescent="0.2">
      <c r="A20" s="787"/>
      <c r="B20" s="315"/>
      <c r="C20" s="638" t="s">
        <v>857</v>
      </c>
      <c r="D20" s="342" t="s">
        <v>955</v>
      </c>
      <c r="E20" s="317" t="s">
        <v>80</v>
      </c>
      <c r="F20" s="336">
        <v>50000</v>
      </c>
      <c r="G20" s="318">
        <f>BK20</f>
        <v>90</v>
      </c>
      <c r="H20" s="337">
        <f>G20*F20</f>
        <v>4500000</v>
      </c>
      <c r="I20" s="337"/>
      <c r="J20" s="337">
        <f>H20*0.8</f>
        <v>3600000</v>
      </c>
      <c r="K20" s="337"/>
      <c r="L20" s="337"/>
      <c r="M20" s="337"/>
      <c r="N20" s="337"/>
      <c r="O20" s="337"/>
      <c r="P20" s="338"/>
      <c r="Q20" s="338">
        <f>H20*0.2</f>
        <v>900000</v>
      </c>
      <c r="R20" s="337"/>
      <c r="S20" s="309"/>
      <c r="T20" s="339"/>
      <c r="U20" s="339"/>
      <c r="V20" s="320"/>
      <c r="W20" s="340"/>
      <c r="X20" s="340"/>
      <c r="Y20" s="340"/>
      <c r="Z20" s="340"/>
      <c r="AA20" s="318">
        <v>4</v>
      </c>
      <c r="AB20" s="341">
        <f t="shared" si="1"/>
        <v>200000</v>
      </c>
      <c r="AC20" s="318">
        <v>3</v>
      </c>
      <c r="AD20" s="341">
        <f t="shared" si="2"/>
        <v>150000</v>
      </c>
      <c r="AE20" s="318">
        <v>4</v>
      </c>
      <c r="AF20" s="341">
        <f t="shared" si="3"/>
        <v>200000</v>
      </c>
      <c r="AG20" s="318">
        <v>5</v>
      </c>
      <c r="AH20" s="341">
        <f t="shared" si="4"/>
        <v>250000</v>
      </c>
      <c r="AI20" s="318">
        <v>2</v>
      </c>
      <c r="AJ20" s="341">
        <f t="shared" si="5"/>
        <v>100000</v>
      </c>
      <c r="AK20" s="318">
        <v>4</v>
      </c>
      <c r="AL20" s="341">
        <f t="shared" si="6"/>
        <v>200000</v>
      </c>
      <c r="AM20" s="318">
        <v>5</v>
      </c>
      <c r="AN20" s="341">
        <f t="shared" si="20"/>
        <v>250000</v>
      </c>
      <c r="AO20" s="318">
        <v>8</v>
      </c>
      <c r="AP20" s="341">
        <f t="shared" si="7"/>
        <v>400000</v>
      </c>
      <c r="AQ20" s="318">
        <v>2</v>
      </c>
      <c r="AR20" s="341">
        <f>AQ20*F20</f>
        <v>100000</v>
      </c>
      <c r="AS20" s="318">
        <v>3</v>
      </c>
      <c r="AT20" s="341">
        <f t="shared" ref="AT20:AT21" si="23">AS20*F20</f>
        <v>150000</v>
      </c>
      <c r="AU20" s="318">
        <v>6</v>
      </c>
      <c r="AV20" s="341">
        <f t="shared" si="8"/>
        <v>300000</v>
      </c>
      <c r="AW20" s="318">
        <v>5</v>
      </c>
      <c r="AX20" s="341">
        <f t="shared" si="9"/>
        <v>250000</v>
      </c>
      <c r="AY20" s="294">
        <v>9</v>
      </c>
      <c r="AZ20" s="341">
        <f t="shared" si="10"/>
        <v>450000</v>
      </c>
      <c r="BA20" s="294">
        <v>9</v>
      </c>
      <c r="BB20" s="341">
        <f>BA20*F20</f>
        <v>450000</v>
      </c>
      <c r="BC20" s="318">
        <v>3</v>
      </c>
      <c r="BD20" s="341">
        <f t="shared" si="11"/>
        <v>150000</v>
      </c>
      <c r="BE20" s="318">
        <v>12</v>
      </c>
      <c r="BF20" s="341">
        <f t="shared" si="12"/>
        <v>600000</v>
      </c>
      <c r="BG20" s="318">
        <v>6</v>
      </c>
      <c r="BH20" s="341">
        <f t="shared" si="13"/>
        <v>300000</v>
      </c>
      <c r="BI20" s="318"/>
      <c r="BJ20" s="341"/>
      <c r="BK20" s="322">
        <f>BI20+BG20+BE20+BC20+BA20+AY20+AW20+AU20+AS20+AQ20+AO20+AM20+AK20+AI20+AG20+AE20+AC20+AA20</f>
        <v>90</v>
      </c>
      <c r="BL20" s="322">
        <f>BJ20+BH20+BF20+BD20+BB20+AZ20+AX20+AV20+AT20+AR20+AP20+AN20+AL20+AJ20+AH20+AF20+AD20+AB20</f>
        <v>4500000</v>
      </c>
      <c r="BM20" s="317" t="s">
        <v>214</v>
      </c>
      <c r="BO20" s="321"/>
      <c r="BP20" s="321"/>
      <c r="BQ20" s="321">
        <f>H20</f>
        <v>4500000</v>
      </c>
      <c r="BR20" s="321"/>
      <c r="BS20" s="321">
        <f t="shared" si="22"/>
        <v>4500000</v>
      </c>
      <c r="BT20" s="321"/>
      <c r="BU20" s="321"/>
      <c r="BV20" s="321"/>
      <c r="BW20" s="322">
        <f t="shared" si="16"/>
        <v>4500000</v>
      </c>
    </row>
    <row r="21" spans="1:75" x14ac:dyDescent="0.2">
      <c r="A21" s="787"/>
      <c r="B21" s="315"/>
      <c r="C21" s="315"/>
      <c r="D21" s="335" t="s">
        <v>965</v>
      </c>
      <c r="E21" s="317" t="s">
        <v>64</v>
      </c>
      <c r="F21" s="336"/>
      <c r="G21" s="318">
        <f>BK21</f>
        <v>0</v>
      </c>
      <c r="H21" s="337">
        <f>BL21</f>
        <v>0</v>
      </c>
      <c r="I21" s="337"/>
      <c r="J21" s="337"/>
      <c r="K21" s="337"/>
      <c r="L21" s="337"/>
      <c r="M21" s="337">
        <f>H21*0.8</f>
        <v>0</v>
      </c>
      <c r="N21" s="337"/>
      <c r="O21" s="337"/>
      <c r="P21" s="338"/>
      <c r="Q21" s="338">
        <f>H21*0.2</f>
        <v>0</v>
      </c>
      <c r="R21" s="337"/>
      <c r="S21" s="309">
        <f>G21*0.25</f>
        <v>0</v>
      </c>
      <c r="T21" s="339">
        <f>G21*0.25</f>
        <v>0</v>
      </c>
      <c r="U21" s="339">
        <f>G21*0.25</f>
        <v>0</v>
      </c>
      <c r="V21" s="320">
        <f>G21*0.25</f>
        <v>0</v>
      </c>
      <c r="W21" s="340">
        <f>S21*F21</f>
        <v>0</v>
      </c>
      <c r="X21" s="340">
        <f>T21*F21</f>
        <v>0</v>
      </c>
      <c r="Y21" s="340">
        <f>U21*F21</f>
        <v>0</v>
      </c>
      <c r="Z21" s="340">
        <f>V21*F21</f>
        <v>0</v>
      </c>
      <c r="AA21" s="318">
        <v>0</v>
      </c>
      <c r="AB21" s="341">
        <f t="shared" si="1"/>
        <v>0</v>
      </c>
      <c r="AC21" s="318">
        <v>0</v>
      </c>
      <c r="AD21" s="341">
        <f t="shared" si="2"/>
        <v>0</v>
      </c>
      <c r="AE21" s="318">
        <v>0</v>
      </c>
      <c r="AF21" s="341">
        <f t="shared" si="3"/>
        <v>0</v>
      </c>
      <c r="AG21" s="318">
        <v>0</v>
      </c>
      <c r="AH21" s="341">
        <f t="shared" si="4"/>
        <v>0</v>
      </c>
      <c r="AI21" s="318">
        <v>0</v>
      </c>
      <c r="AJ21" s="341">
        <f t="shared" si="5"/>
        <v>0</v>
      </c>
      <c r="AK21" s="318">
        <v>0</v>
      </c>
      <c r="AL21" s="341">
        <f t="shared" si="6"/>
        <v>0</v>
      </c>
      <c r="AM21" s="318">
        <v>0</v>
      </c>
      <c r="AN21" s="341">
        <f t="shared" si="20"/>
        <v>0</v>
      </c>
      <c r="AO21" s="318">
        <v>0</v>
      </c>
      <c r="AP21" s="341">
        <f t="shared" si="7"/>
        <v>0</v>
      </c>
      <c r="AQ21" s="318">
        <v>0</v>
      </c>
      <c r="AR21" s="341">
        <f>AQ21*F21</f>
        <v>0</v>
      </c>
      <c r="AS21" s="318">
        <v>0</v>
      </c>
      <c r="AT21" s="341">
        <f t="shared" si="23"/>
        <v>0</v>
      </c>
      <c r="AU21" s="318">
        <v>0</v>
      </c>
      <c r="AV21" s="341">
        <f t="shared" si="8"/>
        <v>0</v>
      </c>
      <c r="AW21" s="318">
        <v>0</v>
      </c>
      <c r="AX21" s="341">
        <f t="shared" si="9"/>
        <v>0</v>
      </c>
      <c r="AY21" s="294">
        <v>0</v>
      </c>
      <c r="AZ21" s="341">
        <f t="shared" si="10"/>
        <v>0</v>
      </c>
      <c r="BA21" s="294">
        <v>0</v>
      </c>
      <c r="BB21" s="341">
        <f>BA21*F21</f>
        <v>0</v>
      </c>
      <c r="BC21" s="318">
        <v>0</v>
      </c>
      <c r="BD21" s="341">
        <f t="shared" si="11"/>
        <v>0</v>
      </c>
      <c r="BE21" s="318">
        <v>0</v>
      </c>
      <c r="BF21" s="341">
        <f t="shared" si="12"/>
        <v>0</v>
      </c>
      <c r="BG21" s="318">
        <v>0</v>
      </c>
      <c r="BH21" s="341">
        <f t="shared" si="13"/>
        <v>0</v>
      </c>
      <c r="BI21" s="318"/>
      <c r="BJ21" s="341">
        <f t="shared" si="14"/>
        <v>0</v>
      </c>
      <c r="BK21" s="322">
        <f t="shared" si="21"/>
        <v>0</v>
      </c>
      <c r="BL21" s="322">
        <f t="shared" si="21"/>
        <v>0</v>
      </c>
      <c r="BM21" s="317" t="s">
        <v>597</v>
      </c>
      <c r="BO21" s="321"/>
      <c r="BP21" s="321"/>
      <c r="BQ21" s="321">
        <f>H21</f>
        <v>0</v>
      </c>
      <c r="BR21" s="321"/>
      <c r="BS21" s="321">
        <f>BO21+BP21+BQ21+BR21</f>
        <v>0</v>
      </c>
      <c r="BT21" s="321"/>
      <c r="BU21" s="321"/>
      <c r="BV21" s="321">
        <f>BT21+BU21</f>
        <v>0</v>
      </c>
      <c r="BW21" s="322">
        <f t="shared" si="16"/>
        <v>0</v>
      </c>
    </row>
    <row r="22" spans="1:75" s="297" customFormat="1" x14ac:dyDescent="0.2">
      <c r="A22" s="787"/>
      <c r="B22" s="312"/>
      <c r="C22" s="312"/>
      <c r="D22" s="316" t="s">
        <v>419</v>
      </c>
      <c r="E22" s="343" t="s">
        <v>111</v>
      </c>
      <c r="F22" s="344" t="s">
        <v>111</v>
      </c>
      <c r="G22" s="311">
        <f>SUM(G17:G21)</f>
        <v>90</v>
      </c>
      <c r="H22" s="311">
        <f t="shared" ref="H22:BS22" si="24">SUM(H17:H21)</f>
        <v>4500000</v>
      </c>
      <c r="I22" s="311">
        <f t="shared" si="24"/>
        <v>0</v>
      </c>
      <c r="J22" s="311">
        <f t="shared" si="24"/>
        <v>3600000</v>
      </c>
      <c r="K22" s="311">
        <f t="shared" si="24"/>
        <v>0</v>
      </c>
      <c r="L22" s="311">
        <f t="shared" si="24"/>
        <v>0</v>
      </c>
      <c r="M22" s="311">
        <f t="shared" si="24"/>
        <v>0</v>
      </c>
      <c r="N22" s="311">
        <f t="shared" si="24"/>
        <v>0</v>
      </c>
      <c r="O22" s="311">
        <f t="shared" si="24"/>
        <v>0</v>
      </c>
      <c r="P22" s="311">
        <f t="shared" si="24"/>
        <v>0</v>
      </c>
      <c r="Q22" s="311">
        <f t="shared" si="24"/>
        <v>900000</v>
      </c>
      <c r="R22" s="311">
        <f t="shared" si="24"/>
        <v>0</v>
      </c>
      <c r="S22" s="311">
        <f t="shared" si="24"/>
        <v>0</v>
      </c>
      <c r="T22" s="311">
        <f t="shared" si="24"/>
        <v>0</v>
      </c>
      <c r="U22" s="311">
        <f t="shared" si="24"/>
        <v>0</v>
      </c>
      <c r="V22" s="311">
        <f t="shared" si="24"/>
        <v>0</v>
      </c>
      <c r="W22" s="311">
        <f t="shared" si="24"/>
        <v>0</v>
      </c>
      <c r="X22" s="311">
        <f t="shared" si="24"/>
        <v>0</v>
      </c>
      <c r="Y22" s="311">
        <f t="shared" si="24"/>
        <v>0</v>
      </c>
      <c r="Z22" s="311">
        <f t="shared" si="24"/>
        <v>0</v>
      </c>
      <c r="AA22" s="311">
        <f t="shared" si="24"/>
        <v>4</v>
      </c>
      <c r="AB22" s="311">
        <f t="shared" si="24"/>
        <v>200000</v>
      </c>
      <c r="AC22" s="311">
        <f t="shared" si="24"/>
        <v>3</v>
      </c>
      <c r="AD22" s="311">
        <f t="shared" si="24"/>
        <v>150000</v>
      </c>
      <c r="AE22" s="311">
        <f t="shared" si="24"/>
        <v>4</v>
      </c>
      <c r="AF22" s="311">
        <f t="shared" si="24"/>
        <v>200000</v>
      </c>
      <c r="AG22" s="311">
        <f t="shared" si="24"/>
        <v>5</v>
      </c>
      <c r="AH22" s="311">
        <f t="shared" si="24"/>
        <v>250000</v>
      </c>
      <c r="AI22" s="311">
        <f t="shared" si="24"/>
        <v>2</v>
      </c>
      <c r="AJ22" s="311">
        <f t="shared" si="24"/>
        <v>100000</v>
      </c>
      <c r="AK22" s="311">
        <f t="shared" si="24"/>
        <v>4</v>
      </c>
      <c r="AL22" s="311">
        <f t="shared" si="24"/>
        <v>200000</v>
      </c>
      <c r="AM22" s="311">
        <f t="shared" si="24"/>
        <v>5</v>
      </c>
      <c r="AN22" s="311">
        <f t="shared" si="24"/>
        <v>250000</v>
      </c>
      <c r="AO22" s="311">
        <f t="shared" si="24"/>
        <v>8</v>
      </c>
      <c r="AP22" s="311">
        <f t="shared" si="24"/>
        <v>400000</v>
      </c>
      <c r="AQ22" s="311">
        <f t="shared" si="24"/>
        <v>2</v>
      </c>
      <c r="AR22" s="311">
        <f t="shared" si="24"/>
        <v>100000</v>
      </c>
      <c r="AS22" s="311">
        <f t="shared" si="24"/>
        <v>3</v>
      </c>
      <c r="AT22" s="311">
        <f t="shared" si="24"/>
        <v>150000</v>
      </c>
      <c r="AU22" s="311">
        <f t="shared" si="24"/>
        <v>6</v>
      </c>
      <c r="AV22" s="311">
        <f t="shared" si="24"/>
        <v>300000</v>
      </c>
      <c r="AW22" s="311">
        <f t="shared" si="24"/>
        <v>5</v>
      </c>
      <c r="AX22" s="311">
        <f t="shared" si="24"/>
        <v>250000</v>
      </c>
      <c r="AY22" s="345">
        <f t="shared" si="24"/>
        <v>9</v>
      </c>
      <c r="AZ22" s="311">
        <f t="shared" si="24"/>
        <v>450000</v>
      </c>
      <c r="BA22" s="345">
        <f t="shared" si="24"/>
        <v>9</v>
      </c>
      <c r="BB22" s="311">
        <f t="shared" si="24"/>
        <v>450000</v>
      </c>
      <c r="BC22" s="311">
        <f t="shared" si="24"/>
        <v>3</v>
      </c>
      <c r="BD22" s="311">
        <f t="shared" si="24"/>
        <v>150000</v>
      </c>
      <c r="BE22" s="311">
        <f t="shared" si="24"/>
        <v>12</v>
      </c>
      <c r="BF22" s="311">
        <f t="shared" si="24"/>
        <v>600000</v>
      </c>
      <c r="BG22" s="311">
        <f t="shared" si="24"/>
        <v>6</v>
      </c>
      <c r="BH22" s="311">
        <f t="shared" si="24"/>
        <v>300000</v>
      </c>
      <c r="BI22" s="311">
        <f t="shared" si="24"/>
        <v>0</v>
      </c>
      <c r="BJ22" s="311">
        <f t="shared" si="24"/>
        <v>0</v>
      </c>
      <c r="BK22" s="311">
        <f t="shared" si="24"/>
        <v>90</v>
      </c>
      <c r="BL22" s="311">
        <f t="shared" si="24"/>
        <v>4500000</v>
      </c>
      <c r="BM22" s="311">
        <f t="shared" si="24"/>
        <v>0</v>
      </c>
      <c r="BN22" s="311">
        <f t="shared" si="24"/>
        <v>0</v>
      </c>
      <c r="BO22" s="311">
        <f t="shared" si="24"/>
        <v>0</v>
      </c>
      <c r="BP22" s="311">
        <f t="shared" si="24"/>
        <v>0</v>
      </c>
      <c r="BQ22" s="311">
        <f t="shared" si="24"/>
        <v>4500000</v>
      </c>
      <c r="BR22" s="311">
        <f t="shared" si="24"/>
        <v>0</v>
      </c>
      <c r="BS22" s="311">
        <f t="shared" si="24"/>
        <v>4500000</v>
      </c>
      <c r="BT22" s="311">
        <f>SUM(BT17:BT21)</f>
        <v>0</v>
      </c>
      <c r="BU22" s="311">
        <f>SUM(BU17:BU21)</f>
        <v>0</v>
      </c>
      <c r="BV22" s="311">
        <f>SUM(BV17:BV21)</f>
        <v>0</v>
      </c>
      <c r="BW22" s="311">
        <f>SUM(BW17:BW21)</f>
        <v>4500000</v>
      </c>
    </row>
    <row r="23" spans="1:75" x14ac:dyDescent="0.2">
      <c r="A23" s="787"/>
      <c r="B23" s="304">
        <v>23400</v>
      </c>
      <c r="C23" s="304"/>
      <c r="D23" s="316" t="s">
        <v>420</v>
      </c>
      <c r="E23" s="317"/>
      <c r="F23" s="317"/>
      <c r="G23" s="318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7"/>
      <c r="T23" s="347"/>
      <c r="U23" s="347"/>
      <c r="V23" s="347"/>
      <c r="W23" s="347"/>
      <c r="X23" s="347"/>
      <c r="Y23" s="347"/>
      <c r="Z23" s="347"/>
      <c r="AA23" s="318"/>
      <c r="AB23" s="341">
        <f t="shared" si="1"/>
        <v>0</v>
      </c>
      <c r="AC23" s="318"/>
      <c r="AD23" s="341">
        <f t="shared" si="2"/>
        <v>0</v>
      </c>
      <c r="AE23" s="318"/>
      <c r="AF23" s="341">
        <f t="shared" si="3"/>
        <v>0</v>
      </c>
      <c r="AG23" s="318"/>
      <c r="AH23" s="341">
        <f t="shared" si="4"/>
        <v>0</v>
      </c>
      <c r="AI23" s="318"/>
      <c r="AJ23" s="341">
        <f t="shared" si="5"/>
        <v>0</v>
      </c>
      <c r="AK23" s="318">
        <v>0</v>
      </c>
      <c r="AL23" s="341">
        <f t="shared" si="6"/>
        <v>0</v>
      </c>
      <c r="AM23" s="318"/>
      <c r="AN23" s="341"/>
      <c r="AO23" s="318"/>
      <c r="AP23" s="341">
        <f t="shared" si="7"/>
        <v>0</v>
      </c>
      <c r="AQ23" s="318"/>
      <c r="AR23" s="341"/>
      <c r="AS23" s="318"/>
      <c r="AT23" s="341"/>
      <c r="AU23" s="318"/>
      <c r="AV23" s="341">
        <f t="shared" si="8"/>
        <v>0</v>
      </c>
      <c r="AW23" s="318"/>
      <c r="AX23" s="341">
        <f t="shared" si="9"/>
        <v>0</v>
      </c>
      <c r="AY23" s="294"/>
      <c r="AZ23" s="341">
        <f t="shared" si="10"/>
        <v>0</v>
      </c>
      <c r="BA23" s="294"/>
      <c r="BB23" s="341"/>
      <c r="BC23" s="318"/>
      <c r="BD23" s="341">
        <f t="shared" si="11"/>
        <v>0</v>
      </c>
      <c r="BE23" s="318"/>
      <c r="BF23" s="341">
        <f t="shared" si="12"/>
        <v>0</v>
      </c>
      <c r="BG23" s="318"/>
      <c r="BH23" s="341">
        <f t="shared" si="13"/>
        <v>0</v>
      </c>
      <c r="BI23" s="318"/>
      <c r="BJ23" s="341">
        <f t="shared" si="14"/>
        <v>0</v>
      </c>
      <c r="BK23" s="318"/>
      <c r="BL23" s="341"/>
      <c r="BM23" s="317"/>
      <c r="BO23" s="321"/>
      <c r="BP23" s="321"/>
      <c r="BQ23" s="321"/>
      <c r="BR23" s="321"/>
      <c r="BS23" s="321"/>
      <c r="BT23" s="321"/>
      <c r="BU23" s="321"/>
      <c r="BV23" s="321"/>
      <c r="BW23" s="322">
        <f t="shared" si="16"/>
        <v>0</v>
      </c>
    </row>
    <row r="24" spans="1:75" ht="34.5" customHeight="1" x14ac:dyDescent="0.25">
      <c r="A24" s="787"/>
      <c r="B24" s="294"/>
      <c r="C24" s="638" t="s">
        <v>858</v>
      </c>
      <c r="D24" s="348" t="s">
        <v>677</v>
      </c>
      <c r="E24" s="349" t="s">
        <v>308</v>
      </c>
      <c r="F24" s="350">
        <v>4000</v>
      </c>
      <c r="G24" s="351">
        <f>BK24</f>
        <v>0</v>
      </c>
      <c r="H24" s="337">
        <f>G24*F24</f>
        <v>0</v>
      </c>
      <c r="I24" s="337">
        <f>H24*0</f>
        <v>0</v>
      </c>
      <c r="J24" s="337">
        <f>H24*0.8</f>
        <v>0</v>
      </c>
      <c r="K24" s="337"/>
      <c r="L24" s="337"/>
      <c r="M24" s="337"/>
      <c r="N24" s="337"/>
      <c r="O24" s="337"/>
      <c r="P24" s="338"/>
      <c r="Q24" s="338">
        <f>H24*0.2</f>
        <v>0</v>
      </c>
      <c r="R24" s="338"/>
      <c r="S24" s="352">
        <f t="shared" ref="S24:S36" si="25">G24*0.25</f>
        <v>0</v>
      </c>
      <c r="T24" s="352">
        <f t="shared" ref="T24:T36" si="26">G24*0.25</f>
        <v>0</v>
      </c>
      <c r="U24" s="352">
        <f t="shared" ref="U24:U36" si="27">G24*0.25</f>
        <v>0</v>
      </c>
      <c r="V24" s="352">
        <f t="shared" ref="V24:V36" si="28">G24*0.25</f>
        <v>0</v>
      </c>
      <c r="W24" s="340">
        <f t="shared" ref="W24:W36" si="29">S24*F24</f>
        <v>0</v>
      </c>
      <c r="X24" s="340">
        <f t="shared" ref="X24:X36" si="30">T24*F24</f>
        <v>0</v>
      </c>
      <c r="Y24" s="340">
        <f t="shared" ref="Y24:Y36" si="31">U24*F24</f>
        <v>0</v>
      </c>
      <c r="Z24" s="340">
        <f t="shared" ref="Z24:Z36" si="32">V24*F24</f>
        <v>0</v>
      </c>
      <c r="AA24" s="318">
        <v>0</v>
      </c>
      <c r="AB24" s="341">
        <f>AA24*F24</f>
        <v>0</v>
      </c>
      <c r="AC24" s="318">
        <v>0</v>
      </c>
      <c r="AD24" s="341">
        <f t="shared" si="2"/>
        <v>0</v>
      </c>
      <c r="AE24" s="318">
        <v>0</v>
      </c>
      <c r="AF24" s="341">
        <f t="shared" si="3"/>
        <v>0</v>
      </c>
      <c r="AG24" s="318">
        <v>0</v>
      </c>
      <c r="AH24" s="341">
        <f t="shared" si="4"/>
        <v>0</v>
      </c>
      <c r="AI24" s="318">
        <v>0</v>
      </c>
      <c r="AJ24" s="341">
        <f t="shared" si="5"/>
        <v>0</v>
      </c>
      <c r="AK24" s="318">
        <v>0</v>
      </c>
      <c r="AL24" s="341">
        <f t="shared" si="6"/>
        <v>0</v>
      </c>
      <c r="AM24" s="318">
        <v>0</v>
      </c>
      <c r="AN24" s="341">
        <f>AM24*F24</f>
        <v>0</v>
      </c>
      <c r="AO24" s="318">
        <v>0</v>
      </c>
      <c r="AP24" s="341">
        <f t="shared" si="7"/>
        <v>0</v>
      </c>
      <c r="AQ24" s="318">
        <v>0</v>
      </c>
      <c r="AR24" s="341">
        <f t="shared" ref="AR24:AR36" si="33">AQ24*F24</f>
        <v>0</v>
      </c>
      <c r="AS24" s="318">
        <v>0</v>
      </c>
      <c r="AT24" s="341">
        <f t="shared" ref="AT24:AT36" si="34">AS24*F24</f>
        <v>0</v>
      </c>
      <c r="AU24" s="318">
        <v>0</v>
      </c>
      <c r="AV24" s="341">
        <f t="shared" si="8"/>
        <v>0</v>
      </c>
      <c r="AW24" s="318">
        <v>0</v>
      </c>
      <c r="AX24" s="341">
        <f t="shared" si="9"/>
        <v>0</v>
      </c>
      <c r="AY24" s="294">
        <v>0</v>
      </c>
      <c r="AZ24" s="341">
        <f t="shared" si="10"/>
        <v>0</v>
      </c>
      <c r="BA24" s="294">
        <v>0</v>
      </c>
      <c r="BB24" s="341">
        <f t="shared" ref="BB24:BB36" si="35">BA24*F24</f>
        <v>0</v>
      </c>
      <c r="BC24" s="318">
        <v>0</v>
      </c>
      <c r="BD24" s="341">
        <f t="shared" si="11"/>
        <v>0</v>
      </c>
      <c r="BE24" s="318">
        <v>0</v>
      </c>
      <c r="BF24" s="341">
        <f t="shared" si="12"/>
        <v>0</v>
      </c>
      <c r="BG24" s="318">
        <v>0</v>
      </c>
      <c r="BH24" s="341">
        <f t="shared" si="13"/>
        <v>0</v>
      </c>
      <c r="BI24" s="318"/>
      <c r="BJ24" s="341">
        <f t="shared" si="14"/>
        <v>0</v>
      </c>
      <c r="BK24" s="322">
        <f t="shared" ref="BK24:BK36" si="36">BI24+BG24+BE24+BC24+BA24+AY24+AW24+AU24+AS24+AQ24+AO24+AM24+AK24+AI24+AG24+AE24+AC24+AA24</f>
        <v>0</v>
      </c>
      <c r="BL24" s="322">
        <f t="shared" ref="BL24:BL36" si="37">BJ24+BH24+BF24+BD24+BB24+AZ24+AX24+AV24+AT24+AR24+AP24+AN24+AL24+AJ24+AH24+AF24+AD24+AB24</f>
        <v>0</v>
      </c>
      <c r="BM24" s="349" t="s">
        <v>526</v>
      </c>
      <c r="BO24" s="321"/>
      <c r="BP24" s="321"/>
      <c r="BQ24" s="321">
        <f t="shared" ref="BQ24:BQ36" si="38">H24</f>
        <v>0</v>
      </c>
      <c r="BR24" s="321"/>
      <c r="BS24" s="321">
        <f t="shared" ref="BS24:BS36" si="39">BO24+BP24+BQ24+BR24</f>
        <v>0</v>
      </c>
      <c r="BT24" s="321"/>
      <c r="BU24" s="321"/>
      <c r="BV24" s="321">
        <f>BT24+BU24</f>
        <v>0</v>
      </c>
      <c r="BW24" s="322">
        <f t="shared" si="16"/>
        <v>0</v>
      </c>
    </row>
    <row r="25" spans="1:75" ht="45.6" customHeight="1" x14ac:dyDescent="0.2">
      <c r="A25" s="787"/>
      <c r="B25" s="334" t="s">
        <v>964</v>
      </c>
      <c r="C25" s="318"/>
      <c r="D25" s="335" t="s">
        <v>932</v>
      </c>
      <c r="E25" s="317" t="s">
        <v>917</v>
      </c>
      <c r="F25" s="336">
        <v>3750</v>
      </c>
      <c r="G25" s="325">
        <f>BK25</f>
        <v>10557</v>
      </c>
      <c r="H25" s="337">
        <f>G25*F25</f>
        <v>39588750</v>
      </c>
      <c r="I25" s="337"/>
      <c r="J25" s="337"/>
      <c r="K25" s="337"/>
      <c r="L25" s="337"/>
      <c r="M25" s="337"/>
      <c r="N25" s="337"/>
      <c r="O25" s="337">
        <f>H25*1</f>
        <v>39588750</v>
      </c>
      <c r="P25" s="338"/>
      <c r="Q25" s="338"/>
      <c r="R25" s="338"/>
      <c r="S25" s="352"/>
      <c r="T25" s="352"/>
      <c r="U25" s="352"/>
      <c r="V25" s="352">
        <f>G25</f>
        <v>10557</v>
      </c>
      <c r="W25" s="340"/>
      <c r="X25" s="340"/>
      <c r="Y25" s="340"/>
      <c r="Z25" s="340">
        <f>H25</f>
        <v>39588750</v>
      </c>
      <c r="AA25" s="318">
        <v>1290</v>
      </c>
      <c r="AB25" s="341">
        <f>AA25*F25</f>
        <v>4837500</v>
      </c>
      <c r="AC25" s="318">
        <v>0</v>
      </c>
      <c r="AD25" s="341">
        <f t="shared" si="2"/>
        <v>0</v>
      </c>
      <c r="AE25" s="318">
        <v>1302</v>
      </c>
      <c r="AF25" s="341">
        <f t="shared" si="3"/>
        <v>4882500</v>
      </c>
      <c r="AG25" s="318">
        <v>1217</v>
      </c>
      <c r="AH25" s="341">
        <f t="shared" si="4"/>
        <v>4563750</v>
      </c>
      <c r="AI25" s="318">
        <v>248</v>
      </c>
      <c r="AJ25" s="341">
        <f t="shared" si="5"/>
        <v>930000</v>
      </c>
      <c r="AK25" s="318">
        <v>0</v>
      </c>
      <c r="AL25" s="341">
        <f t="shared" si="6"/>
        <v>0</v>
      </c>
      <c r="AM25" s="318">
        <v>0</v>
      </c>
      <c r="AN25" s="341">
        <f>AM25*F25</f>
        <v>0</v>
      </c>
      <c r="AO25" s="318">
        <v>661</v>
      </c>
      <c r="AP25" s="341">
        <f t="shared" si="7"/>
        <v>2478750</v>
      </c>
      <c r="AQ25" s="318">
        <v>599</v>
      </c>
      <c r="AR25" s="341">
        <f t="shared" si="33"/>
        <v>2246250</v>
      </c>
      <c r="AS25" s="318">
        <v>1964</v>
      </c>
      <c r="AT25" s="341">
        <f t="shared" si="34"/>
        <v>7365000</v>
      </c>
      <c r="AU25" s="318">
        <v>1025</v>
      </c>
      <c r="AV25" s="341">
        <f t="shared" si="8"/>
        <v>3843750</v>
      </c>
      <c r="AW25" s="318">
        <v>0</v>
      </c>
      <c r="AX25" s="341">
        <f t="shared" si="9"/>
        <v>0</v>
      </c>
      <c r="AY25" s="294">
        <v>0</v>
      </c>
      <c r="AZ25" s="341">
        <f t="shared" si="10"/>
        <v>0</v>
      </c>
      <c r="BA25" s="294">
        <v>752</v>
      </c>
      <c r="BB25" s="341">
        <f t="shared" si="35"/>
        <v>2820000</v>
      </c>
      <c r="BC25" s="318">
        <v>0</v>
      </c>
      <c r="BD25" s="341">
        <f t="shared" si="11"/>
        <v>0</v>
      </c>
      <c r="BE25" s="318">
        <v>138</v>
      </c>
      <c r="BF25" s="341">
        <f t="shared" si="12"/>
        <v>517500</v>
      </c>
      <c r="BG25" s="318">
        <v>1361</v>
      </c>
      <c r="BH25" s="341">
        <f t="shared" si="13"/>
        <v>5103750</v>
      </c>
      <c r="BI25" s="318"/>
      <c r="BJ25" s="341"/>
      <c r="BK25" s="322">
        <f t="shared" ref="BK25" si="40">BI25+BG25+BE25+BC25+BA25+AY25+AW25+AU25+AS25+AQ25+AO25+AM25+AK25+AI25+AG25+AE25+AC25+AA25</f>
        <v>10557</v>
      </c>
      <c r="BL25" s="322">
        <f t="shared" ref="BL25" si="41">BJ25+BH25+BF25+BD25+BB25+AZ25+AX25+AV25+AT25+AR25+AP25+AN25+AL25+AJ25+AH25+AF25+AD25+AB25</f>
        <v>39588750</v>
      </c>
      <c r="BM25" s="317" t="s">
        <v>918</v>
      </c>
      <c r="BO25" s="321"/>
      <c r="BP25" s="321"/>
      <c r="BQ25" s="321">
        <f>H25</f>
        <v>39588750</v>
      </c>
      <c r="BR25" s="321"/>
      <c r="BS25" s="321">
        <f t="shared" si="39"/>
        <v>39588750</v>
      </c>
      <c r="BT25" s="321"/>
      <c r="BU25" s="321"/>
      <c r="BV25" s="321"/>
      <c r="BW25" s="322">
        <f t="shared" si="16"/>
        <v>39588750</v>
      </c>
    </row>
    <row r="26" spans="1:75" x14ac:dyDescent="0.2">
      <c r="A26" s="787"/>
      <c r="B26" s="334" t="s">
        <v>964</v>
      </c>
      <c r="C26" s="318"/>
      <c r="D26" s="335" t="s">
        <v>935</v>
      </c>
      <c r="E26" s="317" t="s">
        <v>308</v>
      </c>
      <c r="F26" s="336"/>
      <c r="G26" s="318">
        <f t="shared" ref="G26:G34" si="42">BK26</f>
        <v>0</v>
      </c>
      <c r="H26" s="337">
        <f>BL26</f>
        <v>0</v>
      </c>
      <c r="I26" s="337"/>
      <c r="J26" s="337"/>
      <c r="K26" s="337"/>
      <c r="L26" s="337"/>
      <c r="M26" s="337">
        <f>H26</f>
        <v>0</v>
      </c>
      <c r="N26" s="337"/>
      <c r="O26" s="337"/>
      <c r="P26" s="338"/>
      <c r="Q26" s="338"/>
      <c r="R26" s="338"/>
      <c r="S26" s="352">
        <f t="shared" si="25"/>
        <v>0</v>
      </c>
      <c r="T26" s="352">
        <f t="shared" si="26"/>
        <v>0</v>
      </c>
      <c r="U26" s="352">
        <f t="shared" si="27"/>
        <v>0</v>
      </c>
      <c r="V26" s="352">
        <f>G26</f>
        <v>0</v>
      </c>
      <c r="W26" s="340">
        <f t="shared" si="29"/>
        <v>0</v>
      </c>
      <c r="X26" s="340">
        <f t="shared" si="30"/>
        <v>0</v>
      </c>
      <c r="Y26" s="340">
        <f t="shared" si="31"/>
        <v>0</v>
      </c>
      <c r="Z26" s="340">
        <f>H26</f>
        <v>0</v>
      </c>
      <c r="AA26" s="318">
        <v>0</v>
      </c>
      <c r="AB26" s="341">
        <f t="shared" si="1"/>
        <v>0</v>
      </c>
      <c r="AC26" s="318">
        <v>0</v>
      </c>
      <c r="AD26" s="341">
        <f t="shared" si="2"/>
        <v>0</v>
      </c>
      <c r="AE26" s="318">
        <v>0</v>
      </c>
      <c r="AF26" s="341">
        <f t="shared" si="3"/>
        <v>0</v>
      </c>
      <c r="AG26" s="318">
        <v>0</v>
      </c>
      <c r="AH26" s="341">
        <f t="shared" si="4"/>
        <v>0</v>
      </c>
      <c r="AI26" s="318">
        <v>0</v>
      </c>
      <c r="AJ26" s="341">
        <f t="shared" si="5"/>
        <v>0</v>
      </c>
      <c r="AK26" s="318">
        <v>0</v>
      </c>
      <c r="AL26" s="341">
        <f t="shared" si="6"/>
        <v>0</v>
      </c>
      <c r="AM26" s="318">
        <v>0</v>
      </c>
      <c r="AN26" s="341">
        <v>0</v>
      </c>
      <c r="AO26" s="318">
        <v>0</v>
      </c>
      <c r="AP26" s="341">
        <f t="shared" si="7"/>
        <v>0</v>
      </c>
      <c r="AQ26" s="318">
        <v>0</v>
      </c>
      <c r="AR26" s="341">
        <f t="shared" si="33"/>
        <v>0</v>
      </c>
      <c r="AS26" s="318">
        <v>0</v>
      </c>
      <c r="AT26" s="341">
        <f t="shared" si="34"/>
        <v>0</v>
      </c>
      <c r="AU26" s="318">
        <v>0</v>
      </c>
      <c r="AV26" s="341">
        <f t="shared" si="8"/>
        <v>0</v>
      </c>
      <c r="AW26" s="318">
        <v>0</v>
      </c>
      <c r="AX26" s="341">
        <f t="shared" si="9"/>
        <v>0</v>
      </c>
      <c r="AY26" s="294">
        <v>0</v>
      </c>
      <c r="AZ26" s="341">
        <f t="shared" si="10"/>
        <v>0</v>
      </c>
      <c r="BA26" s="294">
        <v>0</v>
      </c>
      <c r="BB26" s="341">
        <f t="shared" si="35"/>
        <v>0</v>
      </c>
      <c r="BC26" s="318">
        <v>0</v>
      </c>
      <c r="BD26" s="341">
        <f t="shared" si="11"/>
        <v>0</v>
      </c>
      <c r="BE26" s="318">
        <v>0</v>
      </c>
      <c r="BF26" s="341">
        <f t="shared" si="12"/>
        <v>0</v>
      </c>
      <c r="BG26" s="318">
        <v>0</v>
      </c>
      <c r="BH26" s="341">
        <f t="shared" si="13"/>
        <v>0</v>
      </c>
      <c r="BI26" s="318">
        <v>0</v>
      </c>
      <c r="BJ26" s="341">
        <f t="shared" si="14"/>
        <v>0</v>
      </c>
      <c r="BK26" s="322">
        <f t="shared" si="36"/>
        <v>0</v>
      </c>
      <c r="BL26" s="322">
        <f t="shared" si="37"/>
        <v>0</v>
      </c>
      <c r="BM26" s="317" t="s">
        <v>936</v>
      </c>
      <c r="BO26" s="321"/>
      <c r="BP26" s="321"/>
      <c r="BQ26" s="321">
        <f t="shared" si="38"/>
        <v>0</v>
      </c>
      <c r="BR26" s="321"/>
      <c r="BS26" s="321">
        <f t="shared" si="39"/>
        <v>0</v>
      </c>
      <c r="BT26" s="321"/>
      <c r="BU26" s="321"/>
      <c r="BV26" s="321"/>
      <c r="BW26" s="322">
        <f t="shared" si="16"/>
        <v>0</v>
      </c>
    </row>
    <row r="27" spans="1:75" ht="32.25" customHeight="1" x14ac:dyDescent="0.2">
      <c r="A27" s="787"/>
      <c r="B27" s="334" t="s">
        <v>964</v>
      </c>
      <c r="C27" s="318"/>
      <c r="D27" s="335" t="s">
        <v>948</v>
      </c>
      <c r="E27" s="317"/>
      <c r="F27" s="336"/>
      <c r="G27" s="337">
        <f>BK27</f>
        <v>0</v>
      </c>
      <c r="H27" s="337">
        <f>BL27</f>
        <v>0</v>
      </c>
      <c r="I27" s="337"/>
      <c r="J27" s="337"/>
      <c r="K27" s="337">
        <f>H27</f>
        <v>0</v>
      </c>
      <c r="L27" s="337"/>
      <c r="M27" s="337"/>
      <c r="N27" s="337"/>
      <c r="O27" s="337"/>
      <c r="P27" s="338"/>
      <c r="Q27" s="338"/>
      <c r="R27" s="338"/>
      <c r="S27" s="352"/>
      <c r="T27" s="352"/>
      <c r="U27" s="352"/>
      <c r="V27" s="352"/>
      <c r="W27" s="340"/>
      <c r="X27" s="340"/>
      <c r="Y27" s="340"/>
      <c r="Z27" s="340"/>
      <c r="AA27" s="318"/>
      <c r="AB27" s="341"/>
      <c r="AC27" s="318">
        <v>0</v>
      </c>
      <c r="AD27" s="341">
        <f t="shared" si="2"/>
        <v>0</v>
      </c>
      <c r="AE27" s="318">
        <v>0</v>
      </c>
      <c r="AF27" s="341">
        <f t="shared" si="3"/>
        <v>0</v>
      </c>
      <c r="AG27" s="318">
        <v>0</v>
      </c>
      <c r="AH27" s="341">
        <f t="shared" si="4"/>
        <v>0</v>
      </c>
      <c r="AI27" s="318"/>
      <c r="AJ27" s="341"/>
      <c r="AK27" s="318">
        <v>0</v>
      </c>
      <c r="AL27" s="341">
        <f t="shared" si="6"/>
        <v>0</v>
      </c>
      <c r="AM27" s="318"/>
      <c r="AN27" s="341"/>
      <c r="AO27" s="318"/>
      <c r="AP27" s="341"/>
      <c r="AQ27" s="318"/>
      <c r="AR27" s="341"/>
      <c r="AS27" s="318">
        <v>0</v>
      </c>
      <c r="AT27" s="341">
        <f t="shared" si="34"/>
        <v>0</v>
      </c>
      <c r="AU27" s="318">
        <v>0</v>
      </c>
      <c r="AV27" s="341">
        <f t="shared" si="8"/>
        <v>0</v>
      </c>
      <c r="AW27" s="318"/>
      <c r="AX27" s="341"/>
      <c r="AY27" s="294"/>
      <c r="AZ27" s="341"/>
      <c r="BA27" s="294"/>
      <c r="BB27" s="341"/>
      <c r="BC27" s="318"/>
      <c r="BD27" s="341"/>
      <c r="BE27" s="318">
        <v>0</v>
      </c>
      <c r="BF27" s="341">
        <f t="shared" si="12"/>
        <v>0</v>
      </c>
      <c r="BG27" s="318"/>
      <c r="BH27" s="341"/>
      <c r="BI27" s="318"/>
      <c r="BJ27" s="341"/>
      <c r="BK27" s="322">
        <f t="shared" ref="BK27" si="43">BI27+BG27+BE27+BC27+BA27+AY27+AW27+AU27+AS27+AQ27+AO27+AM27+AK27+AI27+AG27+AE27+AC27+AA27</f>
        <v>0</v>
      </c>
      <c r="BL27" s="322">
        <f t="shared" ref="BL27" si="44">BJ27+BH27+BF27+BD27+BB27+AZ27+AX27+AV27+AT27+AR27+AP27+AN27+AL27+AJ27+AH27+AF27+AD27+AB27</f>
        <v>0</v>
      </c>
      <c r="BM27" s="317" t="s">
        <v>534</v>
      </c>
      <c r="BO27" s="321"/>
      <c r="BP27" s="321"/>
      <c r="BQ27" s="321"/>
      <c r="BR27" s="321"/>
      <c r="BS27" s="321">
        <f t="shared" si="39"/>
        <v>0</v>
      </c>
      <c r="BT27" s="321"/>
      <c r="BU27" s="321"/>
      <c r="BV27" s="321"/>
      <c r="BW27" s="322">
        <f t="shared" si="16"/>
        <v>0</v>
      </c>
    </row>
    <row r="28" spans="1:75" ht="67.5" customHeight="1" x14ac:dyDescent="0.2">
      <c r="A28" s="787"/>
      <c r="B28" s="334" t="s">
        <v>964</v>
      </c>
      <c r="C28" s="318"/>
      <c r="D28" s="348" t="s">
        <v>921</v>
      </c>
      <c r="E28" s="317" t="s">
        <v>239</v>
      </c>
      <c r="F28" s="336">
        <v>115000</v>
      </c>
      <c r="G28" s="318">
        <v>150</v>
      </c>
      <c r="H28" s="337">
        <f>G28*F28</f>
        <v>17250000</v>
      </c>
      <c r="I28" s="337"/>
      <c r="J28" s="337"/>
      <c r="K28" s="337"/>
      <c r="L28" s="337"/>
      <c r="M28" s="337">
        <f>H28</f>
        <v>17250000</v>
      </c>
      <c r="N28" s="337"/>
      <c r="O28" s="337"/>
      <c r="P28" s="338"/>
      <c r="Q28" s="338"/>
      <c r="R28" s="338"/>
      <c r="S28" s="352">
        <f t="shared" si="25"/>
        <v>37.5</v>
      </c>
      <c r="T28" s="352">
        <f t="shared" si="26"/>
        <v>37.5</v>
      </c>
      <c r="U28" s="352">
        <f t="shared" si="27"/>
        <v>37.5</v>
      </c>
      <c r="V28" s="352">
        <f t="shared" si="28"/>
        <v>37.5</v>
      </c>
      <c r="W28" s="340">
        <f t="shared" si="29"/>
        <v>4312500</v>
      </c>
      <c r="X28" s="340">
        <f t="shared" si="30"/>
        <v>4312500</v>
      </c>
      <c r="Y28" s="340">
        <f t="shared" si="31"/>
        <v>4312500</v>
      </c>
      <c r="Z28" s="340">
        <f t="shared" si="32"/>
        <v>4312500</v>
      </c>
      <c r="AA28" s="318">
        <v>10</v>
      </c>
      <c r="AB28" s="341">
        <f t="shared" si="1"/>
        <v>1150000</v>
      </c>
      <c r="AC28" s="318">
        <v>8</v>
      </c>
      <c r="AD28" s="341">
        <f t="shared" si="2"/>
        <v>920000</v>
      </c>
      <c r="AE28" s="318">
        <v>10</v>
      </c>
      <c r="AF28" s="341">
        <f t="shared" si="3"/>
        <v>1150000</v>
      </c>
      <c r="AG28" s="318">
        <v>10</v>
      </c>
      <c r="AH28" s="341">
        <f t="shared" si="4"/>
        <v>1150000</v>
      </c>
      <c r="AI28" s="318">
        <v>7</v>
      </c>
      <c r="AJ28" s="341">
        <f t="shared" si="5"/>
        <v>805000</v>
      </c>
      <c r="AK28" s="318">
        <v>9</v>
      </c>
      <c r="AL28" s="341">
        <f t="shared" si="6"/>
        <v>1035000</v>
      </c>
      <c r="AM28" s="318">
        <v>8</v>
      </c>
      <c r="AN28" s="341">
        <f t="shared" ref="AN28:AN36" si="45">AM28*F28</f>
        <v>920000</v>
      </c>
      <c r="AO28" s="318">
        <v>7</v>
      </c>
      <c r="AP28" s="341">
        <f t="shared" si="7"/>
        <v>805000</v>
      </c>
      <c r="AQ28" s="318">
        <v>12</v>
      </c>
      <c r="AR28" s="341">
        <f t="shared" si="33"/>
        <v>1380000</v>
      </c>
      <c r="AS28" s="318">
        <v>9</v>
      </c>
      <c r="AT28" s="341">
        <f t="shared" si="34"/>
        <v>1035000</v>
      </c>
      <c r="AU28" s="318">
        <v>6</v>
      </c>
      <c r="AV28" s="341">
        <f t="shared" si="8"/>
        <v>690000</v>
      </c>
      <c r="AW28" s="318">
        <v>7</v>
      </c>
      <c r="AX28" s="341">
        <f t="shared" si="9"/>
        <v>805000</v>
      </c>
      <c r="AY28" s="294">
        <v>8</v>
      </c>
      <c r="AZ28" s="341">
        <f t="shared" si="10"/>
        <v>920000</v>
      </c>
      <c r="BA28" s="294">
        <v>9</v>
      </c>
      <c r="BB28" s="341">
        <f t="shared" si="35"/>
        <v>1035000</v>
      </c>
      <c r="BC28" s="318">
        <v>10</v>
      </c>
      <c r="BD28" s="341">
        <f t="shared" si="11"/>
        <v>1150000</v>
      </c>
      <c r="BE28" s="318">
        <v>10</v>
      </c>
      <c r="BF28" s="341">
        <f t="shared" si="12"/>
        <v>1150000</v>
      </c>
      <c r="BG28" s="318">
        <v>10</v>
      </c>
      <c r="BH28" s="341">
        <f t="shared" si="13"/>
        <v>1150000</v>
      </c>
      <c r="BI28" s="318"/>
      <c r="BJ28" s="341"/>
      <c r="BK28" s="322">
        <f t="shared" si="36"/>
        <v>150</v>
      </c>
      <c r="BL28" s="322">
        <f t="shared" si="37"/>
        <v>17250000</v>
      </c>
      <c r="BM28" s="317" t="s">
        <v>531</v>
      </c>
      <c r="BO28" s="321"/>
      <c r="BP28" s="321"/>
      <c r="BQ28" s="321">
        <f t="shared" si="38"/>
        <v>17250000</v>
      </c>
      <c r="BR28" s="321"/>
      <c r="BS28" s="321">
        <f t="shared" si="39"/>
        <v>17250000</v>
      </c>
      <c r="BT28" s="321"/>
      <c r="BU28" s="321"/>
      <c r="BV28" s="321"/>
      <c r="BW28" s="322">
        <f t="shared" si="16"/>
        <v>17250000</v>
      </c>
    </row>
    <row r="29" spans="1:75" ht="67.5" customHeight="1" x14ac:dyDescent="0.2">
      <c r="A29" s="787"/>
      <c r="B29" s="334" t="s">
        <v>964</v>
      </c>
      <c r="C29" s="318"/>
      <c r="D29" s="348" t="s">
        <v>931</v>
      </c>
      <c r="E29" s="317" t="s">
        <v>535</v>
      </c>
      <c r="F29" s="336">
        <v>115000</v>
      </c>
      <c r="G29" s="318">
        <f t="shared" ref="G29" si="46">BK29</f>
        <v>150</v>
      </c>
      <c r="H29" s="337">
        <f>G29*F29</f>
        <v>17250000</v>
      </c>
      <c r="I29" s="337"/>
      <c r="J29" s="337"/>
      <c r="K29" s="337"/>
      <c r="L29" s="337"/>
      <c r="M29" s="337"/>
      <c r="N29" s="337"/>
      <c r="O29" s="337">
        <f>H29</f>
        <v>17250000</v>
      </c>
      <c r="P29" s="338"/>
      <c r="Q29" s="338"/>
      <c r="R29" s="338"/>
      <c r="S29" s="352"/>
      <c r="T29" s="352"/>
      <c r="U29" s="352"/>
      <c r="V29" s="352">
        <f>G29</f>
        <v>150</v>
      </c>
      <c r="W29" s="340"/>
      <c r="X29" s="340"/>
      <c r="Y29" s="340"/>
      <c r="Z29" s="340">
        <f>H29</f>
        <v>17250000</v>
      </c>
      <c r="AA29" s="318">
        <v>10</v>
      </c>
      <c r="AB29" s="341">
        <f t="shared" ref="AB29" si="47">AA29*F29</f>
        <v>1150000</v>
      </c>
      <c r="AC29" s="318">
        <v>8</v>
      </c>
      <c r="AD29" s="341">
        <f t="shared" ref="AD29" si="48">AC29*F29</f>
        <v>920000</v>
      </c>
      <c r="AE29" s="318">
        <v>10</v>
      </c>
      <c r="AF29" s="341">
        <f t="shared" ref="AF29" si="49">AE29*F29</f>
        <v>1150000</v>
      </c>
      <c r="AG29" s="318">
        <v>10</v>
      </c>
      <c r="AH29" s="341">
        <f t="shared" ref="AH29" si="50">AG29*F29</f>
        <v>1150000</v>
      </c>
      <c r="AI29" s="318">
        <v>7</v>
      </c>
      <c r="AJ29" s="341">
        <f t="shared" ref="AJ29" si="51">AI29*F29</f>
        <v>805000</v>
      </c>
      <c r="AK29" s="318">
        <v>9</v>
      </c>
      <c r="AL29" s="341">
        <f t="shared" ref="AL29" si="52">AK29*F29</f>
        <v>1035000</v>
      </c>
      <c r="AM29" s="318">
        <v>8</v>
      </c>
      <c r="AN29" s="341">
        <f t="shared" si="45"/>
        <v>920000</v>
      </c>
      <c r="AO29" s="318">
        <v>7</v>
      </c>
      <c r="AP29" s="341">
        <f t="shared" si="7"/>
        <v>805000</v>
      </c>
      <c r="AQ29" s="318">
        <v>12</v>
      </c>
      <c r="AR29" s="341">
        <f t="shared" si="33"/>
        <v>1380000</v>
      </c>
      <c r="AS29" s="318">
        <v>9</v>
      </c>
      <c r="AT29" s="341">
        <f t="shared" si="34"/>
        <v>1035000</v>
      </c>
      <c r="AU29" s="318">
        <v>6</v>
      </c>
      <c r="AV29" s="341">
        <f t="shared" si="8"/>
        <v>690000</v>
      </c>
      <c r="AW29" s="318">
        <v>7</v>
      </c>
      <c r="AX29" s="341">
        <f t="shared" si="9"/>
        <v>805000</v>
      </c>
      <c r="AY29" s="294">
        <v>8</v>
      </c>
      <c r="AZ29" s="341">
        <f t="shared" ref="AZ29" si="53">AY29*F29</f>
        <v>920000</v>
      </c>
      <c r="BA29" s="294">
        <v>9</v>
      </c>
      <c r="BB29" s="341">
        <f t="shared" ref="BB29" si="54">BA29*F29</f>
        <v>1035000</v>
      </c>
      <c r="BC29" s="318">
        <v>10</v>
      </c>
      <c r="BD29" s="341">
        <f t="shared" ref="BD29" si="55">BC29*F29</f>
        <v>1150000</v>
      </c>
      <c r="BE29" s="318">
        <v>10</v>
      </c>
      <c r="BF29" s="341">
        <f t="shared" ref="BF29" si="56">BE29*F29</f>
        <v>1150000</v>
      </c>
      <c r="BG29" s="318">
        <v>10</v>
      </c>
      <c r="BH29" s="341">
        <f t="shared" ref="BH29" si="57">BG29*F29</f>
        <v>1150000</v>
      </c>
      <c r="BI29" s="318"/>
      <c r="BJ29" s="341"/>
      <c r="BK29" s="322">
        <f t="shared" ref="BK29" si="58">BI29+BG29+BE29+BC29+BA29+AY29+AW29+AU29+AS29+AQ29+AO29+AM29+AK29+AI29+AG29+AE29+AC29+AA29</f>
        <v>150</v>
      </c>
      <c r="BL29" s="322">
        <f t="shared" ref="BL29" si="59">BJ29+BH29+BF29+BD29+BB29+AZ29+AX29+AV29+AT29+AR29+AP29+AN29+AL29+AJ29+AH29+AF29+AD29+AB29</f>
        <v>17250000</v>
      </c>
      <c r="BM29" s="317" t="s">
        <v>918</v>
      </c>
      <c r="BO29" s="321"/>
      <c r="BP29" s="321"/>
      <c r="BQ29" s="321">
        <f>H29</f>
        <v>17250000</v>
      </c>
      <c r="BR29" s="321"/>
      <c r="BS29" s="321">
        <f t="shared" si="39"/>
        <v>17250000</v>
      </c>
      <c r="BT29" s="321"/>
      <c r="BU29" s="321"/>
      <c r="BV29" s="321"/>
      <c r="BW29" s="322">
        <f t="shared" si="16"/>
        <v>17250000</v>
      </c>
    </row>
    <row r="30" spans="1:75" ht="38.25" x14ac:dyDescent="0.2">
      <c r="A30" s="787"/>
      <c r="B30" s="294"/>
      <c r="C30" s="294"/>
      <c r="D30" s="335" t="s">
        <v>614</v>
      </c>
      <c r="E30" s="317" t="s">
        <v>239</v>
      </c>
      <c r="F30" s="336">
        <v>140000</v>
      </c>
      <c r="G30" s="318">
        <f t="shared" si="42"/>
        <v>0</v>
      </c>
      <c r="H30" s="337">
        <f t="shared" ref="G30:H34" si="60">BL30</f>
        <v>0</v>
      </c>
      <c r="I30" s="337"/>
      <c r="J30" s="337"/>
      <c r="K30" s="337">
        <f>H30</f>
        <v>0</v>
      </c>
      <c r="L30" s="337"/>
      <c r="M30" s="337"/>
      <c r="N30" s="337"/>
      <c r="O30" s="337"/>
      <c r="P30" s="338"/>
      <c r="Q30" s="338"/>
      <c r="R30" s="338"/>
      <c r="S30" s="352">
        <f t="shared" si="25"/>
        <v>0</v>
      </c>
      <c r="T30" s="352">
        <f t="shared" si="26"/>
        <v>0</v>
      </c>
      <c r="U30" s="352">
        <f t="shared" si="27"/>
        <v>0</v>
      </c>
      <c r="V30" s="352">
        <f t="shared" si="28"/>
        <v>0</v>
      </c>
      <c r="W30" s="340">
        <f t="shared" si="29"/>
        <v>0</v>
      </c>
      <c r="X30" s="340">
        <f t="shared" si="30"/>
        <v>0</v>
      </c>
      <c r="Y30" s="340">
        <f t="shared" si="31"/>
        <v>0</v>
      </c>
      <c r="Z30" s="340">
        <f>V30*F30+100000</f>
        <v>100000</v>
      </c>
      <c r="AA30" s="318">
        <v>0</v>
      </c>
      <c r="AB30" s="341">
        <f>AA30*F30</f>
        <v>0</v>
      </c>
      <c r="AC30" s="318">
        <v>0</v>
      </c>
      <c r="AD30" s="341">
        <f>AC30*F30</f>
        <v>0</v>
      </c>
      <c r="AE30" s="318">
        <v>0</v>
      </c>
      <c r="AF30" s="341">
        <f>AE30*F30</f>
        <v>0</v>
      </c>
      <c r="AG30" s="318">
        <v>0</v>
      </c>
      <c r="AH30" s="341">
        <f>AG30*F30</f>
        <v>0</v>
      </c>
      <c r="AI30" s="318">
        <v>0</v>
      </c>
      <c r="AJ30" s="341">
        <f>AI30*F30</f>
        <v>0</v>
      </c>
      <c r="AK30" s="318">
        <v>0</v>
      </c>
      <c r="AL30" s="341">
        <f>AK30*F30</f>
        <v>0</v>
      </c>
      <c r="AM30" s="318">
        <v>0</v>
      </c>
      <c r="AN30" s="341">
        <f>AM30*F30</f>
        <v>0</v>
      </c>
      <c r="AO30" s="318">
        <v>0</v>
      </c>
      <c r="AP30" s="341">
        <f t="shared" si="7"/>
        <v>0</v>
      </c>
      <c r="AQ30" s="318">
        <v>0</v>
      </c>
      <c r="AR30" s="341">
        <f>AQ30*F30</f>
        <v>0</v>
      </c>
      <c r="AS30" s="318">
        <v>0</v>
      </c>
      <c r="AT30" s="341">
        <f>AS30*F30</f>
        <v>0</v>
      </c>
      <c r="AU30" s="318">
        <v>0</v>
      </c>
      <c r="AV30" s="341">
        <f>AU30*F30</f>
        <v>0</v>
      </c>
      <c r="AW30" s="318">
        <v>0</v>
      </c>
      <c r="AX30" s="341">
        <f>AW30*F30</f>
        <v>0</v>
      </c>
      <c r="AY30" s="294">
        <v>0</v>
      </c>
      <c r="AZ30" s="341">
        <f>AY30*F30</f>
        <v>0</v>
      </c>
      <c r="BA30" s="294">
        <v>0</v>
      </c>
      <c r="BB30" s="341">
        <f>BA30*F30</f>
        <v>0</v>
      </c>
      <c r="BC30" s="318">
        <v>0</v>
      </c>
      <c r="BD30" s="341">
        <f>BC30*F30</f>
        <v>0</v>
      </c>
      <c r="BE30" s="318">
        <v>0</v>
      </c>
      <c r="BF30" s="341">
        <f>BE30*F30</f>
        <v>0</v>
      </c>
      <c r="BG30" s="318">
        <v>0</v>
      </c>
      <c r="BH30" s="341">
        <f>BG30*F30</f>
        <v>0</v>
      </c>
      <c r="BI30" s="318"/>
      <c r="BJ30" s="341"/>
      <c r="BK30" s="322">
        <f t="shared" si="36"/>
        <v>0</v>
      </c>
      <c r="BL30" s="322">
        <f t="shared" si="37"/>
        <v>0</v>
      </c>
      <c r="BM30" s="317" t="s">
        <v>532</v>
      </c>
      <c r="BO30" s="321"/>
      <c r="BP30" s="321"/>
      <c r="BQ30" s="321">
        <f t="shared" si="38"/>
        <v>0</v>
      </c>
      <c r="BR30" s="321"/>
      <c r="BS30" s="321">
        <f t="shared" si="39"/>
        <v>0</v>
      </c>
      <c r="BT30" s="321"/>
      <c r="BU30" s="321"/>
      <c r="BV30" s="321"/>
      <c r="BW30" s="322">
        <f t="shared" si="16"/>
        <v>0</v>
      </c>
    </row>
    <row r="31" spans="1:75" ht="54" customHeight="1" x14ac:dyDescent="0.25">
      <c r="A31" s="787"/>
      <c r="B31" s="294" t="s">
        <v>964</v>
      </c>
      <c r="C31" s="294"/>
      <c r="D31" s="348" t="s">
        <v>922</v>
      </c>
      <c r="E31" s="349" t="s">
        <v>308</v>
      </c>
      <c r="F31" s="350">
        <v>4000</v>
      </c>
      <c r="G31" s="318">
        <f t="shared" si="42"/>
        <v>0</v>
      </c>
      <c r="H31" s="337">
        <f t="shared" si="60"/>
        <v>0</v>
      </c>
      <c r="I31" s="337"/>
      <c r="J31" s="337"/>
      <c r="K31" s="337"/>
      <c r="L31" s="337"/>
      <c r="M31" s="337">
        <f>H31*0.8</f>
        <v>0</v>
      </c>
      <c r="N31" s="337"/>
      <c r="O31" s="337"/>
      <c r="P31" s="338"/>
      <c r="Q31" s="338">
        <f>H31*0.2</f>
        <v>0</v>
      </c>
      <c r="R31" s="338"/>
      <c r="S31" s="352">
        <f t="shared" si="25"/>
        <v>0</v>
      </c>
      <c r="T31" s="352">
        <f t="shared" si="26"/>
        <v>0</v>
      </c>
      <c r="U31" s="352">
        <f t="shared" si="27"/>
        <v>0</v>
      </c>
      <c r="V31" s="352">
        <f t="shared" si="28"/>
        <v>0</v>
      </c>
      <c r="W31" s="340">
        <f t="shared" si="29"/>
        <v>0</v>
      </c>
      <c r="X31" s="340">
        <f t="shared" si="30"/>
        <v>0</v>
      </c>
      <c r="Y31" s="340">
        <f t="shared" si="31"/>
        <v>0</v>
      </c>
      <c r="Z31" s="340">
        <f t="shared" si="32"/>
        <v>0</v>
      </c>
      <c r="AA31" s="318">
        <v>0</v>
      </c>
      <c r="AB31" s="341">
        <f t="shared" si="1"/>
        <v>0</v>
      </c>
      <c r="AC31" s="318">
        <v>0</v>
      </c>
      <c r="AD31" s="341">
        <f t="shared" si="2"/>
        <v>0</v>
      </c>
      <c r="AE31" s="318">
        <v>0</v>
      </c>
      <c r="AF31" s="341">
        <f t="shared" si="3"/>
        <v>0</v>
      </c>
      <c r="AG31" s="318">
        <v>0</v>
      </c>
      <c r="AH31" s="341">
        <f t="shared" si="4"/>
        <v>0</v>
      </c>
      <c r="AI31" s="318">
        <v>0</v>
      </c>
      <c r="AJ31" s="341">
        <f t="shared" si="5"/>
        <v>0</v>
      </c>
      <c r="AK31" s="318">
        <v>0</v>
      </c>
      <c r="AL31" s="341">
        <f t="shared" si="6"/>
        <v>0</v>
      </c>
      <c r="AM31" s="318">
        <v>0</v>
      </c>
      <c r="AN31" s="341">
        <f t="shared" si="45"/>
        <v>0</v>
      </c>
      <c r="AO31" s="318">
        <v>0</v>
      </c>
      <c r="AP31" s="341">
        <f t="shared" si="7"/>
        <v>0</v>
      </c>
      <c r="AQ31" s="318">
        <v>0</v>
      </c>
      <c r="AR31" s="341">
        <f t="shared" si="33"/>
        <v>0</v>
      </c>
      <c r="AS31" s="318">
        <v>0</v>
      </c>
      <c r="AT31" s="341">
        <f t="shared" si="34"/>
        <v>0</v>
      </c>
      <c r="AU31" s="318">
        <v>0</v>
      </c>
      <c r="AV31" s="341">
        <f t="shared" si="8"/>
        <v>0</v>
      </c>
      <c r="AW31" s="318">
        <v>0</v>
      </c>
      <c r="AX31" s="341">
        <f t="shared" si="9"/>
        <v>0</v>
      </c>
      <c r="AY31" s="294">
        <v>0</v>
      </c>
      <c r="AZ31" s="341">
        <f t="shared" si="10"/>
        <v>0</v>
      </c>
      <c r="BA31" s="294">
        <v>0</v>
      </c>
      <c r="BB31" s="341">
        <f t="shared" si="35"/>
        <v>0</v>
      </c>
      <c r="BC31" s="318">
        <v>0</v>
      </c>
      <c r="BD31" s="341">
        <f t="shared" si="11"/>
        <v>0</v>
      </c>
      <c r="BE31" s="318">
        <v>0</v>
      </c>
      <c r="BF31" s="341">
        <f t="shared" si="12"/>
        <v>0</v>
      </c>
      <c r="BG31" s="318">
        <v>0</v>
      </c>
      <c r="BH31" s="341">
        <f t="shared" si="13"/>
        <v>0</v>
      </c>
      <c r="BI31" s="318">
        <v>0</v>
      </c>
      <c r="BJ31" s="341">
        <f t="shared" si="14"/>
        <v>0</v>
      </c>
      <c r="BK31" s="322">
        <f t="shared" si="36"/>
        <v>0</v>
      </c>
      <c r="BL31" s="322">
        <f t="shared" si="37"/>
        <v>0</v>
      </c>
      <c r="BM31" s="349" t="s">
        <v>531</v>
      </c>
      <c r="BO31" s="321"/>
      <c r="BP31" s="321"/>
      <c r="BQ31" s="321">
        <f t="shared" si="38"/>
        <v>0</v>
      </c>
      <c r="BR31" s="321"/>
      <c r="BS31" s="321">
        <f t="shared" si="39"/>
        <v>0</v>
      </c>
      <c r="BT31" s="321"/>
      <c r="BU31" s="321"/>
      <c r="BV31" s="321"/>
      <c r="BW31" s="322">
        <f t="shared" si="16"/>
        <v>0</v>
      </c>
    </row>
    <row r="32" spans="1:75" ht="38.25" customHeight="1" x14ac:dyDescent="0.2">
      <c r="A32" s="787"/>
      <c r="B32" s="294" t="s">
        <v>964</v>
      </c>
      <c r="C32" s="294"/>
      <c r="D32" s="335" t="s">
        <v>979</v>
      </c>
      <c r="E32" s="317" t="s">
        <v>914</v>
      </c>
      <c r="F32" s="336">
        <v>1800</v>
      </c>
      <c r="G32" s="337">
        <f t="shared" si="60"/>
        <v>0</v>
      </c>
      <c r="H32" s="337">
        <f t="shared" si="60"/>
        <v>0</v>
      </c>
      <c r="I32" s="337">
        <f>H32*0.2</f>
        <v>0</v>
      </c>
      <c r="J32" s="337">
        <f>H32*0.8</f>
        <v>0</v>
      </c>
      <c r="K32" s="337"/>
      <c r="L32" s="337"/>
      <c r="M32" s="337"/>
      <c r="N32" s="337"/>
      <c r="O32" s="337"/>
      <c r="P32" s="338"/>
      <c r="Q32" s="338"/>
      <c r="R32" s="338"/>
      <c r="S32" s="352"/>
      <c r="T32" s="352"/>
      <c r="U32" s="352"/>
      <c r="V32" s="352">
        <v>1</v>
      </c>
      <c r="W32" s="340">
        <f>S32*F32</f>
        <v>0</v>
      </c>
      <c r="X32" s="340">
        <f>T32*F32</f>
        <v>0</v>
      </c>
      <c r="Y32" s="340">
        <f>U32*F32</f>
        <v>0</v>
      </c>
      <c r="Z32" s="340">
        <f>V32*F32</f>
        <v>1800</v>
      </c>
      <c r="AA32" s="318">
        <v>0</v>
      </c>
      <c r="AB32" s="341">
        <f t="shared" si="1"/>
        <v>0</v>
      </c>
      <c r="AC32" s="318">
        <v>0</v>
      </c>
      <c r="AD32" s="341">
        <f t="shared" si="2"/>
        <v>0</v>
      </c>
      <c r="AE32" s="318">
        <v>0</v>
      </c>
      <c r="AF32" s="341">
        <f t="shared" si="3"/>
        <v>0</v>
      </c>
      <c r="AG32" s="318">
        <v>0</v>
      </c>
      <c r="AH32" s="341">
        <f t="shared" si="4"/>
        <v>0</v>
      </c>
      <c r="AI32" s="318">
        <v>0</v>
      </c>
      <c r="AJ32" s="341">
        <f t="shared" si="5"/>
        <v>0</v>
      </c>
      <c r="AK32" s="318">
        <v>0</v>
      </c>
      <c r="AL32" s="341">
        <f t="shared" si="6"/>
        <v>0</v>
      </c>
      <c r="AM32" s="318">
        <v>0</v>
      </c>
      <c r="AN32" s="341">
        <f t="shared" si="45"/>
        <v>0</v>
      </c>
      <c r="AO32" s="318">
        <v>0</v>
      </c>
      <c r="AP32" s="341">
        <f t="shared" si="7"/>
        <v>0</v>
      </c>
      <c r="AQ32" s="318">
        <v>0</v>
      </c>
      <c r="AR32" s="341">
        <f t="shared" si="33"/>
        <v>0</v>
      </c>
      <c r="AS32" s="318">
        <v>0</v>
      </c>
      <c r="AT32" s="341">
        <f t="shared" si="34"/>
        <v>0</v>
      </c>
      <c r="AU32" s="318">
        <v>0</v>
      </c>
      <c r="AV32" s="341">
        <f t="shared" si="8"/>
        <v>0</v>
      </c>
      <c r="AW32" s="318">
        <v>0</v>
      </c>
      <c r="AX32" s="341">
        <f t="shared" si="9"/>
        <v>0</v>
      </c>
      <c r="AY32" s="294">
        <v>0</v>
      </c>
      <c r="AZ32" s="341">
        <f t="shared" si="10"/>
        <v>0</v>
      </c>
      <c r="BA32" s="294">
        <v>0</v>
      </c>
      <c r="BB32" s="341">
        <f t="shared" si="35"/>
        <v>0</v>
      </c>
      <c r="BC32" s="318">
        <v>0</v>
      </c>
      <c r="BD32" s="341">
        <f t="shared" si="11"/>
        <v>0</v>
      </c>
      <c r="BE32" s="318">
        <v>0</v>
      </c>
      <c r="BF32" s="341">
        <f t="shared" si="12"/>
        <v>0</v>
      </c>
      <c r="BG32" s="318">
        <v>0</v>
      </c>
      <c r="BH32" s="341">
        <f t="shared" si="13"/>
        <v>0</v>
      </c>
      <c r="BI32" s="318"/>
      <c r="BJ32" s="341"/>
      <c r="BK32" s="322">
        <f t="shared" si="36"/>
        <v>0</v>
      </c>
      <c r="BL32" s="322">
        <f t="shared" si="37"/>
        <v>0</v>
      </c>
      <c r="BM32" s="317" t="s">
        <v>561</v>
      </c>
      <c r="BO32" s="321"/>
      <c r="BP32" s="321"/>
      <c r="BQ32" s="321">
        <f t="shared" si="38"/>
        <v>0</v>
      </c>
      <c r="BR32" s="321"/>
      <c r="BS32" s="321">
        <f t="shared" si="39"/>
        <v>0</v>
      </c>
      <c r="BT32" s="321"/>
      <c r="BU32" s="321"/>
      <c r="BV32" s="321"/>
      <c r="BW32" s="322">
        <f t="shared" si="16"/>
        <v>0</v>
      </c>
    </row>
    <row r="33" spans="1:75" ht="33.75" customHeight="1" x14ac:dyDescent="0.2">
      <c r="A33" s="787"/>
      <c r="B33" s="294"/>
      <c r="C33" s="638" t="s">
        <v>774</v>
      </c>
      <c r="D33" s="335" t="s">
        <v>678</v>
      </c>
      <c r="E33" s="317" t="s">
        <v>308</v>
      </c>
      <c r="F33" s="336">
        <v>45000</v>
      </c>
      <c r="G33" s="318">
        <f t="shared" si="42"/>
        <v>0</v>
      </c>
      <c r="H33" s="337">
        <f t="shared" si="60"/>
        <v>0</v>
      </c>
      <c r="I33" s="337">
        <f>H33*0.1</f>
        <v>0</v>
      </c>
      <c r="J33" s="337">
        <f>H33*0.8</f>
        <v>0</v>
      </c>
      <c r="K33" s="337"/>
      <c r="L33" s="337"/>
      <c r="M33" s="337"/>
      <c r="N33" s="337"/>
      <c r="O33" s="337"/>
      <c r="P33" s="338"/>
      <c r="Q33" s="338">
        <f>H33*0.1</f>
        <v>0</v>
      </c>
      <c r="R33" s="338"/>
      <c r="S33" s="352">
        <v>0</v>
      </c>
      <c r="T33" s="352">
        <v>0</v>
      </c>
      <c r="U33" s="352">
        <f t="shared" si="27"/>
        <v>0</v>
      </c>
      <c r="V33" s="352">
        <f t="shared" si="28"/>
        <v>0</v>
      </c>
      <c r="W33" s="340">
        <f t="shared" si="29"/>
        <v>0</v>
      </c>
      <c r="X33" s="340">
        <f t="shared" si="30"/>
        <v>0</v>
      </c>
      <c r="Y33" s="340">
        <f>0</f>
        <v>0</v>
      </c>
      <c r="Z33" s="340">
        <f>H33</f>
        <v>0</v>
      </c>
      <c r="AA33" s="318">
        <v>0</v>
      </c>
      <c r="AB33" s="341">
        <f t="shared" si="1"/>
        <v>0</v>
      </c>
      <c r="AC33" s="318">
        <v>0</v>
      </c>
      <c r="AD33" s="341">
        <f>AC33*F33</f>
        <v>0</v>
      </c>
      <c r="AE33" s="318">
        <v>0</v>
      </c>
      <c r="AF33" s="341">
        <f t="shared" si="3"/>
        <v>0</v>
      </c>
      <c r="AG33" s="318">
        <v>0</v>
      </c>
      <c r="AH33" s="341">
        <f t="shared" si="4"/>
        <v>0</v>
      </c>
      <c r="AI33" s="318">
        <v>0</v>
      </c>
      <c r="AJ33" s="341">
        <f t="shared" si="5"/>
        <v>0</v>
      </c>
      <c r="AK33" s="318">
        <v>0</v>
      </c>
      <c r="AL33" s="341">
        <f t="shared" si="6"/>
        <v>0</v>
      </c>
      <c r="AM33" s="318"/>
      <c r="AN33" s="341">
        <f t="shared" si="45"/>
        <v>0</v>
      </c>
      <c r="AO33" s="318"/>
      <c r="AP33" s="341">
        <f t="shared" si="7"/>
        <v>0</v>
      </c>
      <c r="AQ33" s="318"/>
      <c r="AR33" s="341">
        <f t="shared" si="33"/>
        <v>0</v>
      </c>
      <c r="AS33" s="318">
        <v>0</v>
      </c>
      <c r="AT33" s="341">
        <f t="shared" si="34"/>
        <v>0</v>
      </c>
      <c r="AU33" s="318"/>
      <c r="AV33" s="341">
        <f t="shared" si="8"/>
        <v>0</v>
      </c>
      <c r="AW33" s="318">
        <v>0</v>
      </c>
      <c r="AX33" s="341">
        <f t="shared" si="9"/>
        <v>0</v>
      </c>
      <c r="AY33" s="331">
        <v>0</v>
      </c>
      <c r="AZ33" s="341">
        <f t="shared" si="10"/>
        <v>0</v>
      </c>
      <c r="BA33" s="294"/>
      <c r="BB33" s="341">
        <f t="shared" si="35"/>
        <v>0</v>
      </c>
      <c r="BC33" s="318">
        <v>0</v>
      </c>
      <c r="BD33" s="341">
        <f t="shared" si="11"/>
        <v>0</v>
      </c>
      <c r="BE33" s="318">
        <v>0</v>
      </c>
      <c r="BF33" s="341">
        <f t="shared" si="12"/>
        <v>0</v>
      </c>
      <c r="BG33" s="318">
        <v>0</v>
      </c>
      <c r="BH33" s="341">
        <f t="shared" si="13"/>
        <v>0</v>
      </c>
      <c r="BI33" s="318"/>
      <c r="BJ33" s="341">
        <f t="shared" si="14"/>
        <v>0</v>
      </c>
      <c r="BK33" s="322">
        <f t="shared" si="36"/>
        <v>0</v>
      </c>
      <c r="BL33" s="322">
        <f t="shared" si="37"/>
        <v>0</v>
      </c>
      <c r="BM33" s="317" t="s">
        <v>215</v>
      </c>
      <c r="BO33" s="321"/>
      <c r="BP33" s="321"/>
      <c r="BQ33" s="321">
        <f t="shared" si="38"/>
        <v>0</v>
      </c>
      <c r="BR33" s="321"/>
      <c r="BS33" s="321">
        <f t="shared" si="39"/>
        <v>0</v>
      </c>
      <c r="BT33" s="321"/>
      <c r="BU33" s="321"/>
      <c r="BV33" s="321">
        <f>BT33+BU33</f>
        <v>0</v>
      </c>
      <c r="BW33" s="322">
        <f t="shared" si="16"/>
        <v>0</v>
      </c>
    </row>
    <row r="34" spans="1:75" ht="33.75" customHeight="1" x14ac:dyDescent="0.2">
      <c r="A34" s="787"/>
      <c r="B34" s="294"/>
      <c r="C34" s="638" t="s">
        <v>859</v>
      </c>
      <c r="D34" s="335" t="s">
        <v>604</v>
      </c>
      <c r="E34" s="317" t="s">
        <v>603</v>
      </c>
      <c r="F34" s="336">
        <v>10000</v>
      </c>
      <c r="G34" s="318">
        <f t="shared" si="42"/>
        <v>0</v>
      </c>
      <c r="H34" s="337">
        <f t="shared" si="60"/>
        <v>0</v>
      </c>
      <c r="I34" s="337">
        <f>H34*0.1</f>
        <v>0</v>
      </c>
      <c r="J34" s="337">
        <f>H34*0.8</f>
        <v>0</v>
      </c>
      <c r="K34" s="337"/>
      <c r="L34" s="337"/>
      <c r="M34" s="337"/>
      <c r="N34" s="337"/>
      <c r="O34" s="337"/>
      <c r="P34" s="338"/>
      <c r="Q34" s="337">
        <f>H34*0.1</f>
        <v>0</v>
      </c>
      <c r="R34" s="338"/>
      <c r="S34" s="352"/>
      <c r="T34" s="352"/>
      <c r="U34" s="352">
        <v>50</v>
      </c>
      <c r="V34" s="352">
        <v>38</v>
      </c>
      <c r="W34" s="340">
        <f>S34*F34</f>
        <v>0</v>
      </c>
      <c r="X34" s="340">
        <f>T34*F34</f>
        <v>0</v>
      </c>
      <c r="Y34" s="340">
        <f>U34*F34</f>
        <v>500000</v>
      </c>
      <c r="Z34" s="340">
        <f>V34*F34</f>
        <v>380000</v>
      </c>
      <c r="AA34" s="318">
        <v>0</v>
      </c>
      <c r="AB34" s="341">
        <f t="shared" si="1"/>
        <v>0</v>
      </c>
      <c r="AC34" s="318">
        <v>0</v>
      </c>
      <c r="AD34" s="341">
        <f>AC34*F34</f>
        <v>0</v>
      </c>
      <c r="AE34" s="318">
        <v>0</v>
      </c>
      <c r="AF34" s="341">
        <f t="shared" si="3"/>
        <v>0</v>
      </c>
      <c r="AG34" s="318"/>
      <c r="AH34" s="341">
        <f t="shared" si="4"/>
        <v>0</v>
      </c>
      <c r="AI34" s="318"/>
      <c r="AJ34" s="341">
        <f t="shared" si="5"/>
        <v>0</v>
      </c>
      <c r="AK34" s="318"/>
      <c r="AL34" s="341"/>
      <c r="AM34" s="318"/>
      <c r="AN34" s="341">
        <f t="shared" si="45"/>
        <v>0</v>
      </c>
      <c r="AO34" s="318"/>
      <c r="AP34" s="341">
        <f t="shared" si="7"/>
        <v>0</v>
      </c>
      <c r="AQ34" s="318"/>
      <c r="AR34" s="341">
        <f t="shared" si="33"/>
        <v>0</v>
      </c>
      <c r="AS34" s="318"/>
      <c r="AT34" s="341">
        <f t="shared" si="34"/>
        <v>0</v>
      </c>
      <c r="AU34" s="318"/>
      <c r="AV34" s="341">
        <f t="shared" si="8"/>
        <v>0</v>
      </c>
      <c r="AW34" s="318">
        <v>0</v>
      </c>
      <c r="AX34" s="341">
        <f t="shared" si="9"/>
        <v>0</v>
      </c>
      <c r="AY34" s="294"/>
      <c r="AZ34" s="341">
        <f t="shared" si="10"/>
        <v>0</v>
      </c>
      <c r="BA34" s="294"/>
      <c r="BB34" s="341"/>
      <c r="BC34" s="318">
        <v>0</v>
      </c>
      <c r="BD34" s="341">
        <f t="shared" si="11"/>
        <v>0</v>
      </c>
      <c r="BE34" s="318"/>
      <c r="BF34" s="341">
        <f t="shared" si="12"/>
        <v>0</v>
      </c>
      <c r="BG34" s="318"/>
      <c r="BH34" s="341"/>
      <c r="BI34" s="318"/>
      <c r="BJ34" s="341"/>
      <c r="BK34" s="322">
        <f>BI34+BG34+BE34+BC34+BA34+AY34+AW34+AU34+AS34+AQ34+AO34+AM34+AK34+AI34+AG34+AE34+AC34+AA34</f>
        <v>0</v>
      </c>
      <c r="BL34" s="322">
        <f>BJ34+BH34+BF34+BD34+BB34+AZ34+AX34+AV34+AT34+AR34+AP34+AN34+AL34+AJ34+AH34+AF34+AD34+AB34</f>
        <v>0</v>
      </c>
      <c r="BM34" s="317"/>
      <c r="BO34" s="321"/>
      <c r="BP34" s="321"/>
      <c r="BQ34" s="321">
        <f t="shared" si="38"/>
        <v>0</v>
      </c>
      <c r="BR34" s="321"/>
      <c r="BS34" s="321">
        <f t="shared" si="39"/>
        <v>0</v>
      </c>
      <c r="BT34" s="321"/>
      <c r="BU34" s="321"/>
      <c r="BV34" s="321"/>
      <c r="BW34" s="322">
        <f t="shared" si="16"/>
        <v>0</v>
      </c>
    </row>
    <row r="35" spans="1:75" ht="33.75" customHeight="1" x14ac:dyDescent="0.2">
      <c r="A35" s="787"/>
      <c r="B35" s="294"/>
      <c r="C35" s="638" t="s">
        <v>860</v>
      </c>
      <c r="D35" s="304" t="s">
        <v>866</v>
      </c>
      <c r="E35" s="304" t="s">
        <v>79</v>
      </c>
      <c r="F35" s="613">
        <v>5000</v>
      </c>
      <c r="G35" s="318">
        <f t="shared" ref="G35" si="61">BK35</f>
        <v>271</v>
      </c>
      <c r="H35" s="337">
        <f t="shared" ref="H35" si="62">BL35</f>
        <v>1355000</v>
      </c>
      <c r="I35" s="337">
        <f>H35*0.2</f>
        <v>271000</v>
      </c>
      <c r="J35" s="337">
        <f>H35*0.8</f>
        <v>1084000</v>
      </c>
      <c r="K35" s="337"/>
      <c r="L35" s="337"/>
      <c r="M35" s="337"/>
      <c r="N35" s="337"/>
      <c r="O35" s="337"/>
      <c r="P35" s="338"/>
      <c r="Q35" s="338"/>
      <c r="R35" s="338"/>
      <c r="S35" s="352"/>
      <c r="T35" s="352"/>
      <c r="U35" s="352"/>
      <c r="V35" s="352">
        <v>2</v>
      </c>
      <c r="W35" s="340">
        <f>S35*F35</f>
        <v>0</v>
      </c>
      <c r="X35" s="340">
        <f>T35*F35</f>
        <v>0</v>
      </c>
      <c r="Y35" s="340">
        <f>U35*F35</f>
        <v>0</v>
      </c>
      <c r="Z35" s="340">
        <f>V35*F35</f>
        <v>10000</v>
      </c>
      <c r="AA35" s="318">
        <v>12</v>
      </c>
      <c r="AB35" s="341">
        <f t="shared" si="1"/>
        <v>60000</v>
      </c>
      <c r="AC35" s="318">
        <v>10</v>
      </c>
      <c r="AD35" s="341">
        <f>AC35*F35</f>
        <v>50000</v>
      </c>
      <c r="AE35" s="318">
        <v>15</v>
      </c>
      <c r="AF35" s="341">
        <f t="shared" si="3"/>
        <v>75000</v>
      </c>
      <c r="AG35" s="318">
        <v>12</v>
      </c>
      <c r="AH35" s="341">
        <f t="shared" si="4"/>
        <v>60000</v>
      </c>
      <c r="AI35" s="318">
        <v>6</v>
      </c>
      <c r="AJ35" s="341">
        <f t="shared" si="5"/>
        <v>30000</v>
      </c>
      <c r="AK35" s="318">
        <v>12</v>
      </c>
      <c r="AL35" s="341">
        <f>AK35*F35</f>
        <v>60000</v>
      </c>
      <c r="AM35" s="318">
        <v>15</v>
      </c>
      <c r="AN35" s="341">
        <f t="shared" si="45"/>
        <v>75000</v>
      </c>
      <c r="AO35" s="318">
        <v>24</v>
      </c>
      <c r="AP35" s="341">
        <f t="shared" si="7"/>
        <v>120000</v>
      </c>
      <c r="AQ35" s="318">
        <v>6</v>
      </c>
      <c r="AR35" s="341">
        <f t="shared" si="33"/>
        <v>30000</v>
      </c>
      <c r="AS35" s="318">
        <v>9</v>
      </c>
      <c r="AT35" s="341">
        <f t="shared" si="34"/>
        <v>45000</v>
      </c>
      <c r="AU35" s="318">
        <v>18</v>
      </c>
      <c r="AV35" s="341">
        <f t="shared" si="8"/>
        <v>90000</v>
      </c>
      <c r="AW35" s="318">
        <v>15</v>
      </c>
      <c r="AX35" s="341">
        <f t="shared" si="9"/>
        <v>75000</v>
      </c>
      <c r="AY35" s="294">
        <v>27</v>
      </c>
      <c r="AZ35" s="341">
        <f t="shared" si="10"/>
        <v>135000</v>
      </c>
      <c r="BA35" s="294">
        <v>27</v>
      </c>
      <c r="BB35" s="341">
        <f t="shared" si="35"/>
        <v>135000</v>
      </c>
      <c r="BC35" s="318">
        <v>9</v>
      </c>
      <c r="BD35" s="341">
        <f t="shared" si="11"/>
        <v>45000</v>
      </c>
      <c r="BE35" s="318">
        <v>36</v>
      </c>
      <c r="BF35" s="341">
        <f t="shared" si="12"/>
        <v>180000</v>
      </c>
      <c r="BG35" s="318">
        <v>18</v>
      </c>
      <c r="BH35" s="353">
        <f t="shared" si="13"/>
        <v>90000</v>
      </c>
      <c r="BI35" s="318"/>
      <c r="BJ35" s="341"/>
      <c r="BK35" s="322">
        <f>BI35+BG35+BE35+BC35+BA35+AY35+AW35+AU35+AS35+AQ35+AO35+AM35+AK35+AI35+AG35+AE35+AC35+AA35</f>
        <v>271</v>
      </c>
      <c r="BL35" s="322">
        <f>BJ35+BH35+BF35+BD35+BB35+AZ35+AX35+AV35+AT35+AR35+AP35+AN35+AL35+AJ35+AH35+AF35+AD35+AB35</f>
        <v>1355000</v>
      </c>
      <c r="BM35" s="317" t="s">
        <v>561</v>
      </c>
      <c r="BO35" s="321"/>
      <c r="BP35" s="321"/>
      <c r="BQ35" s="321">
        <f t="shared" si="38"/>
        <v>1355000</v>
      </c>
      <c r="BR35" s="321"/>
      <c r="BS35" s="321">
        <f t="shared" si="39"/>
        <v>1355000</v>
      </c>
      <c r="BT35" s="321"/>
      <c r="BU35" s="321"/>
      <c r="BV35" s="321"/>
      <c r="BW35" s="322">
        <f t="shared" si="16"/>
        <v>1355000</v>
      </c>
    </row>
    <row r="36" spans="1:75" s="359" customFormat="1" ht="38.25" x14ac:dyDescent="0.25">
      <c r="A36" s="787"/>
      <c r="B36" s="331">
        <v>100</v>
      </c>
      <c r="C36" s="638" t="s">
        <v>861</v>
      </c>
      <c r="D36" s="614" t="s">
        <v>1010</v>
      </c>
      <c r="E36" s="324" t="s">
        <v>308</v>
      </c>
      <c r="F36" s="615">
        <v>30000</v>
      </c>
      <c r="G36" s="318">
        <f t="shared" ref="G36" si="63">BK36</f>
        <v>1300</v>
      </c>
      <c r="H36" s="337">
        <f t="shared" ref="H36" si="64">BL36</f>
        <v>38302000</v>
      </c>
      <c r="I36" s="354">
        <f>H36*0.1</f>
        <v>3830200</v>
      </c>
      <c r="J36" s="354">
        <f>H36*0.8</f>
        <v>30641600</v>
      </c>
      <c r="K36" s="354"/>
      <c r="L36" s="354"/>
      <c r="M36" s="354"/>
      <c r="N36" s="354"/>
      <c r="O36" s="354"/>
      <c r="P36" s="355"/>
      <c r="Q36" s="355">
        <f>H36*0.1</f>
        <v>3830200</v>
      </c>
      <c r="R36" s="355"/>
      <c r="S36" s="356">
        <f t="shared" si="25"/>
        <v>325</v>
      </c>
      <c r="T36" s="356">
        <f t="shared" si="26"/>
        <v>325</v>
      </c>
      <c r="U36" s="356">
        <f t="shared" si="27"/>
        <v>325</v>
      </c>
      <c r="V36" s="356">
        <f t="shared" si="28"/>
        <v>325</v>
      </c>
      <c r="W36" s="357">
        <f t="shared" si="29"/>
        <v>9750000</v>
      </c>
      <c r="X36" s="357">
        <f t="shared" si="30"/>
        <v>9750000</v>
      </c>
      <c r="Y36" s="357">
        <f t="shared" si="31"/>
        <v>9750000</v>
      </c>
      <c r="Z36" s="357">
        <f t="shared" si="32"/>
        <v>9750000</v>
      </c>
      <c r="AA36" s="358">
        <v>75</v>
      </c>
      <c r="AB36" s="353">
        <f t="shared" si="1"/>
        <v>2250000</v>
      </c>
      <c r="AC36" s="358">
        <v>34</v>
      </c>
      <c r="AD36" s="353">
        <f>250000+72000</f>
        <v>322000</v>
      </c>
      <c r="AE36" s="358">
        <v>95</v>
      </c>
      <c r="AF36" s="353">
        <f t="shared" si="3"/>
        <v>2850000</v>
      </c>
      <c r="AG36" s="358">
        <v>50</v>
      </c>
      <c r="AH36" s="353">
        <f t="shared" si="4"/>
        <v>1500000</v>
      </c>
      <c r="AI36" s="358">
        <v>40</v>
      </c>
      <c r="AJ36" s="353">
        <f t="shared" si="5"/>
        <v>1200000</v>
      </c>
      <c r="AK36" s="358">
        <v>70</v>
      </c>
      <c r="AL36" s="353">
        <f t="shared" si="6"/>
        <v>2100000</v>
      </c>
      <c r="AM36" s="358">
        <v>70</v>
      </c>
      <c r="AN36" s="353">
        <f t="shared" si="45"/>
        <v>2100000</v>
      </c>
      <c r="AO36" s="358">
        <v>101</v>
      </c>
      <c r="AP36" s="353">
        <f t="shared" si="7"/>
        <v>3030000</v>
      </c>
      <c r="AQ36" s="358">
        <v>45</v>
      </c>
      <c r="AR36" s="353">
        <f t="shared" si="33"/>
        <v>1350000</v>
      </c>
      <c r="AS36" s="358">
        <v>150</v>
      </c>
      <c r="AT36" s="341">
        <f t="shared" si="34"/>
        <v>4500000</v>
      </c>
      <c r="AU36" s="358">
        <v>70</v>
      </c>
      <c r="AV36" s="353">
        <f t="shared" si="8"/>
        <v>2100000</v>
      </c>
      <c r="AW36" s="358">
        <v>80</v>
      </c>
      <c r="AX36" s="353">
        <f t="shared" si="9"/>
        <v>2400000</v>
      </c>
      <c r="AY36" s="331">
        <v>75</v>
      </c>
      <c r="AZ36" s="353">
        <f t="shared" si="10"/>
        <v>2250000</v>
      </c>
      <c r="BA36" s="331">
        <v>90</v>
      </c>
      <c r="BB36" s="353">
        <f t="shared" si="35"/>
        <v>2700000</v>
      </c>
      <c r="BC36" s="358">
        <v>100</v>
      </c>
      <c r="BD36" s="353">
        <f t="shared" si="11"/>
        <v>3000000</v>
      </c>
      <c r="BE36" s="358">
        <v>55</v>
      </c>
      <c r="BF36" s="353">
        <f t="shared" si="12"/>
        <v>1650000</v>
      </c>
      <c r="BG36" s="358">
        <v>100</v>
      </c>
      <c r="BH36" s="353">
        <f t="shared" si="13"/>
        <v>3000000</v>
      </c>
      <c r="BI36" s="358">
        <v>0</v>
      </c>
      <c r="BJ36" s="353">
        <f t="shared" si="14"/>
        <v>0</v>
      </c>
      <c r="BK36" s="322">
        <f t="shared" si="36"/>
        <v>1300</v>
      </c>
      <c r="BL36" s="322">
        <f t="shared" si="37"/>
        <v>38302000</v>
      </c>
      <c r="BM36" s="324" t="s">
        <v>215</v>
      </c>
      <c r="BO36" s="360"/>
      <c r="BP36" s="360"/>
      <c r="BQ36" s="360">
        <f t="shared" si="38"/>
        <v>38302000</v>
      </c>
      <c r="BR36" s="360"/>
      <c r="BS36" s="321">
        <f t="shared" si="39"/>
        <v>38302000</v>
      </c>
      <c r="BT36" s="360"/>
      <c r="BU36" s="360"/>
      <c r="BV36" s="360">
        <f>BT36+BU36</f>
        <v>0</v>
      </c>
      <c r="BW36" s="322">
        <f t="shared" si="16"/>
        <v>38302000</v>
      </c>
    </row>
    <row r="37" spans="1:75" s="297" customFormat="1" ht="16.5" customHeight="1" x14ac:dyDescent="0.2">
      <c r="A37" s="787"/>
      <c r="B37" s="312"/>
      <c r="C37" s="334"/>
      <c r="D37" s="316" t="s">
        <v>421</v>
      </c>
      <c r="E37" s="343" t="s">
        <v>111</v>
      </c>
      <c r="F37" s="344" t="s">
        <v>111</v>
      </c>
      <c r="G37" s="311">
        <f t="shared" ref="G37:AL37" si="65">SUM(G24:G36)</f>
        <v>12428</v>
      </c>
      <c r="H37" s="311">
        <f t="shared" si="65"/>
        <v>113745750</v>
      </c>
      <c r="I37" s="311">
        <f t="shared" si="65"/>
        <v>4101200</v>
      </c>
      <c r="J37" s="311">
        <f t="shared" si="65"/>
        <v>31725600</v>
      </c>
      <c r="K37" s="311">
        <f t="shared" si="65"/>
        <v>0</v>
      </c>
      <c r="L37" s="311">
        <f t="shared" si="65"/>
        <v>0</v>
      </c>
      <c r="M37" s="311">
        <f t="shared" si="65"/>
        <v>17250000</v>
      </c>
      <c r="N37" s="311">
        <f t="shared" si="65"/>
        <v>0</v>
      </c>
      <c r="O37" s="311">
        <f t="shared" si="65"/>
        <v>56838750</v>
      </c>
      <c r="P37" s="311">
        <f t="shared" si="65"/>
        <v>0</v>
      </c>
      <c r="Q37" s="311">
        <f t="shared" si="65"/>
        <v>3830200</v>
      </c>
      <c r="R37" s="311">
        <f t="shared" si="65"/>
        <v>0</v>
      </c>
      <c r="S37" s="311">
        <f t="shared" si="65"/>
        <v>362.5</v>
      </c>
      <c r="T37" s="311">
        <f t="shared" si="65"/>
        <v>362.5</v>
      </c>
      <c r="U37" s="311">
        <f t="shared" si="65"/>
        <v>412.5</v>
      </c>
      <c r="V37" s="311">
        <f t="shared" si="65"/>
        <v>11110.5</v>
      </c>
      <c r="W37" s="311">
        <f t="shared" si="65"/>
        <v>14062500</v>
      </c>
      <c r="X37" s="311">
        <f t="shared" si="65"/>
        <v>14062500</v>
      </c>
      <c r="Y37" s="311">
        <f t="shared" si="65"/>
        <v>14562500</v>
      </c>
      <c r="Z37" s="311">
        <f t="shared" si="65"/>
        <v>71393050</v>
      </c>
      <c r="AA37" s="311">
        <f t="shared" si="65"/>
        <v>1397</v>
      </c>
      <c r="AB37" s="311">
        <f t="shared" si="65"/>
        <v>9447500</v>
      </c>
      <c r="AC37" s="311">
        <f t="shared" si="65"/>
        <v>60</v>
      </c>
      <c r="AD37" s="311">
        <f t="shared" si="65"/>
        <v>2212000</v>
      </c>
      <c r="AE37" s="311">
        <f t="shared" si="65"/>
        <v>1432</v>
      </c>
      <c r="AF37" s="311">
        <f t="shared" si="65"/>
        <v>10107500</v>
      </c>
      <c r="AG37" s="311">
        <f t="shared" si="65"/>
        <v>1299</v>
      </c>
      <c r="AH37" s="311">
        <f t="shared" si="65"/>
        <v>8423750</v>
      </c>
      <c r="AI37" s="311">
        <f t="shared" si="65"/>
        <v>308</v>
      </c>
      <c r="AJ37" s="311">
        <f t="shared" si="65"/>
        <v>3770000</v>
      </c>
      <c r="AK37" s="311">
        <f t="shared" si="65"/>
        <v>100</v>
      </c>
      <c r="AL37" s="311">
        <f t="shared" si="65"/>
        <v>4230000</v>
      </c>
      <c r="AM37" s="311">
        <f t="shared" ref="AM37:AX37" si="66">SUM(AM24:AM36)</f>
        <v>101</v>
      </c>
      <c r="AN37" s="311">
        <f t="shared" si="66"/>
        <v>4015000</v>
      </c>
      <c r="AO37" s="311">
        <f t="shared" si="66"/>
        <v>800</v>
      </c>
      <c r="AP37" s="311">
        <f t="shared" si="66"/>
        <v>7238750</v>
      </c>
      <c r="AQ37" s="311">
        <f t="shared" si="66"/>
        <v>674</v>
      </c>
      <c r="AR37" s="311">
        <f t="shared" si="66"/>
        <v>6386250</v>
      </c>
      <c r="AS37" s="311">
        <f t="shared" si="66"/>
        <v>2141</v>
      </c>
      <c r="AT37" s="311">
        <f t="shared" si="66"/>
        <v>13980000</v>
      </c>
      <c r="AU37" s="311">
        <f t="shared" si="66"/>
        <v>1125</v>
      </c>
      <c r="AV37" s="311">
        <f t="shared" si="66"/>
        <v>7413750</v>
      </c>
      <c r="AW37" s="311">
        <f t="shared" si="66"/>
        <v>109</v>
      </c>
      <c r="AX37" s="311">
        <f t="shared" si="66"/>
        <v>4085000</v>
      </c>
      <c r="AY37" s="345">
        <f t="shared" ref="AY37:BR37" si="67">SUM(AY24:AY36)</f>
        <v>118</v>
      </c>
      <c r="AZ37" s="311">
        <f t="shared" si="67"/>
        <v>4225000</v>
      </c>
      <c r="BA37" s="345">
        <f t="shared" si="67"/>
        <v>887</v>
      </c>
      <c r="BB37" s="311">
        <f t="shared" si="67"/>
        <v>7725000</v>
      </c>
      <c r="BC37" s="311">
        <f t="shared" si="67"/>
        <v>129</v>
      </c>
      <c r="BD37" s="311">
        <f t="shared" si="67"/>
        <v>5345000</v>
      </c>
      <c r="BE37" s="311">
        <f t="shared" si="67"/>
        <v>249</v>
      </c>
      <c r="BF37" s="311">
        <f t="shared" si="67"/>
        <v>4647500</v>
      </c>
      <c r="BG37" s="311">
        <f t="shared" si="67"/>
        <v>1499</v>
      </c>
      <c r="BH37" s="311">
        <f t="shared" si="67"/>
        <v>10493750</v>
      </c>
      <c r="BI37" s="311">
        <f t="shared" si="67"/>
        <v>0</v>
      </c>
      <c r="BJ37" s="311">
        <f t="shared" si="67"/>
        <v>0</v>
      </c>
      <c r="BK37" s="311">
        <f t="shared" si="67"/>
        <v>12428</v>
      </c>
      <c r="BL37" s="311">
        <f t="shared" si="67"/>
        <v>113745750</v>
      </c>
      <c r="BM37" s="311">
        <f t="shared" si="67"/>
        <v>0</v>
      </c>
      <c r="BN37" s="311">
        <f t="shared" si="67"/>
        <v>0</v>
      </c>
      <c r="BO37" s="311">
        <f t="shared" si="67"/>
        <v>0</v>
      </c>
      <c r="BP37" s="311">
        <f t="shared" si="67"/>
        <v>0</v>
      </c>
      <c r="BQ37" s="311">
        <f t="shared" si="67"/>
        <v>113745750</v>
      </c>
      <c r="BR37" s="311">
        <f t="shared" si="67"/>
        <v>0</v>
      </c>
      <c r="BS37" s="311">
        <f t="shared" ref="BS37:BW37" si="68">SUM(BS24:BS36)</f>
        <v>113745750</v>
      </c>
      <c r="BT37" s="311">
        <f t="shared" si="68"/>
        <v>0</v>
      </c>
      <c r="BU37" s="311">
        <f t="shared" si="68"/>
        <v>0</v>
      </c>
      <c r="BV37" s="311">
        <f t="shared" si="68"/>
        <v>0</v>
      </c>
      <c r="BW37" s="311">
        <f t="shared" si="68"/>
        <v>113745750</v>
      </c>
    </row>
    <row r="38" spans="1:75" x14ac:dyDescent="0.2">
      <c r="A38" s="787"/>
      <c r="B38" s="304">
        <v>23500</v>
      </c>
      <c r="C38" s="334"/>
      <c r="D38" s="316" t="s">
        <v>422</v>
      </c>
      <c r="E38" s="317"/>
      <c r="F38" s="317"/>
      <c r="G38" s="318"/>
      <c r="H38" s="338"/>
      <c r="I38" s="338"/>
      <c r="J38" s="338"/>
      <c r="K38" s="338"/>
      <c r="L38" s="338"/>
      <c r="M38" s="338"/>
      <c r="N38" s="338"/>
      <c r="O38" s="338"/>
      <c r="P38" s="338"/>
      <c r="Q38" s="338"/>
      <c r="R38" s="338"/>
      <c r="S38" s="352"/>
      <c r="T38" s="352"/>
      <c r="U38" s="352"/>
      <c r="V38" s="352"/>
      <c r="W38" s="338"/>
      <c r="X38" s="338"/>
      <c r="Y38" s="338"/>
      <c r="Z38" s="338"/>
      <c r="AA38" s="318"/>
      <c r="AB38" s="341">
        <f t="shared" si="1"/>
        <v>0</v>
      </c>
      <c r="AC38" s="318"/>
      <c r="AD38" s="341">
        <f t="shared" si="2"/>
        <v>0</v>
      </c>
      <c r="AE38" s="318"/>
      <c r="AF38" s="341">
        <f t="shared" si="3"/>
        <v>0</v>
      </c>
      <c r="AG38" s="318"/>
      <c r="AH38" s="341">
        <f t="shared" si="4"/>
        <v>0</v>
      </c>
      <c r="AI38" s="318"/>
      <c r="AJ38" s="341">
        <f t="shared" si="5"/>
        <v>0</v>
      </c>
      <c r="AK38" s="318">
        <v>0</v>
      </c>
      <c r="AL38" s="341">
        <f t="shared" si="6"/>
        <v>0</v>
      </c>
      <c r="AM38" s="318"/>
      <c r="AN38" s="341"/>
      <c r="AO38" s="318"/>
      <c r="AP38" s="341">
        <f t="shared" si="7"/>
        <v>0</v>
      </c>
      <c r="AQ38" s="318"/>
      <c r="AR38" s="341"/>
      <c r="AS38" s="318"/>
      <c r="AT38" s="341"/>
      <c r="AU38" s="318"/>
      <c r="AV38" s="341">
        <f t="shared" si="8"/>
        <v>0</v>
      </c>
      <c r="AW38" s="318"/>
      <c r="AX38" s="341">
        <f t="shared" si="9"/>
        <v>0</v>
      </c>
      <c r="AY38" s="294"/>
      <c r="AZ38" s="341">
        <f t="shared" si="10"/>
        <v>0</v>
      </c>
      <c r="BA38" s="294"/>
      <c r="BB38" s="341"/>
      <c r="BC38" s="318"/>
      <c r="BD38" s="341">
        <f t="shared" si="11"/>
        <v>0</v>
      </c>
      <c r="BE38" s="318"/>
      <c r="BF38" s="341">
        <f t="shared" si="12"/>
        <v>0</v>
      </c>
      <c r="BG38" s="318"/>
      <c r="BH38" s="341">
        <f t="shared" si="13"/>
        <v>0</v>
      </c>
      <c r="BI38" s="318"/>
      <c r="BJ38" s="341">
        <f t="shared" si="14"/>
        <v>0</v>
      </c>
      <c r="BK38" s="318">
        <f>AA38+AC38+AE38+AG38+AI38+AK38+AO38+AU38+AW38+AY38+BC38+BE38+BG38+BI38</f>
        <v>0</v>
      </c>
      <c r="BL38" s="341">
        <f>BI38+BG38+BE38+BC38+BA38+AY38+AW38+AU38+AS38+AQ38+AO38+AM38+AK38+AI38+AG38+AE38+AC38+AA38</f>
        <v>0</v>
      </c>
      <c r="BM38" s="317"/>
      <c r="BO38" s="321"/>
      <c r="BP38" s="321"/>
      <c r="BQ38" s="321"/>
      <c r="BR38" s="321"/>
      <c r="BS38" s="321"/>
      <c r="BT38" s="321"/>
      <c r="BU38" s="321"/>
      <c r="BV38" s="321"/>
      <c r="BW38" s="322">
        <f t="shared" si="16"/>
        <v>0</v>
      </c>
    </row>
    <row r="39" spans="1:75" x14ac:dyDescent="0.2">
      <c r="A39" s="787"/>
      <c r="B39" s="304">
        <v>23510</v>
      </c>
      <c r="C39" s="638" t="s">
        <v>862</v>
      </c>
      <c r="D39" s="342" t="s">
        <v>83</v>
      </c>
      <c r="E39" s="317" t="s">
        <v>84</v>
      </c>
      <c r="F39" s="336"/>
      <c r="G39" s="318">
        <f t="shared" ref="G39:H43" si="69">BK39</f>
        <v>0</v>
      </c>
      <c r="H39" s="337">
        <f t="shared" si="69"/>
        <v>0</v>
      </c>
      <c r="I39" s="337">
        <f>H39*0.2</f>
        <v>0</v>
      </c>
      <c r="J39" s="337">
        <f>H39*0.8</f>
        <v>0</v>
      </c>
      <c r="K39" s="337"/>
      <c r="L39" s="337"/>
      <c r="M39" s="337"/>
      <c r="N39" s="337"/>
      <c r="O39" s="337"/>
      <c r="P39" s="338"/>
      <c r="Q39" s="338"/>
      <c r="R39" s="338"/>
      <c r="S39" s="352">
        <f>G39*0.25</f>
        <v>0</v>
      </c>
      <c r="T39" s="352">
        <f>G39*0.25</f>
        <v>0</v>
      </c>
      <c r="U39" s="352">
        <f>G39*0.25</f>
        <v>0</v>
      </c>
      <c r="V39" s="352">
        <f>G39*0.25</f>
        <v>0</v>
      </c>
      <c r="W39" s="340">
        <f>S39*F39</f>
        <v>0</v>
      </c>
      <c r="X39" s="340">
        <f>T39*F39</f>
        <v>0</v>
      </c>
      <c r="Y39" s="340">
        <f>U39*F39</f>
        <v>0</v>
      </c>
      <c r="Z39" s="340">
        <f>V39*F39</f>
        <v>0</v>
      </c>
      <c r="AA39" s="318"/>
      <c r="AB39" s="341">
        <f t="shared" si="1"/>
        <v>0</v>
      </c>
      <c r="AC39" s="318"/>
      <c r="AD39" s="341">
        <f t="shared" si="2"/>
        <v>0</v>
      </c>
      <c r="AE39" s="318">
        <v>0</v>
      </c>
      <c r="AF39" s="341">
        <f t="shared" si="3"/>
        <v>0</v>
      </c>
      <c r="AG39" s="318"/>
      <c r="AH39" s="341">
        <f t="shared" si="4"/>
        <v>0</v>
      </c>
      <c r="AI39" s="318">
        <v>0</v>
      </c>
      <c r="AJ39" s="341">
        <f t="shared" si="5"/>
        <v>0</v>
      </c>
      <c r="AK39" s="318">
        <v>0</v>
      </c>
      <c r="AL39" s="341">
        <f t="shared" si="6"/>
        <v>0</v>
      </c>
      <c r="AM39" s="318"/>
      <c r="AN39" s="341">
        <f>AM39*F39</f>
        <v>0</v>
      </c>
      <c r="AO39" s="318"/>
      <c r="AP39" s="341">
        <f t="shared" si="7"/>
        <v>0</v>
      </c>
      <c r="AQ39" s="318"/>
      <c r="AR39" s="341">
        <f>AQ39*F39</f>
        <v>0</v>
      </c>
      <c r="AS39" s="318"/>
      <c r="AT39" s="341"/>
      <c r="AU39" s="318"/>
      <c r="AV39" s="341">
        <f t="shared" si="8"/>
        <v>0</v>
      </c>
      <c r="AW39" s="318"/>
      <c r="AX39" s="341">
        <f t="shared" si="9"/>
        <v>0</v>
      </c>
      <c r="AY39" s="294"/>
      <c r="AZ39" s="341">
        <f t="shared" si="10"/>
        <v>0</v>
      </c>
      <c r="BA39" s="294">
        <v>0</v>
      </c>
      <c r="BB39" s="341"/>
      <c r="BC39" s="318">
        <v>0</v>
      </c>
      <c r="BD39" s="341">
        <f t="shared" si="11"/>
        <v>0</v>
      </c>
      <c r="BE39" s="318"/>
      <c r="BF39" s="341">
        <f t="shared" si="12"/>
        <v>0</v>
      </c>
      <c r="BG39" s="318"/>
      <c r="BH39" s="341">
        <f t="shared" si="13"/>
        <v>0</v>
      </c>
      <c r="BI39" s="318"/>
      <c r="BJ39" s="341">
        <f t="shared" si="14"/>
        <v>0</v>
      </c>
      <c r="BK39" s="322">
        <f t="shared" ref="BK39:BL43" si="70">BI39+BG39+BE39+BC39+BA39+AY39+AW39+AU39+AS39+AQ39+AO39+AM39+AK39+AI39+AG39+AE39+AC39+AA39</f>
        <v>0</v>
      </c>
      <c r="BL39" s="322">
        <f t="shared" si="70"/>
        <v>0</v>
      </c>
      <c r="BM39" s="317" t="s">
        <v>210</v>
      </c>
      <c r="BO39" s="321"/>
      <c r="BP39" s="321"/>
      <c r="BQ39" s="321">
        <f>H39</f>
        <v>0</v>
      </c>
      <c r="BR39" s="321"/>
      <c r="BS39" s="321">
        <f>BO39+BP39+BQ39+BR39</f>
        <v>0</v>
      </c>
      <c r="BT39" s="321"/>
      <c r="BU39" s="321"/>
      <c r="BV39" s="321">
        <f>BT39+BU39</f>
        <v>0</v>
      </c>
      <c r="BW39" s="322">
        <f t="shared" si="16"/>
        <v>0</v>
      </c>
    </row>
    <row r="40" spans="1:75" x14ac:dyDescent="0.2">
      <c r="A40" s="787"/>
      <c r="B40" s="304">
        <v>23520</v>
      </c>
      <c r="C40" s="638" t="s">
        <v>863</v>
      </c>
      <c r="D40" s="342" t="s">
        <v>679</v>
      </c>
      <c r="E40" s="317" t="s">
        <v>85</v>
      </c>
      <c r="F40" s="336">
        <v>500000</v>
      </c>
      <c r="G40" s="318">
        <f t="shared" si="69"/>
        <v>0</v>
      </c>
      <c r="H40" s="337">
        <f t="shared" si="69"/>
        <v>0</v>
      </c>
      <c r="I40" s="337">
        <f>H40*0.2</f>
        <v>0</v>
      </c>
      <c r="J40" s="337">
        <f>H40*0.8</f>
        <v>0</v>
      </c>
      <c r="K40" s="337"/>
      <c r="L40" s="337"/>
      <c r="M40" s="337"/>
      <c r="N40" s="337"/>
      <c r="O40" s="337"/>
      <c r="P40" s="338"/>
      <c r="Q40" s="338"/>
      <c r="R40" s="338"/>
      <c r="S40" s="352">
        <f>G40*0.25</f>
        <v>0</v>
      </c>
      <c r="T40" s="352">
        <f>G40*0.25</f>
        <v>0</v>
      </c>
      <c r="U40" s="352">
        <f>G40*0.25</f>
        <v>0</v>
      </c>
      <c r="V40" s="352">
        <f>G40*0.25</f>
        <v>0</v>
      </c>
      <c r="W40" s="340">
        <f>S40*F40</f>
        <v>0</v>
      </c>
      <c r="X40" s="340">
        <f>T40*F40</f>
        <v>0</v>
      </c>
      <c r="Y40" s="340">
        <f>U40*F40</f>
        <v>0</v>
      </c>
      <c r="Z40" s="340">
        <f>V40*F40</f>
        <v>0</v>
      </c>
      <c r="AA40" s="318">
        <v>0</v>
      </c>
      <c r="AB40" s="341">
        <f t="shared" si="1"/>
        <v>0</v>
      </c>
      <c r="AC40" s="318">
        <v>0</v>
      </c>
      <c r="AD40" s="341">
        <f t="shared" si="2"/>
        <v>0</v>
      </c>
      <c r="AE40" s="318">
        <v>0</v>
      </c>
      <c r="AF40" s="341">
        <f t="shared" si="3"/>
        <v>0</v>
      </c>
      <c r="AG40" s="318">
        <v>0</v>
      </c>
      <c r="AH40" s="341">
        <f t="shared" si="4"/>
        <v>0</v>
      </c>
      <c r="AI40" s="318">
        <v>0</v>
      </c>
      <c r="AJ40" s="341">
        <f t="shared" si="5"/>
        <v>0</v>
      </c>
      <c r="AK40" s="318">
        <v>0</v>
      </c>
      <c r="AL40" s="341">
        <f t="shared" si="6"/>
        <v>0</v>
      </c>
      <c r="AM40" s="318">
        <v>0</v>
      </c>
      <c r="AN40" s="341">
        <f>AM40*F40</f>
        <v>0</v>
      </c>
      <c r="AO40" s="318">
        <v>0</v>
      </c>
      <c r="AP40" s="341">
        <f t="shared" si="7"/>
        <v>0</v>
      </c>
      <c r="AQ40" s="318">
        <v>0</v>
      </c>
      <c r="AR40" s="341">
        <f>AQ40*F40</f>
        <v>0</v>
      </c>
      <c r="AS40" s="318">
        <v>0</v>
      </c>
      <c r="AT40" s="341">
        <f>AS40*F40</f>
        <v>0</v>
      </c>
      <c r="AU40" s="318">
        <v>0</v>
      </c>
      <c r="AV40" s="341">
        <f t="shared" si="8"/>
        <v>0</v>
      </c>
      <c r="AW40" s="318">
        <v>0</v>
      </c>
      <c r="AX40" s="341">
        <f t="shared" si="9"/>
        <v>0</v>
      </c>
      <c r="AY40" s="294">
        <v>0</v>
      </c>
      <c r="AZ40" s="341">
        <f t="shared" si="10"/>
        <v>0</v>
      </c>
      <c r="BA40" s="294">
        <v>0</v>
      </c>
      <c r="BB40" s="341">
        <f>BA40*F40</f>
        <v>0</v>
      </c>
      <c r="BC40" s="318">
        <v>0</v>
      </c>
      <c r="BD40" s="341">
        <f t="shared" si="11"/>
        <v>0</v>
      </c>
      <c r="BE40" s="318">
        <v>0</v>
      </c>
      <c r="BF40" s="341">
        <f t="shared" si="12"/>
        <v>0</v>
      </c>
      <c r="BG40" s="318">
        <v>0</v>
      </c>
      <c r="BH40" s="341">
        <f t="shared" si="13"/>
        <v>0</v>
      </c>
      <c r="BI40" s="318">
        <v>0</v>
      </c>
      <c r="BJ40" s="341">
        <f t="shared" si="14"/>
        <v>0</v>
      </c>
      <c r="BK40" s="322">
        <f t="shared" si="70"/>
        <v>0</v>
      </c>
      <c r="BL40" s="322">
        <f t="shared" si="70"/>
        <v>0</v>
      </c>
      <c r="BM40" s="317" t="s">
        <v>210</v>
      </c>
      <c r="BO40" s="321"/>
      <c r="BP40" s="321"/>
      <c r="BQ40" s="321">
        <f>H40</f>
        <v>0</v>
      </c>
      <c r="BR40" s="321"/>
      <c r="BS40" s="321">
        <f>BO40+BP40+BQ40+BR40</f>
        <v>0</v>
      </c>
      <c r="BT40" s="321"/>
      <c r="BU40" s="321"/>
      <c r="BV40" s="321">
        <f>BT40+BU40</f>
        <v>0</v>
      </c>
      <c r="BW40" s="322">
        <f t="shared" si="16"/>
        <v>0</v>
      </c>
    </row>
    <row r="41" spans="1:75" x14ac:dyDescent="0.2">
      <c r="A41" s="787"/>
      <c r="B41" s="294"/>
      <c r="C41" s="638" t="s">
        <v>864</v>
      </c>
      <c r="D41" s="342" t="s">
        <v>86</v>
      </c>
      <c r="E41" s="317" t="s">
        <v>87</v>
      </c>
      <c r="F41" s="336" t="s">
        <v>426</v>
      </c>
      <c r="G41" s="318">
        <f t="shared" si="69"/>
        <v>0</v>
      </c>
      <c r="H41" s="337">
        <f t="shared" si="69"/>
        <v>0</v>
      </c>
      <c r="I41" s="337"/>
      <c r="J41" s="337">
        <f>H41*0.8</f>
        <v>0</v>
      </c>
      <c r="K41" s="337"/>
      <c r="L41" s="337"/>
      <c r="M41" s="337"/>
      <c r="N41" s="337"/>
      <c r="O41" s="337"/>
      <c r="P41" s="338"/>
      <c r="Q41" s="338">
        <f>H41*0.2</f>
        <v>0</v>
      </c>
      <c r="R41" s="338"/>
      <c r="S41" s="352">
        <f>G41*0.25</f>
        <v>0</v>
      </c>
      <c r="T41" s="352">
        <f>G41*0.25</f>
        <v>0</v>
      </c>
      <c r="U41" s="352">
        <f>G41*0.25</f>
        <v>0</v>
      </c>
      <c r="V41" s="352">
        <f>G41*0.25</f>
        <v>0</v>
      </c>
      <c r="W41" s="340">
        <f>S41*F41</f>
        <v>0</v>
      </c>
      <c r="X41" s="340">
        <f>T41*F41</f>
        <v>0</v>
      </c>
      <c r="Y41" s="340">
        <f>U41*F41</f>
        <v>0</v>
      </c>
      <c r="Z41" s="340">
        <f>V41*F41</f>
        <v>0</v>
      </c>
      <c r="AA41" s="318">
        <v>0</v>
      </c>
      <c r="AB41" s="341">
        <f t="shared" si="1"/>
        <v>0</v>
      </c>
      <c r="AC41" s="318">
        <v>0</v>
      </c>
      <c r="AD41" s="341">
        <f t="shared" si="2"/>
        <v>0</v>
      </c>
      <c r="AE41" s="318">
        <v>0</v>
      </c>
      <c r="AF41" s="341">
        <f t="shared" si="3"/>
        <v>0</v>
      </c>
      <c r="AG41" s="318">
        <v>0</v>
      </c>
      <c r="AH41" s="341">
        <f t="shared" si="4"/>
        <v>0</v>
      </c>
      <c r="AI41" s="318">
        <v>0</v>
      </c>
      <c r="AJ41" s="341">
        <f t="shared" si="5"/>
        <v>0</v>
      </c>
      <c r="AK41" s="318">
        <v>0</v>
      </c>
      <c r="AL41" s="341">
        <f t="shared" si="6"/>
        <v>0</v>
      </c>
      <c r="AM41" s="318">
        <v>0</v>
      </c>
      <c r="AN41" s="341">
        <f>AM41*F41</f>
        <v>0</v>
      </c>
      <c r="AO41" s="318">
        <v>0</v>
      </c>
      <c r="AP41" s="341">
        <f t="shared" si="7"/>
        <v>0</v>
      </c>
      <c r="AQ41" s="318">
        <v>0</v>
      </c>
      <c r="AR41" s="341">
        <f>AQ41*F41</f>
        <v>0</v>
      </c>
      <c r="AS41" s="318">
        <v>0</v>
      </c>
      <c r="AT41" s="341">
        <f>AS41*F41</f>
        <v>0</v>
      </c>
      <c r="AU41" s="318">
        <v>0</v>
      </c>
      <c r="AV41" s="341">
        <f t="shared" si="8"/>
        <v>0</v>
      </c>
      <c r="AW41" s="318">
        <v>0</v>
      </c>
      <c r="AX41" s="341">
        <f t="shared" si="9"/>
        <v>0</v>
      </c>
      <c r="AY41" s="294">
        <v>0</v>
      </c>
      <c r="AZ41" s="341">
        <f t="shared" si="10"/>
        <v>0</v>
      </c>
      <c r="BA41" s="294">
        <v>0</v>
      </c>
      <c r="BB41" s="341">
        <f>BA41*F41</f>
        <v>0</v>
      </c>
      <c r="BC41" s="318">
        <v>0</v>
      </c>
      <c r="BD41" s="341">
        <f t="shared" si="11"/>
        <v>0</v>
      </c>
      <c r="BE41" s="318">
        <v>0</v>
      </c>
      <c r="BF41" s="341">
        <f t="shared" si="12"/>
        <v>0</v>
      </c>
      <c r="BG41" s="318">
        <v>0</v>
      </c>
      <c r="BH41" s="341">
        <f t="shared" si="13"/>
        <v>0</v>
      </c>
      <c r="BI41" s="318">
        <v>0</v>
      </c>
      <c r="BJ41" s="341">
        <f t="shared" si="14"/>
        <v>0</v>
      </c>
      <c r="BK41" s="322">
        <f t="shared" si="70"/>
        <v>0</v>
      </c>
      <c r="BL41" s="322">
        <f t="shared" si="70"/>
        <v>0</v>
      </c>
      <c r="BM41" s="317" t="s">
        <v>214</v>
      </c>
      <c r="BO41" s="321"/>
      <c r="BP41" s="321"/>
      <c r="BQ41" s="321">
        <f>H41</f>
        <v>0</v>
      </c>
      <c r="BR41" s="321"/>
      <c r="BS41" s="321">
        <f>BO41+BP41+BQ41+BR41</f>
        <v>0</v>
      </c>
      <c r="BT41" s="321"/>
      <c r="BU41" s="321"/>
      <c r="BV41" s="321">
        <f>BT41+BU41</f>
        <v>0</v>
      </c>
      <c r="BW41" s="322">
        <f t="shared" si="16"/>
        <v>0</v>
      </c>
    </row>
    <row r="42" spans="1:75" x14ac:dyDescent="0.2">
      <c r="A42" s="787"/>
      <c r="B42" s="294"/>
      <c r="C42" s="638" t="s">
        <v>865</v>
      </c>
      <c r="D42" s="342" t="s">
        <v>88</v>
      </c>
      <c r="E42" s="317" t="s">
        <v>85</v>
      </c>
      <c r="F42" s="336">
        <v>500000</v>
      </c>
      <c r="G42" s="318">
        <f t="shared" si="69"/>
        <v>0</v>
      </c>
      <c r="H42" s="337">
        <f t="shared" si="69"/>
        <v>0</v>
      </c>
      <c r="I42" s="337"/>
      <c r="J42" s="337">
        <f>H42*0.8</f>
        <v>0</v>
      </c>
      <c r="K42" s="337"/>
      <c r="L42" s="337"/>
      <c r="M42" s="337"/>
      <c r="N42" s="337"/>
      <c r="O42" s="337"/>
      <c r="P42" s="338"/>
      <c r="Q42" s="338">
        <f>H42*0.2</f>
        <v>0</v>
      </c>
      <c r="R42" s="338"/>
      <c r="S42" s="352">
        <f>G42*0.25</f>
        <v>0</v>
      </c>
      <c r="T42" s="352">
        <f>G42*0.25</f>
        <v>0</v>
      </c>
      <c r="U42" s="352">
        <f>G42*0.25</f>
        <v>0</v>
      </c>
      <c r="V42" s="352">
        <f>G42*0.25</f>
        <v>0</v>
      </c>
      <c r="W42" s="340">
        <f>S42*F42</f>
        <v>0</v>
      </c>
      <c r="X42" s="340">
        <f>T42*F42</f>
        <v>0</v>
      </c>
      <c r="Y42" s="340">
        <f>U42*F42</f>
        <v>0</v>
      </c>
      <c r="Z42" s="340">
        <f>V42*F42</f>
        <v>0</v>
      </c>
      <c r="AA42" s="318">
        <v>0</v>
      </c>
      <c r="AB42" s="341">
        <f t="shared" si="1"/>
        <v>0</v>
      </c>
      <c r="AC42" s="318">
        <v>0</v>
      </c>
      <c r="AD42" s="341">
        <f t="shared" si="2"/>
        <v>0</v>
      </c>
      <c r="AE42" s="318">
        <v>0</v>
      </c>
      <c r="AF42" s="341">
        <f t="shared" si="3"/>
        <v>0</v>
      </c>
      <c r="AG42" s="318">
        <v>0</v>
      </c>
      <c r="AH42" s="341">
        <f t="shared" si="4"/>
        <v>0</v>
      </c>
      <c r="AI42" s="318">
        <v>0</v>
      </c>
      <c r="AJ42" s="341">
        <f t="shared" si="5"/>
        <v>0</v>
      </c>
      <c r="AK42" s="318">
        <v>0</v>
      </c>
      <c r="AL42" s="341">
        <f t="shared" si="6"/>
        <v>0</v>
      </c>
      <c r="AM42" s="318">
        <v>0</v>
      </c>
      <c r="AN42" s="341">
        <f>AM42*F42</f>
        <v>0</v>
      </c>
      <c r="AO42" s="318">
        <v>0</v>
      </c>
      <c r="AP42" s="341">
        <f t="shared" si="7"/>
        <v>0</v>
      </c>
      <c r="AQ42" s="318">
        <v>0</v>
      </c>
      <c r="AR42" s="341">
        <f>AQ42*F42</f>
        <v>0</v>
      </c>
      <c r="AS42" s="318">
        <v>0</v>
      </c>
      <c r="AT42" s="341">
        <f>AS42*F42</f>
        <v>0</v>
      </c>
      <c r="AU42" s="318">
        <v>0</v>
      </c>
      <c r="AV42" s="341">
        <f t="shared" si="8"/>
        <v>0</v>
      </c>
      <c r="AW42" s="318">
        <v>0</v>
      </c>
      <c r="AX42" s="341">
        <f t="shared" si="9"/>
        <v>0</v>
      </c>
      <c r="AY42" s="294">
        <v>0</v>
      </c>
      <c r="AZ42" s="341">
        <f t="shared" si="10"/>
        <v>0</v>
      </c>
      <c r="BA42" s="294">
        <v>0</v>
      </c>
      <c r="BB42" s="341">
        <f>BA42*F42</f>
        <v>0</v>
      </c>
      <c r="BC42" s="318">
        <v>0</v>
      </c>
      <c r="BD42" s="341">
        <f t="shared" si="11"/>
        <v>0</v>
      </c>
      <c r="BE42" s="318">
        <v>0</v>
      </c>
      <c r="BF42" s="341">
        <f t="shared" si="12"/>
        <v>0</v>
      </c>
      <c r="BG42" s="318">
        <v>0</v>
      </c>
      <c r="BH42" s="341">
        <f t="shared" si="13"/>
        <v>0</v>
      </c>
      <c r="BI42" s="318">
        <v>0</v>
      </c>
      <c r="BJ42" s="341">
        <f t="shared" si="14"/>
        <v>0</v>
      </c>
      <c r="BK42" s="322">
        <f t="shared" si="70"/>
        <v>0</v>
      </c>
      <c r="BL42" s="322">
        <f t="shared" si="70"/>
        <v>0</v>
      </c>
      <c r="BM42" s="317" t="s">
        <v>210</v>
      </c>
      <c r="BO42" s="321"/>
      <c r="BP42" s="321"/>
      <c r="BQ42" s="321">
        <f>H42</f>
        <v>0</v>
      </c>
      <c r="BR42" s="321"/>
      <c r="BS42" s="321">
        <f>BO42+BP42+BQ42+BR42</f>
        <v>0</v>
      </c>
      <c r="BT42" s="321"/>
      <c r="BU42" s="321"/>
      <c r="BV42" s="321">
        <f>BT42+BU42</f>
        <v>0</v>
      </c>
      <c r="BW42" s="322">
        <f t="shared" si="16"/>
        <v>0</v>
      </c>
    </row>
    <row r="43" spans="1:75" x14ac:dyDescent="0.2">
      <c r="A43" s="787"/>
      <c r="B43" s="294"/>
      <c r="C43" s="638" t="s">
        <v>1020</v>
      </c>
      <c r="D43" s="342" t="s">
        <v>423</v>
      </c>
      <c r="E43" s="317" t="s">
        <v>85</v>
      </c>
      <c r="F43" s="336">
        <v>50000</v>
      </c>
      <c r="G43" s="318">
        <f t="shared" si="69"/>
        <v>0</v>
      </c>
      <c r="H43" s="337">
        <f t="shared" si="69"/>
        <v>0</v>
      </c>
      <c r="I43" s="337"/>
      <c r="J43" s="337">
        <f>H43*0.8</f>
        <v>0</v>
      </c>
      <c r="K43" s="337"/>
      <c r="L43" s="337"/>
      <c r="M43" s="337"/>
      <c r="N43" s="337"/>
      <c r="O43" s="337"/>
      <c r="P43" s="338"/>
      <c r="Q43" s="338">
        <f>H43*0.2</f>
        <v>0</v>
      </c>
      <c r="R43" s="338"/>
      <c r="S43" s="352">
        <f>G43*0.25</f>
        <v>0</v>
      </c>
      <c r="T43" s="352">
        <f>G43*0.25</f>
        <v>0</v>
      </c>
      <c r="U43" s="352">
        <f>G43*0.25</f>
        <v>0</v>
      </c>
      <c r="V43" s="352">
        <f>G43*0.25</f>
        <v>0</v>
      </c>
      <c r="W43" s="340">
        <f>S43*F43</f>
        <v>0</v>
      </c>
      <c r="X43" s="340">
        <f>T43*F43</f>
        <v>0</v>
      </c>
      <c r="Y43" s="340">
        <f>U43*F43</f>
        <v>0</v>
      </c>
      <c r="Z43" s="340">
        <f>V43*F43</f>
        <v>0</v>
      </c>
      <c r="AA43" s="318">
        <v>0</v>
      </c>
      <c r="AB43" s="341">
        <f t="shared" si="1"/>
        <v>0</v>
      </c>
      <c r="AC43" s="318">
        <v>0</v>
      </c>
      <c r="AD43" s="341">
        <f t="shared" si="2"/>
        <v>0</v>
      </c>
      <c r="AE43" s="318">
        <v>0</v>
      </c>
      <c r="AF43" s="341">
        <f t="shared" si="3"/>
        <v>0</v>
      </c>
      <c r="AG43" s="318">
        <v>0</v>
      </c>
      <c r="AH43" s="341">
        <f t="shared" si="4"/>
        <v>0</v>
      </c>
      <c r="AI43" s="318">
        <v>0</v>
      </c>
      <c r="AJ43" s="341">
        <f t="shared" si="5"/>
        <v>0</v>
      </c>
      <c r="AK43" s="318">
        <v>0</v>
      </c>
      <c r="AL43" s="341">
        <f t="shared" si="6"/>
        <v>0</v>
      </c>
      <c r="AM43" s="318">
        <v>0</v>
      </c>
      <c r="AN43" s="341">
        <f>AM43*F43</f>
        <v>0</v>
      </c>
      <c r="AO43" s="318">
        <v>0</v>
      </c>
      <c r="AP43" s="341">
        <f t="shared" si="7"/>
        <v>0</v>
      </c>
      <c r="AQ43" s="318">
        <v>0</v>
      </c>
      <c r="AR43" s="341">
        <f>AQ43*F43</f>
        <v>0</v>
      </c>
      <c r="AS43" s="318">
        <v>0</v>
      </c>
      <c r="AT43" s="341">
        <f>AS43*F43</f>
        <v>0</v>
      </c>
      <c r="AU43" s="318">
        <v>0</v>
      </c>
      <c r="AV43" s="341">
        <f t="shared" si="8"/>
        <v>0</v>
      </c>
      <c r="AW43" s="318">
        <v>0</v>
      </c>
      <c r="AX43" s="341">
        <f t="shared" si="9"/>
        <v>0</v>
      </c>
      <c r="AY43" s="294">
        <v>0</v>
      </c>
      <c r="AZ43" s="341">
        <f t="shared" si="10"/>
        <v>0</v>
      </c>
      <c r="BA43" s="294">
        <v>0</v>
      </c>
      <c r="BB43" s="341">
        <f>BA43*F43</f>
        <v>0</v>
      </c>
      <c r="BC43" s="318">
        <v>0</v>
      </c>
      <c r="BD43" s="341">
        <f t="shared" si="11"/>
        <v>0</v>
      </c>
      <c r="BE43" s="318">
        <v>0</v>
      </c>
      <c r="BF43" s="341">
        <f t="shared" si="12"/>
        <v>0</v>
      </c>
      <c r="BG43" s="318">
        <v>0</v>
      </c>
      <c r="BH43" s="341">
        <f t="shared" si="13"/>
        <v>0</v>
      </c>
      <c r="BI43" s="318">
        <v>0</v>
      </c>
      <c r="BJ43" s="341">
        <f t="shared" si="14"/>
        <v>0</v>
      </c>
      <c r="BK43" s="322">
        <f t="shared" si="70"/>
        <v>0</v>
      </c>
      <c r="BL43" s="322">
        <f t="shared" si="70"/>
        <v>0</v>
      </c>
      <c r="BM43" s="317" t="s">
        <v>210</v>
      </c>
      <c r="BO43" s="321"/>
      <c r="BP43" s="321"/>
      <c r="BQ43" s="321">
        <f>H43</f>
        <v>0</v>
      </c>
      <c r="BR43" s="321"/>
      <c r="BS43" s="321">
        <f>BO43+BP43+BQ43+BR43</f>
        <v>0</v>
      </c>
      <c r="BT43" s="321"/>
      <c r="BU43" s="321"/>
      <c r="BV43" s="321">
        <f>BT43+BU43</f>
        <v>0</v>
      </c>
      <c r="BW43" s="322">
        <f t="shared" si="16"/>
        <v>0</v>
      </c>
    </row>
    <row r="44" spans="1:75" s="297" customFormat="1" x14ac:dyDescent="0.2">
      <c r="A44" s="787"/>
      <c r="B44" s="312"/>
      <c r="C44" s="334"/>
      <c r="D44" s="316" t="s">
        <v>424</v>
      </c>
      <c r="E44" s="343" t="s">
        <v>111</v>
      </c>
      <c r="F44" s="311"/>
      <c r="G44" s="311">
        <f>SUM(G39:G43)</f>
        <v>0</v>
      </c>
      <c r="H44" s="311">
        <f>SUM(H39:H43)</f>
        <v>0</v>
      </c>
      <c r="I44" s="311">
        <f t="shared" ref="I44:BS44" si="71">SUM(I39:I43)</f>
        <v>0</v>
      </c>
      <c r="J44" s="311">
        <f t="shared" si="71"/>
        <v>0</v>
      </c>
      <c r="K44" s="311">
        <f t="shared" si="71"/>
        <v>0</v>
      </c>
      <c r="L44" s="311">
        <f t="shared" si="71"/>
        <v>0</v>
      </c>
      <c r="M44" s="311">
        <f t="shared" si="71"/>
        <v>0</v>
      </c>
      <c r="N44" s="311">
        <f t="shared" si="71"/>
        <v>0</v>
      </c>
      <c r="O44" s="311">
        <f t="shared" si="71"/>
        <v>0</v>
      </c>
      <c r="P44" s="311">
        <f t="shared" si="71"/>
        <v>0</v>
      </c>
      <c r="Q44" s="311">
        <f t="shared" si="71"/>
        <v>0</v>
      </c>
      <c r="R44" s="311">
        <f t="shared" si="71"/>
        <v>0</v>
      </c>
      <c r="S44" s="311">
        <f t="shared" si="71"/>
        <v>0</v>
      </c>
      <c r="T44" s="311">
        <f t="shared" si="71"/>
        <v>0</v>
      </c>
      <c r="U44" s="311">
        <f t="shared" si="71"/>
        <v>0</v>
      </c>
      <c r="V44" s="311">
        <f t="shared" si="71"/>
        <v>0</v>
      </c>
      <c r="W44" s="311">
        <f t="shared" si="71"/>
        <v>0</v>
      </c>
      <c r="X44" s="311">
        <f t="shared" si="71"/>
        <v>0</v>
      </c>
      <c r="Y44" s="311">
        <f t="shared" si="71"/>
        <v>0</v>
      </c>
      <c r="Z44" s="311">
        <f t="shared" si="71"/>
        <v>0</v>
      </c>
      <c r="AA44" s="311">
        <f t="shared" si="71"/>
        <v>0</v>
      </c>
      <c r="AB44" s="311">
        <f t="shared" si="71"/>
        <v>0</v>
      </c>
      <c r="AC44" s="311">
        <f t="shared" si="71"/>
        <v>0</v>
      </c>
      <c r="AD44" s="311">
        <f t="shared" si="71"/>
        <v>0</v>
      </c>
      <c r="AE44" s="311">
        <f t="shared" si="71"/>
        <v>0</v>
      </c>
      <c r="AF44" s="311">
        <f t="shared" si="71"/>
        <v>0</v>
      </c>
      <c r="AG44" s="311">
        <f t="shared" si="71"/>
        <v>0</v>
      </c>
      <c r="AH44" s="311">
        <f t="shared" si="71"/>
        <v>0</v>
      </c>
      <c r="AI44" s="311">
        <f t="shared" si="71"/>
        <v>0</v>
      </c>
      <c r="AJ44" s="311">
        <f t="shared" si="71"/>
        <v>0</v>
      </c>
      <c r="AK44" s="311">
        <f t="shared" si="71"/>
        <v>0</v>
      </c>
      <c r="AL44" s="311">
        <f t="shared" si="71"/>
        <v>0</v>
      </c>
      <c r="AM44" s="311">
        <f t="shared" si="71"/>
        <v>0</v>
      </c>
      <c r="AN44" s="311">
        <f t="shared" si="71"/>
        <v>0</v>
      </c>
      <c r="AO44" s="311">
        <f t="shared" si="71"/>
        <v>0</v>
      </c>
      <c r="AP44" s="311">
        <f t="shared" si="71"/>
        <v>0</v>
      </c>
      <c r="AQ44" s="311">
        <f t="shared" si="71"/>
        <v>0</v>
      </c>
      <c r="AR44" s="311">
        <f t="shared" si="71"/>
        <v>0</v>
      </c>
      <c r="AS44" s="311">
        <f t="shared" si="71"/>
        <v>0</v>
      </c>
      <c r="AT44" s="311">
        <f t="shared" si="71"/>
        <v>0</v>
      </c>
      <c r="AU44" s="311">
        <f t="shared" si="71"/>
        <v>0</v>
      </c>
      <c r="AV44" s="311">
        <f t="shared" si="71"/>
        <v>0</v>
      </c>
      <c r="AW44" s="311">
        <f t="shared" si="71"/>
        <v>0</v>
      </c>
      <c r="AX44" s="311">
        <f t="shared" si="71"/>
        <v>0</v>
      </c>
      <c r="AY44" s="345">
        <f t="shared" si="71"/>
        <v>0</v>
      </c>
      <c r="AZ44" s="311">
        <f t="shared" si="71"/>
        <v>0</v>
      </c>
      <c r="BA44" s="345">
        <f t="shared" si="71"/>
        <v>0</v>
      </c>
      <c r="BB44" s="311">
        <f t="shared" si="71"/>
        <v>0</v>
      </c>
      <c r="BC44" s="311">
        <f t="shared" si="71"/>
        <v>0</v>
      </c>
      <c r="BD44" s="311">
        <f t="shared" si="71"/>
        <v>0</v>
      </c>
      <c r="BE44" s="311">
        <f t="shared" si="71"/>
        <v>0</v>
      </c>
      <c r="BF44" s="311">
        <f t="shared" si="71"/>
        <v>0</v>
      </c>
      <c r="BG44" s="311">
        <f t="shared" si="71"/>
        <v>0</v>
      </c>
      <c r="BH44" s="311">
        <f t="shared" si="71"/>
        <v>0</v>
      </c>
      <c r="BI44" s="311">
        <f t="shared" si="71"/>
        <v>0</v>
      </c>
      <c r="BJ44" s="311">
        <f t="shared" si="71"/>
        <v>0</v>
      </c>
      <c r="BK44" s="311">
        <f t="shared" si="71"/>
        <v>0</v>
      </c>
      <c r="BL44" s="311">
        <f t="shared" si="71"/>
        <v>0</v>
      </c>
      <c r="BM44" s="311">
        <f t="shared" si="71"/>
        <v>0</v>
      </c>
      <c r="BN44" s="311">
        <f t="shared" si="71"/>
        <v>0</v>
      </c>
      <c r="BO44" s="311">
        <f t="shared" si="71"/>
        <v>0</v>
      </c>
      <c r="BP44" s="311">
        <f t="shared" si="71"/>
        <v>0</v>
      </c>
      <c r="BQ44" s="311">
        <f t="shared" si="71"/>
        <v>0</v>
      </c>
      <c r="BR44" s="311">
        <f t="shared" si="71"/>
        <v>0</v>
      </c>
      <c r="BS44" s="311">
        <f t="shared" si="71"/>
        <v>0</v>
      </c>
      <c r="BT44" s="311">
        <f>SUM(BT39:BT43)</f>
        <v>0</v>
      </c>
      <c r="BU44" s="311">
        <f>SUM(BU39:BU43)</f>
        <v>0</v>
      </c>
      <c r="BV44" s="311">
        <f>SUM(BV39:BV43)</f>
        <v>0</v>
      </c>
      <c r="BW44" s="311">
        <f>SUM(BW39:BW43)</f>
        <v>0</v>
      </c>
    </row>
    <row r="45" spans="1:75" ht="28.5" customHeight="1" x14ac:dyDescent="0.2">
      <c r="A45" s="787"/>
      <c r="B45" s="304">
        <v>23600</v>
      </c>
      <c r="C45" s="334"/>
      <c r="D45" s="361" t="s">
        <v>562</v>
      </c>
      <c r="E45" s="317"/>
      <c r="F45" s="317"/>
      <c r="G45" s="318"/>
      <c r="H45" s="294"/>
      <c r="I45" s="294"/>
      <c r="J45" s="294"/>
      <c r="K45" s="294"/>
      <c r="L45" s="294"/>
      <c r="M45" s="294"/>
      <c r="N45" s="294"/>
      <c r="O45" s="294"/>
      <c r="P45" s="294"/>
      <c r="Q45" s="294"/>
      <c r="R45" s="294"/>
      <c r="S45" s="294"/>
      <c r="T45" s="294"/>
      <c r="U45" s="294"/>
      <c r="V45" s="294"/>
      <c r="W45" s="294"/>
      <c r="X45" s="294"/>
      <c r="Y45" s="294"/>
      <c r="Z45" s="294"/>
      <c r="AA45" s="318"/>
      <c r="AB45" s="341">
        <f t="shared" si="1"/>
        <v>0</v>
      </c>
      <c r="AC45" s="318"/>
      <c r="AD45" s="341">
        <f t="shared" si="2"/>
        <v>0</v>
      </c>
      <c r="AE45" s="318"/>
      <c r="AF45" s="341">
        <f t="shared" si="3"/>
        <v>0</v>
      </c>
      <c r="AG45" s="318"/>
      <c r="AH45" s="341">
        <f t="shared" si="4"/>
        <v>0</v>
      </c>
      <c r="AI45" s="294"/>
      <c r="AJ45" s="341">
        <f t="shared" si="5"/>
        <v>0</v>
      </c>
      <c r="AK45" s="294">
        <v>0</v>
      </c>
      <c r="AL45" s="341">
        <f t="shared" si="6"/>
        <v>0</v>
      </c>
      <c r="AM45" s="294"/>
      <c r="AN45" s="341"/>
      <c r="AO45" s="294"/>
      <c r="AP45" s="341">
        <f t="shared" si="7"/>
        <v>0</v>
      </c>
      <c r="AQ45" s="294"/>
      <c r="AR45" s="341"/>
      <c r="AS45" s="294"/>
      <c r="AT45" s="341"/>
      <c r="AU45" s="294"/>
      <c r="AV45" s="341">
        <f>AU45*F45</f>
        <v>0</v>
      </c>
      <c r="AW45" s="294"/>
      <c r="AX45" s="341">
        <f t="shared" si="9"/>
        <v>0</v>
      </c>
      <c r="AY45" s="294"/>
      <c r="AZ45" s="341">
        <f t="shared" si="10"/>
        <v>0</v>
      </c>
      <c r="BA45" s="294"/>
      <c r="BB45" s="341"/>
      <c r="BC45" s="294"/>
      <c r="BD45" s="341">
        <f t="shared" si="11"/>
        <v>0</v>
      </c>
      <c r="BE45" s="294"/>
      <c r="BF45" s="341">
        <f t="shared" si="12"/>
        <v>0</v>
      </c>
      <c r="BG45" s="294"/>
      <c r="BH45" s="341">
        <f t="shared" si="13"/>
        <v>0</v>
      </c>
      <c r="BI45" s="294"/>
      <c r="BJ45" s="341"/>
      <c r="BK45" s="318"/>
      <c r="BL45" s="341"/>
      <c r="BM45" s="317"/>
      <c r="BO45" s="321"/>
      <c r="BP45" s="321"/>
      <c r="BQ45" s="321"/>
      <c r="BR45" s="321"/>
      <c r="BS45" s="321"/>
      <c r="BT45" s="321"/>
      <c r="BU45" s="321"/>
      <c r="BV45" s="321"/>
      <c r="BW45" s="322">
        <f t="shared" si="16"/>
        <v>0</v>
      </c>
    </row>
    <row r="46" spans="1:75" ht="25.5" x14ac:dyDescent="0.2">
      <c r="A46" s="787"/>
      <c r="B46" s="304"/>
      <c r="C46" s="334" t="s">
        <v>1021</v>
      </c>
      <c r="D46" s="335" t="s">
        <v>680</v>
      </c>
      <c r="E46" s="362" t="s">
        <v>16</v>
      </c>
      <c r="F46" s="336">
        <v>50000</v>
      </c>
      <c r="G46" s="322">
        <f>BK46</f>
        <v>13</v>
      </c>
      <c r="H46" s="318">
        <f>F46*G46</f>
        <v>650000</v>
      </c>
      <c r="I46" s="363">
        <f>H46*0.1</f>
        <v>65000</v>
      </c>
      <c r="J46" s="363">
        <f>H46*0.8</f>
        <v>520000</v>
      </c>
      <c r="K46" s="294"/>
      <c r="L46" s="294"/>
      <c r="M46" s="294"/>
      <c r="N46" s="294"/>
      <c r="O46" s="294"/>
      <c r="P46" s="294"/>
      <c r="Q46" s="363">
        <f>H46*0.1</f>
        <v>65000</v>
      </c>
      <c r="R46" s="294"/>
      <c r="S46" s="294">
        <f>G46*0.5</f>
        <v>6.5</v>
      </c>
      <c r="T46" s="294">
        <f>G46*0.5</f>
        <v>6.5</v>
      </c>
      <c r="U46" s="294"/>
      <c r="V46" s="294"/>
      <c r="W46" s="364">
        <f>H46*0.5</f>
        <v>325000</v>
      </c>
      <c r="X46" s="364">
        <f>H46*0.5</f>
        <v>325000</v>
      </c>
      <c r="Y46" s="294"/>
      <c r="Z46" s="294"/>
      <c r="AA46" s="318">
        <v>1</v>
      </c>
      <c r="AB46" s="295">
        <f t="shared" ref="AB46:AB53" si="72">AA46*F46</f>
        <v>50000</v>
      </c>
      <c r="AC46" s="318">
        <v>1</v>
      </c>
      <c r="AD46" s="341">
        <f t="shared" si="2"/>
        <v>50000</v>
      </c>
      <c r="AE46" s="318">
        <v>1</v>
      </c>
      <c r="AF46" s="295">
        <f t="shared" si="3"/>
        <v>50000</v>
      </c>
      <c r="AG46" s="318">
        <v>1</v>
      </c>
      <c r="AH46" s="341">
        <f t="shared" si="4"/>
        <v>50000</v>
      </c>
      <c r="AI46" s="294">
        <v>1</v>
      </c>
      <c r="AJ46" s="295">
        <f>AI46*F46</f>
        <v>50000</v>
      </c>
      <c r="AK46" s="294">
        <v>0</v>
      </c>
      <c r="AL46" s="295">
        <f>AK46*F46</f>
        <v>0</v>
      </c>
      <c r="AM46" s="294">
        <v>1</v>
      </c>
      <c r="AN46" s="295">
        <f>AM46*F46</f>
        <v>50000</v>
      </c>
      <c r="AO46" s="294">
        <v>1</v>
      </c>
      <c r="AP46" s="295">
        <f>AO46*F46</f>
        <v>50000</v>
      </c>
      <c r="AQ46" s="294">
        <v>1</v>
      </c>
      <c r="AR46" s="295">
        <f t="shared" ref="AR46:AR58" si="73">AQ46*F46</f>
        <v>50000</v>
      </c>
      <c r="AS46" s="294">
        <v>0</v>
      </c>
      <c r="AT46" s="295">
        <f t="shared" ref="AT46:AT53" si="74">AS46*F46</f>
        <v>0</v>
      </c>
      <c r="AU46" s="294">
        <v>1</v>
      </c>
      <c r="AV46" s="295">
        <f>AU46*F46</f>
        <v>50000</v>
      </c>
      <c r="AW46" s="294">
        <v>1</v>
      </c>
      <c r="AX46" s="295">
        <f t="shared" si="9"/>
        <v>50000</v>
      </c>
      <c r="AY46" s="294">
        <v>0</v>
      </c>
      <c r="AZ46" s="295">
        <f>AY46*F46</f>
        <v>0</v>
      </c>
      <c r="BA46" s="294">
        <v>1</v>
      </c>
      <c r="BB46" s="295">
        <f t="shared" ref="BB46:BB53" si="75">BA46*F46</f>
        <v>50000</v>
      </c>
      <c r="BC46" s="294">
        <v>1</v>
      </c>
      <c r="BD46" s="341">
        <f t="shared" si="11"/>
        <v>50000</v>
      </c>
      <c r="BE46" s="294">
        <v>1</v>
      </c>
      <c r="BF46" s="295">
        <f>BE46*F46</f>
        <v>50000</v>
      </c>
      <c r="BG46" s="294">
        <v>0</v>
      </c>
      <c r="BH46" s="295">
        <f>BG46*F46</f>
        <v>0</v>
      </c>
      <c r="BI46" s="294"/>
      <c r="BJ46" s="341"/>
      <c r="BK46" s="322">
        <f t="shared" ref="BK46:BK58" si="76">BI46+BG46+BE46+BC46+BA46+AY46+AW46+AU46+AS46+AQ46+AO46+AM46+AK46+AI46+AG46+AE46+AC46+AA46</f>
        <v>13</v>
      </c>
      <c r="BL46" s="322">
        <f t="shared" ref="BL46:BL58" si="77">BJ46+BH46+BF46+BD46+BB46+AZ46+AX46+AV46+AT46+AR46+AP46+AN46+AL46+AJ46+AH46+AF46+AD46+AB46</f>
        <v>650000</v>
      </c>
      <c r="BM46" s="365" t="s">
        <v>213</v>
      </c>
      <c r="BO46" s="321"/>
      <c r="BP46" s="321"/>
      <c r="BQ46" s="321">
        <f>H46</f>
        <v>650000</v>
      </c>
      <c r="BR46" s="321"/>
      <c r="BS46" s="366">
        <f t="shared" ref="BS46:BS58" si="78">BO46+BP46+BQ46+BR46</f>
        <v>650000</v>
      </c>
      <c r="BT46" s="321"/>
      <c r="BU46" s="321"/>
      <c r="BV46" s="321"/>
      <c r="BW46" s="322">
        <f t="shared" si="16"/>
        <v>650000</v>
      </c>
    </row>
    <row r="47" spans="1:75" x14ac:dyDescent="0.2">
      <c r="A47" s="787"/>
      <c r="B47" s="304"/>
      <c r="C47" s="334" t="s">
        <v>1022</v>
      </c>
      <c r="D47" s="335" t="s">
        <v>640</v>
      </c>
      <c r="E47" s="362"/>
      <c r="F47" s="336">
        <v>500000</v>
      </c>
      <c r="G47" s="318">
        <f>BK47</f>
        <v>0</v>
      </c>
      <c r="H47" s="318">
        <f>BL47</f>
        <v>0</v>
      </c>
      <c r="I47" s="363">
        <f>H47*0.1</f>
        <v>0</v>
      </c>
      <c r="J47" s="363">
        <f>H47*0.8</f>
        <v>0</v>
      </c>
      <c r="K47" s="294"/>
      <c r="L47" s="294"/>
      <c r="M47" s="294"/>
      <c r="N47" s="294"/>
      <c r="O47" s="294"/>
      <c r="P47" s="294"/>
      <c r="Q47" s="363">
        <f>H47*0.1</f>
        <v>0</v>
      </c>
      <c r="R47" s="294"/>
      <c r="S47" s="294">
        <f>G47*0.5</f>
        <v>0</v>
      </c>
      <c r="T47" s="294">
        <f>G47*0.5</f>
        <v>0</v>
      </c>
      <c r="U47" s="294"/>
      <c r="V47" s="294"/>
      <c r="W47" s="364">
        <f>H47*0.5</f>
        <v>0</v>
      </c>
      <c r="X47" s="364">
        <f>H47*0.5</f>
        <v>0</v>
      </c>
      <c r="Y47" s="294"/>
      <c r="Z47" s="294"/>
      <c r="AA47" s="318"/>
      <c r="AB47" s="295">
        <f t="shared" si="72"/>
        <v>0</v>
      </c>
      <c r="AC47" s="318">
        <v>0</v>
      </c>
      <c r="AD47" s="295">
        <f t="shared" si="2"/>
        <v>0</v>
      </c>
      <c r="AE47" s="318">
        <v>0</v>
      </c>
      <c r="AF47" s="295">
        <f t="shared" si="3"/>
        <v>0</v>
      </c>
      <c r="AG47" s="318">
        <v>0</v>
      </c>
      <c r="AH47" s="295">
        <f t="shared" si="4"/>
        <v>0</v>
      </c>
      <c r="AI47" s="294">
        <v>0</v>
      </c>
      <c r="AJ47" s="295">
        <f>AI47*F47</f>
        <v>0</v>
      </c>
      <c r="AK47" s="294">
        <v>0</v>
      </c>
      <c r="AL47" s="295">
        <f>AK47*F47</f>
        <v>0</v>
      </c>
      <c r="AM47" s="294">
        <v>0</v>
      </c>
      <c r="AN47" s="295">
        <f>AM47*F47</f>
        <v>0</v>
      </c>
      <c r="AO47" s="294">
        <v>0</v>
      </c>
      <c r="AP47" s="295">
        <f>AO47*F47</f>
        <v>0</v>
      </c>
      <c r="AQ47" s="294"/>
      <c r="AR47" s="295">
        <f t="shared" si="73"/>
        <v>0</v>
      </c>
      <c r="AS47" s="294">
        <v>0</v>
      </c>
      <c r="AT47" s="295">
        <f t="shared" si="74"/>
        <v>0</v>
      </c>
      <c r="AU47" s="294">
        <v>0</v>
      </c>
      <c r="AV47" s="295">
        <f>AU47*F47</f>
        <v>0</v>
      </c>
      <c r="AW47" s="294">
        <v>0</v>
      </c>
      <c r="AX47" s="295">
        <f t="shared" si="9"/>
        <v>0</v>
      </c>
      <c r="AY47" s="294">
        <v>0</v>
      </c>
      <c r="AZ47" s="295">
        <f>AY47*F47</f>
        <v>0</v>
      </c>
      <c r="BA47" s="294">
        <v>0</v>
      </c>
      <c r="BB47" s="295">
        <f t="shared" si="75"/>
        <v>0</v>
      </c>
      <c r="BC47" s="294">
        <v>0</v>
      </c>
      <c r="BD47" s="295">
        <f t="shared" ref="BD47:BD51" si="79">BC47*F47</f>
        <v>0</v>
      </c>
      <c r="BE47" s="294"/>
      <c r="BF47" s="295">
        <f>BE47*F47</f>
        <v>0</v>
      </c>
      <c r="BG47" s="294">
        <v>0</v>
      </c>
      <c r="BH47" s="295">
        <f>BG47*F47</f>
        <v>0</v>
      </c>
      <c r="BI47" s="294"/>
      <c r="BJ47" s="341"/>
      <c r="BK47" s="322">
        <f t="shared" si="76"/>
        <v>0</v>
      </c>
      <c r="BL47" s="322">
        <f t="shared" si="77"/>
        <v>0</v>
      </c>
      <c r="BM47" s="365" t="s">
        <v>213</v>
      </c>
      <c r="BO47" s="321">
        <f>H47</f>
        <v>0</v>
      </c>
      <c r="BP47" s="321"/>
      <c r="BQ47" s="321"/>
      <c r="BR47" s="321"/>
      <c r="BS47" s="366">
        <f t="shared" si="78"/>
        <v>0</v>
      </c>
      <c r="BT47" s="321"/>
      <c r="BU47" s="321"/>
      <c r="BV47" s="321"/>
      <c r="BW47" s="322">
        <f t="shared" si="16"/>
        <v>0</v>
      </c>
    </row>
    <row r="48" spans="1:75" ht="25.5" x14ac:dyDescent="0.2">
      <c r="A48" s="787"/>
      <c r="B48" s="304"/>
      <c r="C48" s="334" t="s">
        <v>1023</v>
      </c>
      <c r="D48" s="335" t="s">
        <v>605</v>
      </c>
      <c r="E48" s="362" t="s">
        <v>239</v>
      </c>
      <c r="F48" s="336">
        <v>100000</v>
      </c>
      <c r="G48" s="318">
        <f>BK48</f>
        <v>0</v>
      </c>
      <c r="H48" s="337">
        <f>F48*G48</f>
        <v>0</v>
      </c>
      <c r="I48" s="363">
        <f>H48*0.1</f>
        <v>0</v>
      </c>
      <c r="J48" s="363">
        <f>H48*0.8</f>
        <v>0</v>
      </c>
      <c r="K48" s="294"/>
      <c r="L48" s="294"/>
      <c r="M48" s="294"/>
      <c r="N48" s="294"/>
      <c r="O48" s="294"/>
      <c r="P48" s="294"/>
      <c r="Q48" s="363">
        <f>H48*0.1</f>
        <v>0</v>
      </c>
      <c r="R48" s="294"/>
      <c r="S48" s="294"/>
      <c r="T48" s="294"/>
      <c r="U48" s="294"/>
      <c r="V48" s="294">
        <v>1</v>
      </c>
      <c r="W48" s="340">
        <f>S48*F48</f>
        <v>0</v>
      </c>
      <c r="X48" s="340">
        <f>T48*F48</f>
        <v>0</v>
      </c>
      <c r="Y48" s="340">
        <f>U48*F48</f>
        <v>0</v>
      </c>
      <c r="Z48" s="340">
        <f>V48*F48</f>
        <v>100000</v>
      </c>
      <c r="AA48" s="318">
        <v>0</v>
      </c>
      <c r="AB48" s="295">
        <f t="shared" si="72"/>
        <v>0</v>
      </c>
      <c r="AC48" s="318">
        <v>0</v>
      </c>
      <c r="AD48" s="295">
        <f t="shared" si="2"/>
        <v>0</v>
      </c>
      <c r="AE48" s="318">
        <v>0</v>
      </c>
      <c r="AF48" s="295">
        <f t="shared" si="3"/>
        <v>0</v>
      </c>
      <c r="AG48" s="318">
        <v>0</v>
      </c>
      <c r="AH48" s="295">
        <f t="shared" si="4"/>
        <v>0</v>
      </c>
      <c r="AI48" s="294">
        <v>0</v>
      </c>
      <c r="AJ48" s="295">
        <f>AI48*F48</f>
        <v>0</v>
      </c>
      <c r="AK48" s="294">
        <v>0</v>
      </c>
      <c r="AL48" s="295">
        <f>AK48*F48</f>
        <v>0</v>
      </c>
      <c r="AM48" s="294">
        <v>0</v>
      </c>
      <c r="AN48" s="295">
        <f>AM48*F48</f>
        <v>0</v>
      </c>
      <c r="AO48" s="294">
        <v>0</v>
      </c>
      <c r="AP48" s="295">
        <f>AO48*F48</f>
        <v>0</v>
      </c>
      <c r="AQ48" s="294">
        <v>0</v>
      </c>
      <c r="AR48" s="295">
        <f t="shared" si="73"/>
        <v>0</v>
      </c>
      <c r="AS48" s="294">
        <v>0</v>
      </c>
      <c r="AT48" s="295">
        <f t="shared" si="74"/>
        <v>0</v>
      </c>
      <c r="AU48" s="294">
        <v>0</v>
      </c>
      <c r="AV48" s="295">
        <f>AU48*F48</f>
        <v>0</v>
      </c>
      <c r="AW48" s="294">
        <v>0</v>
      </c>
      <c r="AX48" s="295">
        <f t="shared" si="9"/>
        <v>0</v>
      </c>
      <c r="AY48" s="294">
        <v>0</v>
      </c>
      <c r="AZ48" s="295">
        <f>AY48*F48</f>
        <v>0</v>
      </c>
      <c r="BA48" s="294">
        <v>0</v>
      </c>
      <c r="BB48" s="295">
        <f t="shared" si="75"/>
        <v>0</v>
      </c>
      <c r="BC48" s="294">
        <v>0</v>
      </c>
      <c r="BD48" s="295">
        <f t="shared" si="79"/>
        <v>0</v>
      </c>
      <c r="BE48" s="294">
        <v>0</v>
      </c>
      <c r="BF48" s="295">
        <f>BE48*F48</f>
        <v>0</v>
      </c>
      <c r="BG48" s="294">
        <v>0</v>
      </c>
      <c r="BH48" s="295">
        <f>BG48*F48</f>
        <v>0</v>
      </c>
      <c r="BI48" s="294"/>
      <c r="BJ48" s="341"/>
      <c r="BK48" s="322">
        <f t="shared" si="76"/>
        <v>0</v>
      </c>
      <c r="BL48" s="322">
        <f t="shared" si="77"/>
        <v>0</v>
      </c>
      <c r="BM48" s="365"/>
      <c r="BO48" s="321"/>
      <c r="BP48" s="321"/>
      <c r="BQ48" s="321">
        <f>H48</f>
        <v>0</v>
      </c>
      <c r="BR48" s="321"/>
      <c r="BS48" s="366">
        <f t="shared" si="78"/>
        <v>0</v>
      </c>
      <c r="BT48" s="321"/>
      <c r="BU48" s="321"/>
      <c r="BV48" s="321"/>
      <c r="BW48" s="322">
        <f t="shared" si="16"/>
        <v>0</v>
      </c>
    </row>
    <row r="49" spans="1:75" x14ac:dyDescent="0.2">
      <c r="A49" s="787"/>
      <c r="B49" s="304"/>
      <c r="C49" s="334"/>
      <c r="D49" s="335" t="s">
        <v>876</v>
      </c>
      <c r="E49" s="362" t="s">
        <v>603</v>
      </c>
      <c r="F49" s="336">
        <v>5000</v>
      </c>
      <c r="G49" s="318">
        <f>BK49</f>
        <v>0</v>
      </c>
      <c r="H49" s="337">
        <f>F49*G49</f>
        <v>0</v>
      </c>
      <c r="I49" s="363"/>
      <c r="J49" s="363"/>
      <c r="K49" s="367">
        <f>H49*1</f>
        <v>0</v>
      </c>
      <c r="L49" s="294"/>
      <c r="M49" s="294"/>
      <c r="N49" s="294"/>
      <c r="O49" s="294"/>
      <c r="P49" s="294"/>
      <c r="Q49" s="363"/>
      <c r="R49" s="294"/>
      <c r="S49" s="294"/>
      <c r="T49" s="294"/>
      <c r="U49" s="294"/>
      <c r="V49" s="294"/>
      <c r="W49" s="340"/>
      <c r="X49" s="340"/>
      <c r="Y49" s="340"/>
      <c r="Z49" s="340"/>
      <c r="AA49" s="318">
        <v>0</v>
      </c>
      <c r="AB49" s="295">
        <f t="shared" si="72"/>
        <v>0</v>
      </c>
      <c r="AC49" s="318">
        <v>0</v>
      </c>
      <c r="AD49" s="295">
        <f t="shared" si="2"/>
        <v>0</v>
      </c>
      <c r="AE49" s="318">
        <v>0</v>
      </c>
      <c r="AF49" s="295">
        <f t="shared" si="3"/>
        <v>0</v>
      </c>
      <c r="AG49" s="318">
        <v>0</v>
      </c>
      <c r="AH49" s="295">
        <f t="shared" si="4"/>
        <v>0</v>
      </c>
      <c r="AI49" s="294">
        <v>0</v>
      </c>
      <c r="AJ49" s="295">
        <f>AI49*F49</f>
        <v>0</v>
      </c>
      <c r="AK49" s="294">
        <v>0</v>
      </c>
      <c r="AL49" s="295">
        <f>AK49*F49</f>
        <v>0</v>
      </c>
      <c r="AM49" s="294">
        <v>0</v>
      </c>
      <c r="AN49" s="295">
        <f>AM49*F49</f>
        <v>0</v>
      </c>
      <c r="AO49" s="294">
        <v>0</v>
      </c>
      <c r="AP49" s="295">
        <f>AO49*F49</f>
        <v>0</v>
      </c>
      <c r="AQ49" s="294">
        <v>0</v>
      </c>
      <c r="AR49" s="295">
        <f t="shared" si="73"/>
        <v>0</v>
      </c>
      <c r="AS49" s="294">
        <v>0</v>
      </c>
      <c r="AT49" s="295">
        <f t="shared" si="74"/>
        <v>0</v>
      </c>
      <c r="AU49" s="294">
        <v>0</v>
      </c>
      <c r="AV49" s="295">
        <f>AU49*F49</f>
        <v>0</v>
      </c>
      <c r="AW49" s="294">
        <v>0</v>
      </c>
      <c r="AX49" s="295">
        <f t="shared" si="9"/>
        <v>0</v>
      </c>
      <c r="AY49" s="294">
        <v>0</v>
      </c>
      <c r="AZ49" s="295">
        <f>AY49*F49</f>
        <v>0</v>
      </c>
      <c r="BA49" s="294">
        <v>0</v>
      </c>
      <c r="BB49" s="295">
        <f t="shared" si="75"/>
        <v>0</v>
      </c>
      <c r="BC49" s="294">
        <v>0</v>
      </c>
      <c r="BD49" s="295">
        <f t="shared" si="79"/>
        <v>0</v>
      </c>
      <c r="BE49" s="294">
        <v>0</v>
      </c>
      <c r="BF49" s="295">
        <f>BE49*F49</f>
        <v>0</v>
      </c>
      <c r="BG49" s="294">
        <v>0</v>
      </c>
      <c r="BH49" s="295">
        <f>BG49*F49</f>
        <v>0</v>
      </c>
      <c r="BI49" s="294"/>
      <c r="BJ49" s="341"/>
      <c r="BK49" s="322">
        <f>BI49+BG49+BE49+BC49+BA49+AY49+AW49+AU49+AS49+AQ49+AO49+AM49+AK49+AI49+AG49+AE49+AC49+AA49</f>
        <v>0</v>
      </c>
      <c r="BL49" s="322">
        <f>BJ49+BH49+BF49+BD49+BB49+AZ49+AX49+AV49+AT49+AR49+AP49+AN49+AL49+AJ49+AH49+AF49+AD49+AB49</f>
        <v>0</v>
      </c>
      <c r="BM49" s="375" t="s">
        <v>534</v>
      </c>
      <c r="BO49" s="321"/>
      <c r="BP49" s="321"/>
      <c r="BQ49" s="321"/>
      <c r="BR49" s="321"/>
      <c r="BS49" s="366"/>
      <c r="BT49" s="321"/>
      <c r="BU49" s="321"/>
      <c r="BV49" s="321"/>
      <c r="BW49" s="322"/>
    </row>
    <row r="50" spans="1:75" s="416" customFormat="1" ht="25.5" x14ac:dyDescent="0.2">
      <c r="A50" s="787"/>
      <c r="B50" s="313"/>
      <c r="C50" s="334"/>
      <c r="D50" s="368" t="s">
        <v>875</v>
      </c>
      <c r="E50" s="313" t="s">
        <v>239</v>
      </c>
      <c r="F50" s="369">
        <v>700000</v>
      </c>
      <c r="G50" s="370">
        <f t="shared" ref="G50:G55" si="80">BK50</f>
        <v>0</v>
      </c>
      <c r="H50" s="371">
        <f>BL50</f>
        <v>0</v>
      </c>
      <c r="I50" s="371"/>
      <c r="J50" s="371"/>
      <c r="K50" s="367">
        <f>H50*1</f>
        <v>0</v>
      </c>
      <c r="L50" s="372"/>
      <c r="M50" s="372"/>
      <c r="N50" s="372"/>
      <c r="O50" s="372"/>
      <c r="P50" s="372"/>
      <c r="Q50" s="367">
        <f>H50*0</f>
        <v>0</v>
      </c>
      <c r="R50" s="372">
        <f>H50*0</f>
        <v>0</v>
      </c>
      <c r="S50" s="373">
        <f>G50*0.25</f>
        <v>0</v>
      </c>
      <c r="T50" s="373">
        <f>G50*0.25</f>
        <v>0</v>
      </c>
      <c r="U50" s="373">
        <f>G50*0.25</f>
        <v>0</v>
      </c>
      <c r="V50" s="373">
        <f>G50*0.25</f>
        <v>0</v>
      </c>
      <c r="W50" s="355">
        <f>H50*0.25</f>
        <v>0</v>
      </c>
      <c r="X50" s="355">
        <f>H50*0.25</f>
        <v>0</v>
      </c>
      <c r="Y50" s="355">
        <f>H50*0.25</f>
        <v>0</v>
      </c>
      <c r="Z50" s="355">
        <f>H50*0.25</f>
        <v>0</v>
      </c>
      <c r="AA50" s="374">
        <v>0</v>
      </c>
      <c r="AB50" s="295">
        <f t="shared" si="72"/>
        <v>0</v>
      </c>
      <c r="AC50" s="374">
        <v>0</v>
      </c>
      <c r="AD50" s="295">
        <f t="shared" si="2"/>
        <v>0</v>
      </c>
      <c r="AE50" s="374">
        <v>0</v>
      </c>
      <c r="AF50" s="295">
        <f t="shared" si="3"/>
        <v>0</v>
      </c>
      <c r="AG50" s="374">
        <v>0</v>
      </c>
      <c r="AH50" s="295">
        <f t="shared" si="4"/>
        <v>0</v>
      </c>
      <c r="AI50" s="374">
        <v>0</v>
      </c>
      <c r="AJ50" s="295">
        <f t="shared" si="5"/>
        <v>0</v>
      </c>
      <c r="AK50" s="374">
        <v>0</v>
      </c>
      <c r="AL50" s="295">
        <f t="shared" si="6"/>
        <v>0</v>
      </c>
      <c r="AM50" s="374">
        <v>0</v>
      </c>
      <c r="AN50" s="295">
        <f>AM50*F50</f>
        <v>0</v>
      </c>
      <c r="AO50" s="374">
        <v>0</v>
      </c>
      <c r="AP50" s="295">
        <f t="shared" si="7"/>
        <v>0</v>
      </c>
      <c r="AQ50" s="374">
        <v>0</v>
      </c>
      <c r="AR50" s="295">
        <f t="shared" si="73"/>
        <v>0</v>
      </c>
      <c r="AS50" s="374">
        <v>0</v>
      </c>
      <c r="AT50" s="295">
        <f t="shared" si="74"/>
        <v>0</v>
      </c>
      <c r="AU50" s="374">
        <v>0</v>
      </c>
      <c r="AV50" s="295">
        <f t="shared" si="8"/>
        <v>0</v>
      </c>
      <c r="AW50" s="374">
        <v>0</v>
      </c>
      <c r="AX50" s="295">
        <f t="shared" si="9"/>
        <v>0</v>
      </c>
      <c r="AY50" s="374">
        <v>0</v>
      </c>
      <c r="AZ50" s="295">
        <f t="shared" si="10"/>
        <v>0</v>
      </c>
      <c r="BA50" s="374">
        <v>0</v>
      </c>
      <c r="BB50" s="295">
        <f t="shared" si="75"/>
        <v>0</v>
      </c>
      <c r="BC50" s="374">
        <v>0</v>
      </c>
      <c r="BD50" s="295">
        <f t="shared" si="79"/>
        <v>0</v>
      </c>
      <c r="BE50" s="374">
        <v>0</v>
      </c>
      <c r="BF50" s="295">
        <f t="shared" si="12"/>
        <v>0</v>
      </c>
      <c r="BG50" s="374">
        <v>0</v>
      </c>
      <c r="BH50" s="295">
        <f t="shared" si="13"/>
        <v>0</v>
      </c>
      <c r="BI50" s="374">
        <v>0</v>
      </c>
      <c r="BJ50" s="295">
        <f>BI50*F50</f>
        <v>0</v>
      </c>
      <c r="BK50" s="322">
        <f t="shared" si="76"/>
        <v>0</v>
      </c>
      <c r="BL50" s="322">
        <f t="shared" si="77"/>
        <v>0</v>
      </c>
      <c r="BM50" s="375" t="s">
        <v>534</v>
      </c>
      <c r="BN50" s="376"/>
      <c r="BO50" s="295"/>
      <c r="BP50" s="295"/>
      <c r="BQ50" s="321">
        <f>H50</f>
        <v>0</v>
      </c>
      <c r="BR50" s="295"/>
      <c r="BS50" s="366">
        <f t="shared" si="78"/>
        <v>0</v>
      </c>
      <c r="BT50" s="295"/>
      <c r="BU50" s="295"/>
      <c r="BV50" s="295"/>
      <c r="BW50" s="322">
        <f t="shared" si="16"/>
        <v>0</v>
      </c>
    </row>
    <row r="51" spans="1:75" s="416" customFormat="1" x14ac:dyDescent="0.2">
      <c r="A51" s="787"/>
      <c r="B51" s="313"/>
      <c r="C51" s="334" t="s">
        <v>1024</v>
      </c>
      <c r="D51" s="368" t="s">
        <v>687</v>
      </c>
      <c r="E51" s="313"/>
      <c r="F51" s="369">
        <v>700000</v>
      </c>
      <c r="G51" s="370">
        <f t="shared" si="80"/>
        <v>0</v>
      </c>
      <c r="H51" s="371">
        <f>BL51</f>
        <v>0</v>
      </c>
      <c r="I51" s="363">
        <f>H51*0.2</f>
        <v>0</v>
      </c>
      <c r="J51" s="363">
        <f>H51*0.8</f>
        <v>0</v>
      </c>
      <c r="K51" s="367"/>
      <c r="L51" s="372"/>
      <c r="M51" s="367">
        <v>0</v>
      </c>
      <c r="N51" s="372"/>
      <c r="O51" s="372"/>
      <c r="P51" s="372"/>
      <c r="Q51" s="363">
        <f>H51*0</f>
        <v>0</v>
      </c>
      <c r="R51" s="372"/>
      <c r="S51" s="373">
        <f>G51*0.25</f>
        <v>0</v>
      </c>
      <c r="T51" s="373">
        <f>G51*0.25</f>
        <v>0</v>
      </c>
      <c r="U51" s="373">
        <f>G51*0.25</f>
        <v>0</v>
      </c>
      <c r="V51" s="373">
        <f>G51*0.25</f>
        <v>0</v>
      </c>
      <c r="W51" s="355">
        <f>S51*F51</f>
        <v>0</v>
      </c>
      <c r="X51" s="355">
        <f>T51*F51</f>
        <v>0</v>
      </c>
      <c r="Y51" s="355">
        <f>U51*F51</f>
        <v>0</v>
      </c>
      <c r="Z51" s="355">
        <f>V51*F51</f>
        <v>0</v>
      </c>
      <c r="AA51" s="374">
        <v>0</v>
      </c>
      <c r="AB51" s="295">
        <f t="shared" si="72"/>
        <v>0</v>
      </c>
      <c r="AC51" s="374">
        <v>0</v>
      </c>
      <c r="AD51" s="295">
        <f t="shared" si="2"/>
        <v>0</v>
      </c>
      <c r="AE51" s="374">
        <v>0</v>
      </c>
      <c r="AF51" s="295">
        <f t="shared" si="3"/>
        <v>0</v>
      </c>
      <c r="AG51" s="374">
        <v>0</v>
      </c>
      <c r="AH51" s="295">
        <f t="shared" si="4"/>
        <v>0</v>
      </c>
      <c r="AI51" s="374">
        <v>0</v>
      </c>
      <c r="AJ51" s="295"/>
      <c r="AK51" s="374">
        <v>0</v>
      </c>
      <c r="AL51" s="295"/>
      <c r="AM51" s="374"/>
      <c r="AN51" s="295"/>
      <c r="AO51" s="374">
        <v>0</v>
      </c>
      <c r="AP51" s="295">
        <f t="shared" si="7"/>
        <v>0</v>
      </c>
      <c r="AQ51" s="374">
        <v>0</v>
      </c>
      <c r="AR51" s="295">
        <f t="shared" si="73"/>
        <v>0</v>
      </c>
      <c r="AS51" s="374">
        <v>0</v>
      </c>
      <c r="AT51" s="295">
        <f t="shared" si="74"/>
        <v>0</v>
      </c>
      <c r="AU51" s="374"/>
      <c r="AV51" s="295"/>
      <c r="AW51" s="374">
        <v>0</v>
      </c>
      <c r="AX51" s="295">
        <f t="shared" si="9"/>
        <v>0</v>
      </c>
      <c r="AY51" s="374"/>
      <c r="AZ51" s="295"/>
      <c r="BA51" s="374">
        <v>0</v>
      </c>
      <c r="BB51" s="295">
        <f t="shared" si="75"/>
        <v>0</v>
      </c>
      <c r="BC51" s="374">
        <v>0</v>
      </c>
      <c r="BD51" s="295">
        <f t="shared" si="79"/>
        <v>0</v>
      </c>
      <c r="BE51" s="374">
        <v>0</v>
      </c>
      <c r="BF51" s="295">
        <f t="shared" si="12"/>
        <v>0</v>
      </c>
      <c r="BG51" s="374">
        <v>0</v>
      </c>
      <c r="BH51" s="295">
        <f t="shared" si="13"/>
        <v>0</v>
      </c>
      <c r="BI51" s="374"/>
      <c r="BJ51" s="295"/>
      <c r="BK51" s="322">
        <f t="shared" si="76"/>
        <v>0</v>
      </c>
      <c r="BL51" s="322">
        <f t="shared" si="77"/>
        <v>0</v>
      </c>
      <c r="BM51" s="365" t="s">
        <v>892</v>
      </c>
      <c r="BN51" s="376"/>
      <c r="BO51" s="295">
        <f>H51</f>
        <v>0</v>
      </c>
      <c r="BP51" s="295"/>
      <c r="BQ51" s="321"/>
      <c r="BR51" s="295"/>
      <c r="BS51" s="366">
        <f t="shared" si="78"/>
        <v>0</v>
      </c>
      <c r="BT51" s="295"/>
      <c r="BU51" s="295"/>
      <c r="BV51" s="295"/>
      <c r="BW51" s="322">
        <f t="shared" si="16"/>
        <v>0</v>
      </c>
    </row>
    <row r="52" spans="1:75" s="416" customFormat="1" x14ac:dyDescent="0.2">
      <c r="A52" s="787"/>
      <c r="B52" s="313"/>
      <c r="C52" s="334"/>
      <c r="D52" s="368" t="s">
        <v>638</v>
      </c>
      <c r="E52" s="313" t="s">
        <v>239</v>
      </c>
      <c r="F52" s="369">
        <v>800000</v>
      </c>
      <c r="G52" s="370">
        <f t="shared" si="80"/>
        <v>0</v>
      </c>
      <c r="H52" s="371">
        <f>G52*F52</f>
        <v>0</v>
      </c>
      <c r="I52" s="371"/>
      <c r="J52" s="371"/>
      <c r="K52" s="367"/>
      <c r="L52" s="372"/>
      <c r="M52" s="367">
        <f>H52</f>
        <v>0</v>
      </c>
      <c r="N52" s="372"/>
      <c r="O52" s="372"/>
      <c r="P52" s="372"/>
      <c r="Q52" s="367"/>
      <c r="R52" s="372"/>
      <c r="S52" s="373">
        <f>G52*0.25</f>
        <v>0</v>
      </c>
      <c r="T52" s="373">
        <f>G52*0.25</f>
        <v>0</v>
      </c>
      <c r="U52" s="373">
        <f>G52*0.25</f>
        <v>0</v>
      </c>
      <c r="V52" s="373">
        <f>G52*0.25</f>
        <v>0</v>
      </c>
      <c r="W52" s="355">
        <f>S52*F52</f>
        <v>0</v>
      </c>
      <c r="X52" s="355">
        <f>T52*F52</f>
        <v>0</v>
      </c>
      <c r="Y52" s="355">
        <f>U52*F52</f>
        <v>0</v>
      </c>
      <c r="Z52" s="355">
        <f>V52*F52</f>
        <v>0</v>
      </c>
      <c r="AA52" s="374">
        <v>0</v>
      </c>
      <c r="AB52" s="295">
        <f t="shared" si="72"/>
        <v>0</v>
      </c>
      <c r="AC52" s="374">
        <v>0</v>
      </c>
      <c r="AD52" s="295">
        <f t="shared" si="2"/>
        <v>0</v>
      </c>
      <c r="AE52" s="374">
        <v>0</v>
      </c>
      <c r="AF52" s="295">
        <f t="shared" si="3"/>
        <v>0</v>
      </c>
      <c r="AG52" s="374">
        <v>0</v>
      </c>
      <c r="AH52" s="295">
        <f t="shared" si="4"/>
        <v>0</v>
      </c>
      <c r="AI52" s="374">
        <v>0</v>
      </c>
      <c r="AJ52" s="295">
        <f t="shared" si="5"/>
        <v>0</v>
      </c>
      <c r="AK52" s="374">
        <v>0</v>
      </c>
      <c r="AL52" s="295">
        <f t="shared" si="6"/>
        <v>0</v>
      </c>
      <c r="AM52" s="374">
        <v>0</v>
      </c>
      <c r="AN52" s="295">
        <f t="shared" ref="AN52:AN58" si="81">AM52*F52</f>
        <v>0</v>
      </c>
      <c r="AO52" s="374">
        <v>0</v>
      </c>
      <c r="AP52" s="295">
        <f t="shared" si="7"/>
        <v>0</v>
      </c>
      <c r="AQ52" s="374">
        <v>0</v>
      </c>
      <c r="AR52" s="295">
        <f t="shared" si="73"/>
        <v>0</v>
      </c>
      <c r="AS52" s="374">
        <v>0</v>
      </c>
      <c r="AT52" s="295">
        <f t="shared" si="74"/>
        <v>0</v>
      </c>
      <c r="AU52" s="374">
        <v>0</v>
      </c>
      <c r="AV52" s="295">
        <f t="shared" si="8"/>
        <v>0</v>
      </c>
      <c r="AW52" s="374">
        <v>0</v>
      </c>
      <c r="AX52" s="295">
        <f t="shared" si="9"/>
        <v>0</v>
      </c>
      <c r="AY52" s="374">
        <v>0</v>
      </c>
      <c r="AZ52" s="295">
        <f t="shared" si="10"/>
        <v>0</v>
      </c>
      <c r="BA52" s="374">
        <v>0</v>
      </c>
      <c r="BB52" s="295">
        <f t="shared" si="75"/>
        <v>0</v>
      </c>
      <c r="BC52" s="374">
        <v>0</v>
      </c>
      <c r="BD52" s="295">
        <f t="shared" si="11"/>
        <v>0</v>
      </c>
      <c r="BE52" s="374">
        <v>0</v>
      </c>
      <c r="BF52" s="295">
        <f t="shared" si="12"/>
        <v>0</v>
      </c>
      <c r="BG52" s="374">
        <v>0</v>
      </c>
      <c r="BH52" s="295">
        <f t="shared" si="13"/>
        <v>0</v>
      </c>
      <c r="BI52" s="374"/>
      <c r="BJ52" s="295"/>
      <c r="BK52" s="322">
        <f t="shared" si="76"/>
        <v>0</v>
      </c>
      <c r="BL52" s="322">
        <f t="shared" si="77"/>
        <v>0</v>
      </c>
      <c r="BM52" s="375" t="s">
        <v>560</v>
      </c>
      <c r="BN52" s="376"/>
      <c r="BO52" s="295"/>
      <c r="BP52" s="295"/>
      <c r="BQ52" s="321">
        <f>H52</f>
        <v>0</v>
      </c>
      <c r="BR52" s="295"/>
      <c r="BS52" s="366">
        <f t="shared" si="78"/>
        <v>0</v>
      </c>
      <c r="BT52" s="295"/>
      <c r="BU52" s="295"/>
      <c r="BV52" s="295"/>
      <c r="BW52" s="322">
        <f t="shared" si="16"/>
        <v>0</v>
      </c>
    </row>
    <row r="53" spans="1:75" s="416" customFormat="1" x14ac:dyDescent="0.2">
      <c r="A53" s="787"/>
      <c r="B53" s="313"/>
      <c r="C53" s="334"/>
      <c r="D53" s="368" t="s">
        <v>639</v>
      </c>
      <c r="E53" s="313" t="s">
        <v>239</v>
      </c>
      <c r="F53" s="369">
        <v>50000</v>
      </c>
      <c r="G53" s="370">
        <f>BK53</f>
        <v>17</v>
      </c>
      <c r="H53" s="371">
        <f>G53*F53</f>
        <v>850000</v>
      </c>
      <c r="I53" s="363">
        <f>H53*0.2</f>
        <v>170000</v>
      </c>
      <c r="J53" s="363">
        <f>H53*0.8</f>
        <v>680000</v>
      </c>
      <c r="K53" s="367"/>
      <c r="L53" s="372"/>
      <c r="M53" s="367"/>
      <c r="N53" s="372"/>
      <c r="O53" s="372"/>
      <c r="P53" s="372"/>
      <c r="Q53" s="363">
        <v>0</v>
      </c>
      <c r="R53" s="372"/>
      <c r="S53" s="373"/>
      <c r="T53" s="373"/>
      <c r="U53" s="373"/>
      <c r="V53" s="373"/>
      <c r="W53" s="355"/>
      <c r="X53" s="355"/>
      <c r="Y53" s="355"/>
      <c r="Z53" s="355"/>
      <c r="AA53" s="374">
        <v>1</v>
      </c>
      <c r="AB53" s="295">
        <f t="shared" si="72"/>
        <v>50000</v>
      </c>
      <c r="AC53" s="374">
        <v>1</v>
      </c>
      <c r="AD53" s="295">
        <f t="shared" si="2"/>
        <v>50000</v>
      </c>
      <c r="AE53" s="374">
        <v>1</v>
      </c>
      <c r="AF53" s="295">
        <f t="shared" si="3"/>
        <v>50000</v>
      </c>
      <c r="AG53" s="374">
        <v>1</v>
      </c>
      <c r="AH53" s="295">
        <f t="shared" si="4"/>
        <v>50000</v>
      </c>
      <c r="AI53" s="374">
        <v>1</v>
      </c>
      <c r="AJ53" s="295">
        <f t="shared" si="5"/>
        <v>50000</v>
      </c>
      <c r="AK53" s="374">
        <v>1</v>
      </c>
      <c r="AL53" s="295">
        <f t="shared" si="6"/>
        <v>50000</v>
      </c>
      <c r="AM53" s="374">
        <v>1</v>
      </c>
      <c r="AN53" s="295">
        <f t="shared" si="81"/>
        <v>50000</v>
      </c>
      <c r="AO53" s="374">
        <v>1</v>
      </c>
      <c r="AP53" s="295">
        <f t="shared" si="7"/>
        <v>50000</v>
      </c>
      <c r="AQ53" s="374">
        <v>1</v>
      </c>
      <c r="AR53" s="295">
        <f t="shared" si="73"/>
        <v>50000</v>
      </c>
      <c r="AS53" s="374">
        <v>1</v>
      </c>
      <c r="AT53" s="295">
        <f t="shared" si="74"/>
        <v>50000</v>
      </c>
      <c r="AU53" s="374">
        <v>1</v>
      </c>
      <c r="AV53" s="295">
        <f t="shared" si="8"/>
        <v>50000</v>
      </c>
      <c r="AW53" s="374">
        <v>1</v>
      </c>
      <c r="AX53" s="295">
        <f t="shared" si="9"/>
        <v>50000</v>
      </c>
      <c r="AY53" s="374">
        <v>1</v>
      </c>
      <c r="AZ53" s="295">
        <f t="shared" si="10"/>
        <v>50000</v>
      </c>
      <c r="BA53" s="374">
        <v>1</v>
      </c>
      <c r="BB53" s="295">
        <f t="shared" si="75"/>
        <v>50000</v>
      </c>
      <c r="BC53" s="374">
        <v>1</v>
      </c>
      <c r="BD53" s="295">
        <f t="shared" si="11"/>
        <v>50000</v>
      </c>
      <c r="BE53" s="374">
        <v>1</v>
      </c>
      <c r="BF53" s="295">
        <f t="shared" si="12"/>
        <v>50000</v>
      </c>
      <c r="BG53" s="374">
        <v>1</v>
      </c>
      <c r="BH53" s="295">
        <f t="shared" si="13"/>
        <v>50000</v>
      </c>
      <c r="BI53" s="374"/>
      <c r="BJ53" s="295"/>
      <c r="BK53" s="322">
        <f>BI53+BG53+BE53+BC53+BA53+AY53+AW53+AU53+AS53+AQ53+AO53+AM53+AK53+AI53+AG53+AE53+AC53+AA53</f>
        <v>17</v>
      </c>
      <c r="BL53" s="322">
        <f>BJ53+BH53+BF53+BD53+BB53+AZ53+AX53+AV53+AT53+AR53+AP53+AN53+AL53+AJ53+AH53+AF53+AD53+AB53</f>
        <v>850000</v>
      </c>
      <c r="BM53" s="365" t="s">
        <v>892</v>
      </c>
      <c r="BN53" s="376"/>
      <c r="BO53" s="295"/>
      <c r="BP53" s="295"/>
      <c r="BQ53" s="321">
        <f>H53</f>
        <v>850000</v>
      </c>
      <c r="BR53" s="295"/>
      <c r="BS53" s="366">
        <f t="shared" si="78"/>
        <v>850000</v>
      </c>
      <c r="BT53" s="295"/>
      <c r="BU53" s="295"/>
      <c r="BV53" s="295"/>
      <c r="BW53" s="322">
        <f t="shared" si="16"/>
        <v>850000</v>
      </c>
    </row>
    <row r="54" spans="1:75" s="416" customFormat="1" ht="25.5" x14ac:dyDescent="0.2">
      <c r="A54" s="787"/>
      <c r="B54" s="313"/>
      <c r="C54" s="334"/>
      <c r="D54" s="368" t="s">
        <v>874</v>
      </c>
      <c r="E54" s="313" t="s">
        <v>535</v>
      </c>
      <c r="F54" s="369">
        <v>300000</v>
      </c>
      <c r="G54" s="370">
        <f t="shared" si="80"/>
        <v>0</v>
      </c>
      <c r="H54" s="371">
        <f>BL54</f>
        <v>0</v>
      </c>
      <c r="I54" s="371"/>
      <c r="J54" s="371"/>
      <c r="K54" s="367">
        <f>H54*1</f>
        <v>0</v>
      </c>
      <c r="L54" s="372"/>
      <c r="M54" s="372"/>
      <c r="N54" s="372"/>
      <c r="O54" s="372"/>
      <c r="P54" s="372"/>
      <c r="Q54" s="367"/>
      <c r="R54" s="372"/>
      <c r="S54" s="373">
        <f>G54*0.25</f>
        <v>0</v>
      </c>
      <c r="T54" s="373">
        <f>G54*0.25</f>
        <v>0</v>
      </c>
      <c r="U54" s="373">
        <f>G54*0.25</f>
        <v>0</v>
      </c>
      <c r="V54" s="373">
        <f>G54*0.25</f>
        <v>0</v>
      </c>
      <c r="W54" s="355">
        <f>H54*0.25</f>
        <v>0</v>
      </c>
      <c r="X54" s="355">
        <f>H54*0.25</f>
        <v>0</v>
      </c>
      <c r="Y54" s="355">
        <f>H54*0.25</f>
        <v>0</v>
      </c>
      <c r="Z54" s="355">
        <f>H54*0.25</f>
        <v>0</v>
      </c>
      <c r="AA54" s="374">
        <v>0</v>
      </c>
      <c r="AB54" s="295">
        <f>AA54*F54</f>
        <v>0</v>
      </c>
      <c r="AC54" s="374">
        <v>0</v>
      </c>
      <c r="AD54" s="295">
        <f t="shared" si="2"/>
        <v>0</v>
      </c>
      <c r="AE54" s="374">
        <v>0</v>
      </c>
      <c r="AF54" s="295">
        <f t="shared" si="3"/>
        <v>0</v>
      </c>
      <c r="AG54" s="374">
        <v>0</v>
      </c>
      <c r="AH54" s="295">
        <f t="shared" si="4"/>
        <v>0</v>
      </c>
      <c r="AI54" s="374">
        <v>0</v>
      </c>
      <c r="AJ54" s="295">
        <f t="shared" si="5"/>
        <v>0</v>
      </c>
      <c r="AK54" s="374">
        <v>0</v>
      </c>
      <c r="AL54" s="295">
        <f t="shared" si="6"/>
        <v>0</v>
      </c>
      <c r="AM54" s="374">
        <v>0</v>
      </c>
      <c r="AN54" s="295">
        <f t="shared" si="81"/>
        <v>0</v>
      </c>
      <c r="AO54" s="374">
        <v>0</v>
      </c>
      <c r="AP54" s="295">
        <f t="shared" si="7"/>
        <v>0</v>
      </c>
      <c r="AQ54" s="374">
        <v>0</v>
      </c>
      <c r="AR54" s="295">
        <f t="shared" si="73"/>
        <v>0</v>
      </c>
      <c r="AS54" s="374">
        <v>0</v>
      </c>
      <c r="AT54" s="295">
        <f>AS54*F54</f>
        <v>0</v>
      </c>
      <c r="AU54" s="374">
        <v>0</v>
      </c>
      <c r="AV54" s="295">
        <f t="shared" si="8"/>
        <v>0</v>
      </c>
      <c r="AW54" s="374">
        <v>0</v>
      </c>
      <c r="AX54" s="295">
        <f t="shared" si="9"/>
        <v>0</v>
      </c>
      <c r="AY54" s="374">
        <v>0</v>
      </c>
      <c r="AZ54" s="295">
        <f t="shared" si="10"/>
        <v>0</v>
      </c>
      <c r="BA54" s="374">
        <v>0</v>
      </c>
      <c r="BB54" s="295">
        <f>BA54*F54</f>
        <v>0</v>
      </c>
      <c r="BC54" s="374">
        <v>0</v>
      </c>
      <c r="BD54" s="295">
        <f t="shared" si="11"/>
        <v>0</v>
      </c>
      <c r="BE54" s="374">
        <v>0</v>
      </c>
      <c r="BF54" s="295">
        <f t="shared" si="12"/>
        <v>0</v>
      </c>
      <c r="BG54" s="374">
        <v>0</v>
      </c>
      <c r="BH54" s="295">
        <f t="shared" si="13"/>
        <v>0</v>
      </c>
      <c r="BI54" s="374"/>
      <c r="BJ54" s="295"/>
      <c r="BK54" s="322">
        <f t="shared" si="76"/>
        <v>0</v>
      </c>
      <c r="BL54" s="322">
        <f t="shared" si="77"/>
        <v>0</v>
      </c>
      <c r="BM54" s="375" t="s">
        <v>534</v>
      </c>
      <c r="BN54" s="376"/>
      <c r="BO54" s="295"/>
      <c r="BP54" s="295"/>
      <c r="BQ54" s="321">
        <f>H54</f>
        <v>0</v>
      </c>
      <c r="BR54" s="295"/>
      <c r="BS54" s="366">
        <f t="shared" si="78"/>
        <v>0</v>
      </c>
      <c r="BT54" s="295"/>
      <c r="BU54" s="295"/>
      <c r="BV54" s="295"/>
      <c r="BW54" s="322">
        <f t="shared" si="16"/>
        <v>0</v>
      </c>
    </row>
    <row r="55" spans="1:75" s="416" customFormat="1" ht="25.5" x14ac:dyDescent="0.2">
      <c r="A55" s="787"/>
      <c r="B55" s="304"/>
      <c r="C55" s="334" t="s">
        <v>1025</v>
      </c>
      <c r="D55" s="335" t="s">
        <v>436</v>
      </c>
      <c r="E55" s="317" t="s">
        <v>32</v>
      </c>
      <c r="F55" s="336" t="s">
        <v>307</v>
      </c>
      <c r="G55" s="370">
        <f t="shared" si="80"/>
        <v>381</v>
      </c>
      <c r="H55" s="371">
        <f>G55*F55</f>
        <v>3810000</v>
      </c>
      <c r="I55" s="371">
        <f>0.2*H55</f>
        <v>762000</v>
      </c>
      <c r="J55" s="371">
        <f>0.8*H55</f>
        <v>3048000</v>
      </c>
      <c r="K55" s="371"/>
      <c r="L55" s="371"/>
      <c r="M55" s="371"/>
      <c r="N55" s="371"/>
      <c r="O55" s="371"/>
      <c r="P55" s="371"/>
      <c r="Q55" s="371"/>
      <c r="R55" s="371"/>
      <c r="S55" s="296">
        <f>G55*0.25</f>
        <v>95.25</v>
      </c>
      <c r="T55" s="296">
        <f>G55*0.25</f>
        <v>95.25</v>
      </c>
      <c r="U55" s="296">
        <f>G55*0.25</f>
        <v>95.25</v>
      </c>
      <c r="V55" s="296">
        <f>G55*0.25</f>
        <v>95.25</v>
      </c>
      <c r="W55" s="355">
        <f>S55*F55</f>
        <v>952500</v>
      </c>
      <c r="X55" s="355">
        <f>T55*F55</f>
        <v>952500</v>
      </c>
      <c r="Y55" s="355">
        <f>U55*F55</f>
        <v>952500</v>
      </c>
      <c r="Z55" s="355">
        <f>V55*F55</f>
        <v>952500</v>
      </c>
      <c r="AA55" s="296">
        <v>12</v>
      </c>
      <c r="AB55" s="295">
        <f>AA55*F55</f>
        <v>120000</v>
      </c>
      <c r="AC55" s="296">
        <v>20</v>
      </c>
      <c r="AD55" s="295">
        <f t="shared" si="2"/>
        <v>200000</v>
      </c>
      <c r="AE55" s="296">
        <v>50</v>
      </c>
      <c r="AF55" s="295">
        <f t="shared" si="3"/>
        <v>500000</v>
      </c>
      <c r="AG55" s="296">
        <v>20</v>
      </c>
      <c r="AH55" s="295">
        <f t="shared" si="4"/>
        <v>200000</v>
      </c>
      <c r="AI55" s="296">
        <v>50</v>
      </c>
      <c r="AJ55" s="295">
        <f t="shared" si="5"/>
        <v>500000</v>
      </c>
      <c r="AK55" s="296">
        <v>10</v>
      </c>
      <c r="AL55" s="295">
        <f t="shared" si="6"/>
        <v>100000</v>
      </c>
      <c r="AM55" s="296">
        <v>20</v>
      </c>
      <c r="AN55" s="295">
        <f t="shared" si="81"/>
        <v>200000</v>
      </c>
      <c r="AO55" s="296">
        <v>25</v>
      </c>
      <c r="AP55" s="295">
        <f t="shared" si="7"/>
        <v>250000</v>
      </c>
      <c r="AQ55" s="296">
        <v>10</v>
      </c>
      <c r="AR55" s="295">
        <f t="shared" si="73"/>
        <v>100000</v>
      </c>
      <c r="AS55" s="296">
        <v>22</v>
      </c>
      <c r="AT55" s="295">
        <f>AS55*F55</f>
        <v>220000</v>
      </c>
      <c r="AU55" s="296">
        <v>20</v>
      </c>
      <c r="AV55" s="295">
        <f t="shared" si="8"/>
        <v>200000</v>
      </c>
      <c r="AW55" s="296">
        <v>12</v>
      </c>
      <c r="AX55" s="295">
        <f t="shared" si="9"/>
        <v>120000</v>
      </c>
      <c r="AY55" s="355">
        <v>20</v>
      </c>
      <c r="AZ55" s="295">
        <f t="shared" si="10"/>
        <v>200000</v>
      </c>
      <c r="BA55" s="296">
        <v>20</v>
      </c>
      <c r="BB55" s="295">
        <f>BA55*F55</f>
        <v>200000</v>
      </c>
      <c r="BC55" s="296">
        <v>20</v>
      </c>
      <c r="BD55" s="295">
        <f t="shared" si="11"/>
        <v>200000</v>
      </c>
      <c r="BE55" s="296">
        <v>20</v>
      </c>
      <c r="BF55" s="295">
        <f t="shared" si="12"/>
        <v>200000</v>
      </c>
      <c r="BG55" s="296">
        <v>30</v>
      </c>
      <c r="BH55" s="295">
        <f t="shared" si="13"/>
        <v>300000</v>
      </c>
      <c r="BI55" s="296"/>
      <c r="BJ55" s="295">
        <f>BI55*F55</f>
        <v>0</v>
      </c>
      <c r="BK55" s="322">
        <f t="shared" si="76"/>
        <v>381</v>
      </c>
      <c r="BL55" s="322">
        <f t="shared" si="77"/>
        <v>3810000</v>
      </c>
      <c r="BM55" s="317" t="s">
        <v>551</v>
      </c>
      <c r="BN55" s="376"/>
      <c r="BO55" s="371"/>
      <c r="BP55" s="366"/>
      <c r="BQ55" s="366">
        <f>H55</f>
        <v>3810000</v>
      </c>
      <c r="BR55" s="366"/>
      <c r="BS55" s="366">
        <f t="shared" si="78"/>
        <v>3810000</v>
      </c>
      <c r="BT55" s="366"/>
      <c r="BU55" s="366"/>
      <c r="BV55" s="366"/>
      <c r="BW55" s="322">
        <f t="shared" si="16"/>
        <v>3810000</v>
      </c>
    </row>
    <row r="56" spans="1:75" ht="38.25" x14ac:dyDescent="0.2">
      <c r="A56" s="787"/>
      <c r="B56" s="304"/>
      <c r="C56" s="334" t="s">
        <v>1026</v>
      </c>
      <c r="D56" s="335" t="s">
        <v>555</v>
      </c>
      <c r="E56" s="317" t="s">
        <v>84</v>
      </c>
      <c r="F56" s="336">
        <v>3000000</v>
      </c>
      <c r="G56" s="370">
        <f>BK56</f>
        <v>0</v>
      </c>
      <c r="H56" s="370">
        <f>BL56</f>
        <v>0</v>
      </c>
      <c r="I56" s="294">
        <f>H56*0.2</f>
        <v>0</v>
      </c>
      <c r="J56" s="294">
        <f>H56*0.8</f>
        <v>0</v>
      </c>
      <c r="K56" s="294"/>
      <c r="L56" s="294"/>
      <c r="M56" s="294"/>
      <c r="N56" s="294"/>
      <c r="O56" s="294"/>
      <c r="P56" s="294"/>
      <c r="Q56" s="294"/>
      <c r="R56" s="294"/>
      <c r="S56" s="294">
        <v>0</v>
      </c>
      <c r="T56" s="294">
        <v>0</v>
      </c>
      <c r="U56" s="294">
        <v>3</v>
      </c>
      <c r="V56" s="294">
        <v>12</v>
      </c>
      <c r="W56" s="294">
        <f>S56*F56</f>
        <v>0</v>
      </c>
      <c r="X56" s="294">
        <f>T56*F56</f>
        <v>0</v>
      </c>
      <c r="Y56" s="377">
        <f>H56*0.5</f>
        <v>0</v>
      </c>
      <c r="Z56" s="377">
        <f>H56*0.5</f>
        <v>0</v>
      </c>
      <c r="AA56" s="318">
        <v>0</v>
      </c>
      <c r="AB56" s="341">
        <f>AA56*F56</f>
        <v>0</v>
      </c>
      <c r="AC56" s="318">
        <v>0</v>
      </c>
      <c r="AD56" s="341">
        <f>AC56*F56</f>
        <v>0</v>
      </c>
      <c r="AE56" s="318">
        <v>0</v>
      </c>
      <c r="AF56" s="341">
        <f>AE56*F56</f>
        <v>0</v>
      </c>
      <c r="AG56" s="318">
        <v>0</v>
      </c>
      <c r="AH56" s="341">
        <f>AG56*F56</f>
        <v>0</v>
      </c>
      <c r="AI56" s="294">
        <v>0</v>
      </c>
      <c r="AJ56" s="341">
        <f>AI56*F56</f>
        <v>0</v>
      </c>
      <c r="AK56" s="294">
        <v>0</v>
      </c>
      <c r="AL56" s="341">
        <f>AK56*F56</f>
        <v>0</v>
      </c>
      <c r="AM56" s="294">
        <v>0</v>
      </c>
      <c r="AN56" s="341">
        <f t="shared" si="81"/>
        <v>0</v>
      </c>
      <c r="AO56" s="294">
        <v>0</v>
      </c>
      <c r="AP56" s="295">
        <f t="shared" si="7"/>
        <v>0</v>
      </c>
      <c r="AQ56" s="294">
        <v>0</v>
      </c>
      <c r="AR56" s="341">
        <f t="shared" si="73"/>
        <v>0</v>
      </c>
      <c r="AS56" s="294">
        <v>0</v>
      </c>
      <c r="AT56" s="341">
        <v>0</v>
      </c>
      <c r="AU56" s="294">
        <v>0</v>
      </c>
      <c r="AV56" s="341">
        <v>0</v>
      </c>
      <c r="AW56" s="294">
        <v>0</v>
      </c>
      <c r="AX56" s="341">
        <v>0</v>
      </c>
      <c r="AY56" s="294">
        <v>0</v>
      </c>
      <c r="AZ56" s="295">
        <f t="shared" si="10"/>
        <v>0</v>
      </c>
      <c r="BA56" s="294">
        <v>0</v>
      </c>
      <c r="BB56" s="341">
        <f>BA56*F56</f>
        <v>0</v>
      </c>
      <c r="BC56" s="294">
        <v>0</v>
      </c>
      <c r="BD56" s="295">
        <f t="shared" si="11"/>
        <v>0</v>
      </c>
      <c r="BE56" s="294">
        <v>0</v>
      </c>
      <c r="BF56" s="295">
        <f t="shared" si="12"/>
        <v>0</v>
      </c>
      <c r="BG56" s="294">
        <v>0</v>
      </c>
      <c r="BH56" s="341">
        <f>BG56*F56</f>
        <v>0</v>
      </c>
      <c r="BI56" s="294"/>
      <c r="BJ56" s="341"/>
      <c r="BK56" s="322">
        <f t="shared" si="76"/>
        <v>0</v>
      </c>
      <c r="BL56" s="322">
        <f t="shared" si="77"/>
        <v>0</v>
      </c>
      <c r="BM56" s="317" t="s">
        <v>210</v>
      </c>
      <c r="BO56" s="321">
        <f>H56</f>
        <v>0</v>
      </c>
      <c r="BP56" s="321"/>
      <c r="BQ56" s="321"/>
      <c r="BR56" s="321"/>
      <c r="BS56" s="366">
        <f t="shared" si="78"/>
        <v>0</v>
      </c>
      <c r="BT56" s="321"/>
      <c r="BU56" s="321"/>
      <c r="BV56" s="321"/>
      <c r="BW56" s="322">
        <f t="shared" si="16"/>
        <v>0</v>
      </c>
    </row>
    <row r="57" spans="1:75" ht="29.25" customHeight="1" x14ac:dyDescent="0.2">
      <c r="A57" s="787"/>
      <c r="B57" s="304"/>
      <c r="C57" s="334" t="s">
        <v>1027</v>
      </c>
      <c r="D57" s="335" t="s">
        <v>648</v>
      </c>
      <c r="E57" s="317" t="s">
        <v>84</v>
      </c>
      <c r="F57" s="336">
        <v>1000000</v>
      </c>
      <c r="G57" s="370">
        <f>BK57</f>
        <v>17</v>
      </c>
      <c r="H57" s="370">
        <f>BL57</f>
        <v>17000000</v>
      </c>
      <c r="I57" s="371">
        <f>0.2*H57</f>
        <v>3400000</v>
      </c>
      <c r="J57" s="371">
        <f>0.8*H57</f>
        <v>13600000</v>
      </c>
      <c r="K57" s="294"/>
      <c r="L57" s="294"/>
      <c r="M57" s="294"/>
      <c r="N57" s="294"/>
      <c r="O57" s="294"/>
      <c r="P57" s="294"/>
      <c r="Q57" s="318">
        <f>H57*0</f>
        <v>0</v>
      </c>
      <c r="R57" s="294"/>
      <c r="S57" s="294"/>
      <c r="T57" s="294"/>
      <c r="U57" s="294"/>
      <c r="V57" s="294"/>
      <c r="W57" s="294"/>
      <c r="X57" s="294"/>
      <c r="Y57" s="377"/>
      <c r="Z57" s="377"/>
      <c r="AA57" s="318">
        <v>1</v>
      </c>
      <c r="AB57" s="341">
        <f>(AA57*F57)</f>
        <v>1000000</v>
      </c>
      <c r="AC57" s="318">
        <v>1</v>
      </c>
      <c r="AD57" s="341">
        <f>AC57*F57</f>
        <v>1000000</v>
      </c>
      <c r="AE57" s="318">
        <v>1</v>
      </c>
      <c r="AF57" s="341">
        <f>(AE57*F57)</f>
        <v>1000000</v>
      </c>
      <c r="AG57" s="318">
        <v>1</v>
      </c>
      <c r="AH57" s="341">
        <f>(AG57*F57)</f>
        <v>1000000</v>
      </c>
      <c r="AI57" s="294">
        <v>1</v>
      </c>
      <c r="AJ57" s="341">
        <f>AI57*F57</f>
        <v>1000000</v>
      </c>
      <c r="AK57" s="294">
        <v>1</v>
      </c>
      <c r="AL57" s="341">
        <f>AK57*F57</f>
        <v>1000000</v>
      </c>
      <c r="AM57" s="294">
        <v>1</v>
      </c>
      <c r="AN57" s="341">
        <f t="shared" si="81"/>
        <v>1000000</v>
      </c>
      <c r="AO57" s="294">
        <v>1</v>
      </c>
      <c r="AP57" s="295">
        <f>(AO57*F57)</f>
        <v>1000000</v>
      </c>
      <c r="AQ57" s="294">
        <v>1</v>
      </c>
      <c r="AR57" s="341">
        <f>(AQ57*F57)</f>
        <v>1000000</v>
      </c>
      <c r="AS57" s="294">
        <v>1</v>
      </c>
      <c r="AT57" s="341">
        <f>(AS57*F57)</f>
        <v>1000000</v>
      </c>
      <c r="AU57" s="294">
        <v>1</v>
      </c>
      <c r="AV57" s="341">
        <f>(AU57*F57)</f>
        <v>1000000</v>
      </c>
      <c r="AW57" s="294">
        <v>1</v>
      </c>
      <c r="AX57" s="341">
        <f>AW57*F57</f>
        <v>1000000</v>
      </c>
      <c r="AY57" s="294">
        <v>1</v>
      </c>
      <c r="AZ57" s="341">
        <f>(AY57*F57)</f>
        <v>1000000</v>
      </c>
      <c r="BA57" s="294">
        <v>1</v>
      </c>
      <c r="BB57" s="341">
        <f>(BA57*F57)</f>
        <v>1000000</v>
      </c>
      <c r="BC57" s="294">
        <v>1</v>
      </c>
      <c r="BD57" s="295">
        <f>(BC57*F57)</f>
        <v>1000000</v>
      </c>
      <c r="BE57" s="294">
        <v>1</v>
      </c>
      <c r="BF57" s="295">
        <f>(BE57*F57)</f>
        <v>1000000</v>
      </c>
      <c r="BG57" s="294">
        <v>1</v>
      </c>
      <c r="BH57" s="341">
        <f>BG57*F57</f>
        <v>1000000</v>
      </c>
      <c r="BI57" s="294"/>
      <c r="BJ57" s="341"/>
      <c r="BK57" s="322">
        <f t="shared" si="76"/>
        <v>17</v>
      </c>
      <c r="BL57" s="322">
        <f t="shared" si="77"/>
        <v>17000000</v>
      </c>
      <c r="BM57" s="317" t="s">
        <v>210</v>
      </c>
      <c r="BO57" s="321"/>
      <c r="BP57" s="321"/>
      <c r="BQ57" s="321">
        <f>H57</f>
        <v>17000000</v>
      </c>
      <c r="BR57" s="321"/>
      <c r="BS57" s="366">
        <f t="shared" si="78"/>
        <v>17000000</v>
      </c>
      <c r="BT57" s="321"/>
      <c r="BU57" s="321"/>
      <c r="BV57" s="321"/>
      <c r="BW57" s="322">
        <f t="shared" si="16"/>
        <v>17000000</v>
      </c>
    </row>
    <row r="58" spans="1:75" ht="25.5" x14ac:dyDescent="0.2">
      <c r="A58" s="787"/>
      <c r="B58" s="304">
        <v>23610</v>
      </c>
      <c r="C58" s="334" t="s">
        <v>1028</v>
      </c>
      <c r="D58" s="335" t="s">
        <v>681</v>
      </c>
      <c r="E58" s="317" t="s">
        <v>84</v>
      </c>
      <c r="F58" s="336">
        <v>1000000</v>
      </c>
      <c r="G58" s="370">
        <f>BK58</f>
        <v>0</v>
      </c>
      <c r="H58" s="371">
        <f>G58*F58</f>
        <v>0</v>
      </c>
      <c r="I58" s="318"/>
      <c r="J58" s="318">
        <f>H58*0.8</f>
        <v>0</v>
      </c>
      <c r="K58" s="318">
        <f t="shared" ref="K58:P58" si="82">K56</f>
        <v>0</v>
      </c>
      <c r="L58" s="318">
        <f t="shared" si="82"/>
        <v>0</v>
      </c>
      <c r="M58" s="318">
        <f t="shared" si="82"/>
        <v>0</v>
      </c>
      <c r="N58" s="318">
        <f t="shared" si="82"/>
        <v>0</v>
      </c>
      <c r="O58" s="318">
        <f t="shared" si="82"/>
        <v>0</v>
      </c>
      <c r="P58" s="318">
        <f t="shared" si="82"/>
        <v>0</v>
      </c>
      <c r="Q58" s="318">
        <f>H58*0.2</f>
        <v>0</v>
      </c>
      <c r="R58" s="318">
        <f>R56</f>
        <v>0</v>
      </c>
      <c r="S58" s="318">
        <v>0</v>
      </c>
      <c r="T58" s="318">
        <v>0</v>
      </c>
      <c r="U58" s="318">
        <v>0</v>
      </c>
      <c r="V58" s="318">
        <v>2</v>
      </c>
      <c r="W58" s="294">
        <f>S58*F58</f>
        <v>0</v>
      </c>
      <c r="X58" s="294">
        <f>T58*F58</f>
        <v>0</v>
      </c>
      <c r="Y58" s="377">
        <f>U58*F58</f>
        <v>0</v>
      </c>
      <c r="Z58" s="377">
        <f>H58*1</f>
        <v>0</v>
      </c>
      <c r="AA58" s="318">
        <v>0</v>
      </c>
      <c r="AB58" s="318">
        <f>AA58*F58</f>
        <v>0</v>
      </c>
      <c r="AC58" s="318">
        <v>0</v>
      </c>
      <c r="AD58" s="318">
        <f>AC58*F58</f>
        <v>0</v>
      </c>
      <c r="AE58" s="318">
        <v>0</v>
      </c>
      <c r="AF58" s="318">
        <f>AE58*F58</f>
        <v>0</v>
      </c>
      <c r="AG58" s="318">
        <v>0</v>
      </c>
      <c r="AH58" s="318">
        <f>AG58*F58</f>
        <v>0</v>
      </c>
      <c r="AI58" s="318">
        <v>0</v>
      </c>
      <c r="AJ58" s="318">
        <f>AI58*F58</f>
        <v>0</v>
      </c>
      <c r="AK58" s="318">
        <v>0</v>
      </c>
      <c r="AL58" s="318">
        <f>AK58*F58</f>
        <v>0</v>
      </c>
      <c r="AM58" s="318">
        <v>0</v>
      </c>
      <c r="AN58" s="318">
        <f t="shared" si="81"/>
        <v>0</v>
      </c>
      <c r="AO58" s="318">
        <v>0</v>
      </c>
      <c r="AP58" s="318">
        <f>AO58*F58</f>
        <v>0</v>
      </c>
      <c r="AQ58" s="318">
        <v>0</v>
      </c>
      <c r="AR58" s="341">
        <f t="shared" si="73"/>
        <v>0</v>
      </c>
      <c r="AS58" s="318">
        <v>0</v>
      </c>
      <c r="AT58" s="341">
        <f>AS58*F58</f>
        <v>0</v>
      </c>
      <c r="AU58" s="318">
        <v>0</v>
      </c>
      <c r="AV58" s="318">
        <f>(AU58*F58)</f>
        <v>0</v>
      </c>
      <c r="AW58" s="318">
        <v>0</v>
      </c>
      <c r="AX58" s="318">
        <f>AW58*F58</f>
        <v>0</v>
      </c>
      <c r="AY58" s="294">
        <v>0</v>
      </c>
      <c r="AZ58" s="318">
        <f>AY58*F58</f>
        <v>0</v>
      </c>
      <c r="BA58" s="294">
        <v>0</v>
      </c>
      <c r="BB58" s="318">
        <f>BA58*F58</f>
        <v>0</v>
      </c>
      <c r="BC58" s="318">
        <v>0</v>
      </c>
      <c r="BD58" s="295">
        <f t="shared" si="11"/>
        <v>0</v>
      </c>
      <c r="BE58" s="318">
        <v>0</v>
      </c>
      <c r="BF58" s="295">
        <f t="shared" si="12"/>
        <v>0</v>
      </c>
      <c r="BG58" s="318">
        <v>0</v>
      </c>
      <c r="BH58" s="341">
        <f>BG58*F58</f>
        <v>0</v>
      </c>
      <c r="BI58" s="318">
        <f>BI56</f>
        <v>0</v>
      </c>
      <c r="BJ58" s="318">
        <f>BJ56</f>
        <v>0</v>
      </c>
      <c r="BK58" s="322">
        <f t="shared" si="76"/>
        <v>0</v>
      </c>
      <c r="BL58" s="322">
        <f t="shared" si="77"/>
        <v>0</v>
      </c>
      <c r="BM58" s="317" t="s">
        <v>214</v>
      </c>
      <c r="BO58" s="321"/>
      <c r="BP58" s="321"/>
      <c r="BQ58" s="321">
        <f>H58</f>
        <v>0</v>
      </c>
      <c r="BR58" s="321"/>
      <c r="BS58" s="366">
        <f t="shared" si="78"/>
        <v>0</v>
      </c>
      <c r="BT58" s="321"/>
      <c r="BU58" s="321"/>
      <c r="BV58" s="321">
        <f>BT58+BU58</f>
        <v>0</v>
      </c>
      <c r="BW58" s="322">
        <f t="shared" si="16"/>
        <v>0</v>
      </c>
    </row>
    <row r="59" spans="1:75" s="297" customFormat="1" ht="25.5" x14ac:dyDescent="0.2">
      <c r="A59" s="787"/>
      <c r="B59" s="378"/>
      <c r="C59" s="334"/>
      <c r="D59" s="361" t="s">
        <v>563</v>
      </c>
      <c r="E59" s="343"/>
      <c r="F59" s="379"/>
      <c r="G59" s="379">
        <f>SUM(G46:G58)</f>
        <v>428</v>
      </c>
      <c r="H59" s="379">
        <f t="shared" ref="H59:BS59" si="83">SUM(H46:H58)</f>
        <v>22310000</v>
      </c>
      <c r="I59" s="379">
        <f t="shared" si="83"/>
        <v>4397000</v>
      </c>
      <c r="J59" s="379">
        <f t="shared" si="83"/>
        <v>17848000</v>
      </c>
      <c r="K59" s="379">
        <f t="shared" si="83"/>
        <v>0</v>
      </c>
      <c r="L59" s="379">
        <f t="shared" si="83"/>
        <v>0</v>
      </c>
      <c r="M59" s="379">
        <f t="shared" si="83"/>
        <v>0</v>
      </c>
      <c r="N59" s="379">
        <f t="shared" si="83"/>
        <v>0</v>
      </c>
      <c r="O59" s="379">
        <f t="shared" si="83"/>
        <v>0</v>
      </c>
      <c r="P59" s="379">
        <f t="shared" si="83"/>
        <v>0</v>
      </c>
      <c r="Q59" s="379">
        <f t="shared" si="83"/>
        <v>65000</v>
      </c>
      <c r="R59" s="379">
        <f t="shared" si="83"/>
        <v>0</v>
      </c>
      <c r="S59" s="379">
        <f t="shared" si="83"/>
        <v>101.75</v>
      </c>
      <c r="T59" s="379">
        <f t="shared" si="83"/>
        <v>101.75</v>
      </c>
      <c r="U59" s="379">
        <f t="shared" si="83"/>
        <v>98.25</v>
      </c>
      <c r="V59" s="379">
        <f t="shared" si="83"/>
        <v>110.25</v>
      </c>
      <c r="W59" s="379">
        <f t="shared" si="83"/>
        <v>1277500</v>
      </c>
      <c r="X59" s="379">
        <f t="shared" si="83"/>
        <v>1277500</v>
      </c>
      <c r="Y59" s="379">
        <f t="shared" si="83"/>
        <v>952500</v>
      </c>
      <c r="Z59" s="379">
        <f t="shared" si="83"/>
        <v>1052500</v>
      </c>
      <c r="AA59" s="379">
        <f t="shared" si="83"/>
        <v>15</v>
      </c>
      <c r="AB59" s="379">
        <f t="shared" si="83"/>
        <v>1220000</v>
      </c>
      <c r="AC59" s="379">
        <f t="shared" si="83"/>
        <v>23</v>
      </c>
      <c r="AD59" s="379">
        <f t="shared" si="83"/>
        <v>1300000</v>
      </c>
      <c r="AE59" s="379">
        <f t="shared" si="83"/>
        <v>53</v>
      </c>
      <c r="AF59" s="379">
        <f t="shared" si="83"/>
        <v>1600000</v>
      </c>
      <c r="AG59" s="379">
        <f t="shared" si="83"/>
        <v>23</v>
      </c>
      <c r="AH59" s="379">
        <f t="shared" si="83"/>
        <v>1300000</v>
      </c>
      <c r="AI59" s="379">
        <f t="shared" si="83"/>
        <v>53</v>
      </c>
      <c r="AJ59" s="379">
        <f t="shared" si="83"/>
        <v>1600000</v>
      </c>
      <c r="AK59" s="379">
        <f t="shared" si="83"/>
        <v>12</v>
      </c>
      <c r="AL59" s="379">
        <f t="shared" si="83"/>
        <v>1150000</v>
      </c>
      <c r="AM59" s="379">
        <f t="shared" si="83"/>
        <v>23</v>
      </c>
      <c r="AN59" s="379">
        <f t="shared" si="83"/>
        <v>1300000</v>
      </c>
      <c r="AO59" s="379">
        <f t="shared" si="83"/>
        <v>28</v>
      </c>
      <c r="AP59" s="379">
        <f t="shared" si="83"/>
        <v>1350000</v>
      </c>
      <c r="AQ59" s="379">
        <f t="shared" si="83"/>
        <v>13</v>
      </c>
      <c r="AR59" s="379">
        <f t="shared" si="83"/>
        <v>1200000</v>
      </c>
      <c r="AS59" s="379">
        <f t="shared" si="83"/>
        <v>24</v>
      </c>
      <c r="AT59" s="379">
        <f t="shared" si="83"/>
        <v>1270000</v>
      </c>
      <c r="AU59" s="379">
        <f t="shared" si="83"/>
        <v>23</v>
      </c>
      <c r="AV59" s="379">
        <f t="shared" si="83"/>
        <v>1300000</v>
      </c>
      <c r="AW59" s="379">
        <f t="shared" si="83"/>
        <v>15</v>
      </c>
      <c r="AX59" s="379">
        <f t="shared" si="83"/>
        <v>1220000</v>
      </c>
      <c r="AY59" s="379">
        <f t="shared" si="83"/>
        <v>22</v>
      </c>
      <c r="AZ59" s="379">
        <f t="shared" si="83"/>
        <v>1250000</v>
      </c>
      <c r="BA59" s="379">
        <f t="shared" si="83"/>
        <v>23</v>
      </c>
      <c r="BB59" s="379">
        <f t="shared" si="83"/>
        <v>1300000</v>
      </c>
      <c r="BC59" s="379">
        <f t="shared" si="83"/>
        <v>23</v>
      </c>
      <c r="BD59" s="379">
        <f t="shared" si="83"/>
        <v>1300000</v>
      </c>
      <c r="BE59" s="379">
        <f t="shared" si="83"/>
        <v>23</v>
      </c>
      <c r="BF59" s="379">
        <f t="shared" si="83"/>
        <v>1300000</v>
      </c>
      <c r="BG59" s="379">
        <f t="shared" si="83"/>
        <v>32</v>
      </c>
      <c r="BH59" s="379">
        <f t="shared" si="83"/>
        <v>1350000</v>
      </c>
      <c r="BI59" s="379">
        <f t="shared" si="83"/>
        <v>0</v>
      </c>
      <c r="BJ59" s="379">
        <f t="shared" si="83"/>
        <v>0</v>
      </c>
      <c r="BK59" s="379">
        <f t="shared" si="83"/>
        <v>428</v>
      </c>
      <c r="BL59" s="379">
        <f t="shared" si="83"/>
        <v>22310000</v>
      </c>
      <c r="BM59" s="379">
        <f t="shared" si="83"/>
        <v>0</v>
      </c>
      <c r="BN59" s="379"/>
      <c r="BO59" s="379">
        <f t="shared" si="83"/>
        <v>0</v>
      </c>
      <c r="BP59" s="379">
        <f t="shared" si="83"/>
        <v>0</v>
      </c>
      <c r="BQ59" s="379">
        <f t="shared" si="83"/>
        <v>22310000</v>
      </c>
      <c r="BR59" s="379">
        <f t="shared" si="83"/>
        <v>0</v>
      </c>
      <c r="BS59" s="379">
        <f t="shared" si="83"/>
        <v>22310000</v>
      </c>
      <c r="BT59" s="379">
        <f>SUM(BT46:BT58)</f>
        <v>0</v>
      </c>
      <c r="BU59" s="379">
        <f>SUM(BU46:BU58)</f>
        <v>0</v>
      </c>
      <c r="BV59" s="379">
        <f>SUM(BV46:BV58)</f>
        <v>0</v>
      </c>
      <c r="BW59" s="379">
        <f>SUM(BW46:BW58)</f>
        <v>22310000</v>
      </c>
    </row>
    <row r="60" spans="1:75" x14ac:dyDescent="0.2">
      <c r="A60" s="787"/>
      <c r="B60" s="304">
        <v>23620</v>
      </c>
      <c r="C60" s="334"/>
      <c r="D60" s="316" t="s">
        <v>425</v>
      </c>
      <c r="E60" s="317"/>
      <c r="F60" s="317"/>
      <c r="G60" s="318"/>
      <c r="H60" s="337"/>
      <c r="I60" s="337"/>
      <c r="J60" s="337"/>
      <c r="K60" s="337"/>
      <c r="L60" s="337"/>
      <c r="M60" s="337"/>
      <c r="N60" s="337"/>
      <c r="O60" s="337"/>
      <c r="P60" s="338"/>
      <c r="Q60" s="338"/>
      <c r="R60" s="338"/>
      <c r="S60" s="352"/>
      <c r="T60" s="352"/>
      <c r="U60" s="352"/>
      <c r="V60" s="352"/>
      <c r="W60" s="340"/>
      <c r="X60" s="340"/>
      <c r="Y60" s="340"/>
      <c r="Z60" s="340"/>
      <c r="AA60" s="318"/>
      <c r="AB60" s="341"/>
      <c r="AC60" s="318"/>
      <c r="AD60" s="341"/>
      <c r="AE60" s="318"/>
      <c r="AF60" s="341"/>
      <c r="AG60" s="318"/>
      <c r="AH60" s="341"/>
      <c r="AI60" s="318"/>
      <c r="AJ60" s="341"/>
      <c r="AK60" s="318"/>
      <c r="AL60" s="341"/>
      <c r="AM60" s="318"/>
      <c r="AN60" s="341"/>
      <c r="AO60" s="318"/>
      <c r="AP60" s="341"/>
      <c r="AQ60" s="318"/>
      <c r="AR60" s="341"/>
      <c r="AS60" s="318"/>
      <c r="AT60" s="341"/>
      <c r="AU60" s="318"/>
      <c r="AV60" s="341"/>
      <c r="AW60" s="318"/>
      <c r="AX60" s="341"/>
      <c r="AY60" s="294"/>
      <c r="AZ60" s="341"/>
      <c r="BA60" s="294"/>
      <c r="BB60" s="341"/>
      <c r="BC60" s="318"/>
      <c r="BD60" s="341"/>
      <c r="BE60" s="318"/>
      <c r="BF60" s="341"/>
      <c r="BG60" s="318"/>
      <c r="BH60" s="341"/>
      <c r="BI60" s="318"/>
      <c r="BJ60" s="341"/>
      <c r="BK60" s="318"/>
      <c r="BL60" s="341"/>
      <c r="BM60" s="317"/>
      <c r="BO60" s="321">
        <f>H60</f>
        <v>0</v>
      </c>
      <c r="BP60" s="321"/>
      <c r="BQ60" s="321"/>
      <c r="BR60" s="321"/>
      <c r="BS60" s="321">
        <f>BO60+BP60+BQ60+BR60</f>
        <v>0</v>
      </c>
      <c r="BT60" s="321"/>
      <c r="BU60" s="321"/>
      <c r="BV60" s="321">
        <f>BT60+BU60</f>
        <v>0</v>
      </c>
      <c r="BW60" s="322">
        <f t="shared" si="16"/>
        <v>0</v>
      </c>
    </row>
    <row r="61" spans="1:75" s="297" customFormat="1" ht="25.5" x14ac:dyDescent="0.2">
      <c r="A61" s="787"/>
      <c r="B61" s="312"/>
      <c r="C61" s="334" t="s">
        <v>1029</v>
      </c>
      <c r="D61" s="335" t="s">
        <v>999</v>
      </c>
      <c r="E61" s="317" t="s">
        <v>653</v>
      </c>
      <c r="F61" s="336"/>
      <c r="G61" s="370">
        <f t="shared" ref="G61:H63" si="84">BK61</f>
        <v>156</v>
      </c>
      <c r="H61" s="371">
        <f t="shared" si="84"/>
        <v>67909860</v>
      </c>
      <c r="I61" s="363">
        <f>H61*0</f>
        <v>0</v>
      </c>
      <c r="J61" s="363">
        <f>H61*0.8</f>
        <v>54327888</v>
      </c>
      <c r="K61" s="310"/>
      <c r="L61" s="310"/>
      <c r="M61" s="310"/>
      <c r="N61" s="310"/>
      <c r="O61" s="310"/>
      <c r="P61" s="310"/>
      <c r="Q61" s="310">
        <f>H61*0.2</f>
        <v>13581972</v>
      </c>
      <c r="R61" s="310"/>
      <c r="S61" s="310"/>
      <c r="T61" s="310">
        <f t="shared" ref="T61:Z61" si="85">BX61</f>
        <v>0</v>
      </c>
      <c r="U61" s="310">
        <f t="shared" si="85"/>
        <v>0</v>
      </c>
      <c r="V61" s="310">
        <f t="shared" si="85"/>
        <v>0</v>
      </c>
      <c r="W61" s="310">
        <f t="shared" si="85"/>
        <v>0</v>
      </c>
      <c r="X61" s="310">
        <f t="shared" si="85"/>
        <v>0</v>
      </c>
      <c r="Y61" s="310">
        <f t="shared" si="85"/>
        <v>0</v>
      </c>
      <c r="Z61" s="310">
        <f t="shared" si="85"/>
        <v>0</v>
      </c>
      <c r="AA61" s="310">
        <v>9</v>
      </c>
      <c r="AB61" s="310">
        <v>3093440</v>
      </c>
      <c r="AC61" s="310">
        <v>6</v>
      </c>
      <c r="AD61" s="310">
        <v>1606900</v>
      </c>
      <c r="AE61" s="310">
        <v>8</v>
      </c>
      <c r="AF61" s="310">
        <v>3241700</v>
      </c>
      <c r="AG61" s="310">
        <v>11</v>
      </c>
      <c r="AH61" s="310">
        <v>5452500</v>
      </c>
      <c r="AI61" s="310">
        <v>6</v>
      </c>
      <c r="AJ61" s="310">
        <v>1875000</v>
      </c>
      <c r="AK61" s="310">
        <v>5</v>
      </c>
      <c r="AL61" s="310">
        <v>1715500</v>
      </c>
      <c r="AM61" s="310">
        <v>18</v>
      </c>
      <c r="AN61" s="310">
        <v>8400500</v>
      </c>
      <c r="AO61" s="310">
        <v>3</v>
      </c>
      <c r="AP61" s="310">
        <v>1592000</v>
      </c>
      <c r="AQ61" s="310">
        <v>7</v>
      </c>
      <c r="AR61" s="310">
        <v>4387000</v>
      </c>
      <c r="AS61" s="310">
        <v>16</v>
      </c>
      <c r="AT61" s="310">
        <v>8166900</v>
      </c>
      <c r="AU61" s="310">
        <v>18</v>
      </c>
      <c r="AV61" s="310">
        <v>7347400</v>
      </c>
      <c r="AW61" s="310">
        <v>5</v>
      </c>
      <c r="AX61" s="310">
        <v>2012500</v>
      </c>
      <c r="AY61" s="312">
        <v>8</v>
      </c>
      <c r="AZ61" s="310">
        <v>4472300</v>
      </c>
      <c r="BA61" s="312">
        <v>15</v>
      </c>
      <c r="BB61" s="310">
        <v>6351920</v>
      </c>
      <c r="BC61" s="310">
        <v>4</v>
      </c>
      <c r="BD61" s="310">
        <v>1656900</v>
      </c>
      <c r="BE61" s="310">
        <v>9</v>
      </c>
      <c r="BF61" s="310">
        <v>2174400</v>
      </c>
      <c r="BG61" s="310">
        <v>8</v>
      </c>
      <c r="BH61" s="310">
        <v>4363000</v>
      </c>
      <c r="BI61" s="310">
        <v>0</v>
      </c>
      <c r="BJ61" s="295">
        <f>BI61*F61</f>
        <v>0</v>
      </c>
      <c r="BK61" s="322">
        <f>BI61+BG61+BE61+BC61+BA61+AY61+AW61+AU61+AS61+AQ61+AO61+AM61+AK61+AI61+AG61+AE61+AC61+AA61</f>
        <v>156</v>
      </c>
      <c r="BL61" s="322">
        <f>BJ61+BH61+BF61+BD61+BB61+AZ61+AX61+AV61+AT61+AR61+AP61+AN61+AL61+AJ61+AH61+AF61+AD61+AB61</f>
        <v>67909860</v>
      </c>
      <c r="BM61" s="317" t="s">
        <v>214</v>
      </c>
      <c r="BO61" s="380"/>
      <c r="BP61" s="380">
        <f t="shared" ref="BP61:BV61" si="86">SUM(BP58:BP60)</f>
        <v>0</v>
      </c>
      <c r="BQ61" s="380">
        <f>H61</f>
        <v>67909860</v>
      </c>
      <c r="BR61" s="380">
        <f t="shared" si="86"/>
        <v>0</v>
      </c>
      <c r="BS61" s="321">
        <f>BO61+BP61+BQ61+BR61</f>
        <v>67909860</v>
      </c>
      <c r="BT61" s="380">
        <f t="shared" si="86"/>
        <v>0</v>
      </c>
      <c r="BU61" s="380">
        <f t="shared" si="86"/>
        <v>0</v>
      </c>
      <c r="BV61" s="380">
        <f t="shared" si="86"/>
        <v>0</v>
      </c>
      <c r="BW61" s="381">
        <f t="shared" si="16"/>
        <v>67909860</v>
      </c>
    </row>
    <row r="62" spans="1:75" s="297" customFormat="1" x14ac:dyDescent="0.2">
      <c r="A62" s="787"/>
      <c r="B62" s="312"/>
      <c r="C62" s="334" t="s">
        <v>1030</v>
      </c>
      <c r="D62" s="335" t="s">
        <v>1001</v>
      </c>
      <c r="E62" s="317" t="s">
        <v>653</v>
      </c>
      <c r="F62" s="336">
        <v>60000</v>
      </c>
      <c r="G62" s="370">
        <f t="shared" si="84"/>
        <v>77</v>
      </c>
      <c r="H62" s="370">
        <f t="shared" si="84"/>
        <v>4620000</v>
      </c>
      <c r="I62" s="363">
        <f>H62*0.2</f>
        <v>924000</v>
      </c>
      <c r="J62" s="363">
        <f>H62*0.8</f>
        <v>3696000</v>
      </c>
      <c r="K62" s="310"/>
      <c r="L62" s="310"/>
      <c r="M62" s="310"/>
      <c r="N62" s="310"/>
      <c r="O62" s="310"/>
      <c r="P62" s="310"/>
      <c r="Q62" s="310"/>
      <c r="R62" s="310"/>
      <c r="S62" s="310"/>
      <c r="T62" s="310"/>
      <c r="U62" s="310"/>
      <c r="V62" s="310"/>
      <c r="W62" s="310"/>
      <c r="X62" s="310"/>
      <c r="Y62" s="310"/>
      <c r="Z62" s="310"/>
      <c r="AA62" s="318">
        <v>4</v>
      </c>
      <c r="AB62" s="318">
        <f>AA62*F62</f>
        <v>240000</v>
      </c>
      <c r="AC62" s="318">
        <v>3</v>
      </c>
      <c r="AD62" s="318">
        <f>AC62*F62</f>
        <v>180000</v>
      </c>
      <c r="AE62" s="318">
        <v>4</v>
      </c>
      <c r="AF62" s="318">
        <f>AE62*F62</f>
        <v>240000</v>
      </c>
      <c r="AG62" s="318">
        <v>5</v>
      </c>
      <c r="AH62" s="318">
        <f>AG62*F62</f>
        <v>300000</v>
      </c>
      <c r="AI62" s="318">
        <v>3</v>
      </c>
      <c r="AJ62" s="318">
        <f>AI62*F62</f>
        <v>180000</v>
      </c>
      <c r="AK62" s="318">
        <v>3</v>
      </c>
      <c r="AL62" s="318">
        <f>AK62*F62</f>
        <v>180000</v>
      </c>
      <c r="AM62" s="318">
        <v>9</v>
      </c>
      <c r="AN62" s="318">
        <f t="shared" ref="AN62" si="87">AM62*F62</f>
        <v>540000</v>
      </c>
      <c r="AO62" s="318">
        <v>2</v>
      </c>
      <c r="AP62" s="318">
        <f>AO62*F62</f>
        <v>120000</v>
      </c>
      <c r="AQ62" s="318">
        <v>3</v>
      </c>
      <c r="AR62" s="341">
        <f t="shared" ref="AR62" si="88">AQ62*F62</f>
        <v>180000</v>
      </c>
      <c r="AS62" s="318">
        <v>8</v>
      </c>
      <c r="AT62" s="341">
        <f>AS62*F62</f>
        <v>480000</v>
      </c>
      <c r="AU62" s="318">
        <v>9</v>
      </c>
      <c r="AV62" s="318">
        <f>(AU62*F62)</f>
        <v>540000</v>
      </c>
      <c r="AW62" s="318">
        <v>2</v>
      </c>
      <c r="AX62" s="318">
        <f>AW62*F62</f>
        <v>120000</v>
      </c>
      <c r="AY62" s="294">
        <v>4</v>
      </c>
      <c r="AZ62" s="318">
        <f>AY62*F62</f>
        <v>240000</v>
      </c>
      <c r="BA62" s="294">
        <v>8</v>
      </c>
      <c r="BB62" s="318">
        <f>BA62*F62</f>
        <v>480000</v>
      </c>
      <c r="BC62" s="318">
        <v>2</v>
      </c>
      <c r="BD62" s="295">
        <f t="shared" ref="BD62" si="89">BC62*F62</f>
        <v>120000</v>
      </c>
      <c r="BE62" s="318">
        <v>4</v>
      </c>
      <c r="BF62" s="295">
        <f t="shared" ref="BF62" si="90">BE62*F62</f>
        <v>240000</v>
      </c>
      <c r="BG62" s="318">
        <v>4</v>
      </c>
      <c r="BH62" s="341">
        <f>BG62*F62</f>
        <v>240000</v>
      </c>
      <c r="BI62" s="318">
        <v>0</v>
      </c>
      <c r="BJ62" s="318">
        <f>BJ60</f>
        <v>0</v>
      </c>
      <c r="BK62" s="322">
        <f t="shared" ref="BK62" si="91">BI62+BG62+BE62+BC62+BA62+AY62+AW62+AU62+AS62+AQ62+AO62+AM62+AK62+AI62+AG62+AE62+AC62+AA62</f>
        <v>77</v>
      </c>
      <c r="BL62" s="322">
        <f t="shared" ref="BL62" si="92">BJ62+BH62+BF62+BD62+BB62+AZ62+AX62+AV62+AT62+AR62+AP62+AN62+AL62+AJ62+AH62+AF62+AD62+AB62</f>
        <v>4620000</v>
      </c>
      <c r="BM62" s="317" t="s">
        <v>214</v>
      </c>
      <c r="BO62" s="380"/>
      <c r="BP62" s="380"/>
      <c r="BQ62" s="380">
        <f>H62</f>
        <v>4620000</v>
      </c>
      <c r="BR62" s="380"/>
      <c r="BS62" s="321">
        <f>BO62+BP62+BQ62+BR62</f>
        <v>4620000</v>
      </c>
      <c r="BT62" s="380"/>
      <c r="BU62" s="380"/>
      <c r="BV62" s="380"/>
      <c r="BW62" s="381">
        <f t="shared" si="16"/>
        <v>4620000</v>
      </c>
    </row>
    <row r="63" spans="1:75" s="297" customFormat="1" x14ac:dyDescent="0.2">
      <c r="A63" s="787"/>
      <c r="B63" s="312"/>
      <c r="C63" s="334" t="s">
        <v>1031</v>
      </c>
      <c r="D63" s="342" t="s">
        <v>632</v>
      </c>
      <c r="E63" s="317" t="s">
        <v>585</v>
      </c>
      <c r="F63" s="336">
        <v>0</v>
      </c>
      <c r="G63" s="370">
        <f t="shared" si="84"/>
        <v>1655</v>
      </c>
      <c r="H63" s="370">
        <f t="shared" si="84"/>
        <v>16000</v>
      </c>
      <c r="I63" s="310"/>
      <c r="J63" s="310">
        <f>H63</f>
        <v>16000</v>
      </c>
      <c r="K63" s="310"/>
      <c r="L63" s="310"/>
      <c r="M63" s="310"/>
      <c r="N63" s="310"/>
      <c r="O63" s="310"/>
      <c r="P63" s="310"/>
      <c r="Q63" s="310"/>
      <c r="R63" s="310"/>
      <c r="S63" s="310">
        <f>G63</f>
        <v>1655</v>
      </c>
      <c r="T63" s="310"/>
      <c r="U63" s="310"/>
      <c r="V63" s="310"/>
      <c r="W63" s="310">
        <f>H63</f>
        <v>16000</v>
      </c>
      <c r="X63" s="310"/>
      <c r="Y63" s="310"/>
      <c r="Z63" s="310"/>
      <c r="AA63" s="310">
        <v>200</v>
      </c>
      <c r="AB63" s="310"/>
      <c r="AC63" s="310">
        <v>15</v>
      </c>
      <c r="AD63" s="310"/>
      <c r="AE63" s="310">
        <v>0</v>
      </c>
      <c r="AF63" s="310"/>
      <c r="AG63" s="310">
        <v>0</v>
      </c>
      <c r="AH63" s="310">
        <f t="shared" si="4"/>
        <v>0</v>
      </c>
      <c r="AI63" s="310">
        <v>20</v>
      </c>
      <c r="AJ63" s="310"/>
      <c r="AK63" s="310">
        <v>0</v>
      </c>
      <c r="AL63" s="310"/>
      <c r="AM63" s="310">
        <v>180</v>
      </c>
      <c r="AN63" s="310"/>
      <c r="AO63" s="310">
        <v>250</v>
      </c>
      <c r="AP63" s="310">
        <f t="shared" si="7"/>
        <v>0</v>
      </c>
      <c r="AQ63" s="310">
        <v>0</v>
      </c>
      <c r="AR63" s="310">
        <f>AQ63*F63</f>
        <v>0</v>
      </c>
      <c r="AS63" s="310">
        <v>200</v>
      </c>
      <c r="AT63" s="318">
        <v>16000</v>
      </c>
      <c r="AU63" s="310">
        <v>250</v>
      </c>
      <c r="AV63" s="310">
        <f>AU63*F63</f>
        <v>0</v>
      </c>
      <c r="AW63" s="310">
        <v>200</v>
      </c>
      <c r="AX63" s="310">
        <f>AW63*F63</f>
        <v>0</v>
      </c>
      <c r="AY63" s="312">
        <v>10</v>
      </c>
      <c r="AZ63" s="310"/>
      <c r="BA63" s="312">
        <v>30</v>
      </c>
      <c r="BB63" s="310">
        <f>BA63*F63</f>
        <v>0</v>
      </c>
      <c r="BC63" s="310">
        <v>0</v>
      </c>
      <c r="BD63" s="310"/>
      <c r="BE63" s="310">
        <v>300</v>
      </c>
      <c r="BF63" s="310"/>
      <c r="BG63" s="310">
        <v>0</v>
      </c>
      <c r="BH63" s="310"/>
      <c r="BI63" s="310"/>
      <c r="BJ63" s="310"/>
      <c r="BK63" s="322">
        <f>BI63+BG63+BE63+BC63+BA63+AY63+AW63+AU63+AS63+AQ63+AO63+AM63+AK63+AI63+AG63+AE63+AC63+AA63</f>
        <v>1655</v>
      </c>
      <c r="BL63" s="322">
        <f>BJ63+BH63+BF63+BD63+BB63+AZ63+AX63+AV63+AT63+AR63+AP63+AN63+AL63+AJ63+AH63+AF63+AD63+AB63</f>
        <v>16000</v>
      </c>
      <c r="BM63" s="317" t="s">
        <v>211</v>
      </c>
      <c r="BO63" s="380"/>
      <c r="BP63" s="380">
        <f>BL63</f>
        <v>16000</v>
      </c>
      <c r="BQ63" s="380"/>
      <c r="BR63" s="380"/>
      <c r="BS63" s="380">
        <f>BO63+BP63+BQ63+BR63</f>
        <v>16000</v>
      </c>
      <c r="BT63" s="380"/>
      <c r="BU63" s="380"/>
      <c r="BV63" s="380"/>
      <c r="BW63" s="381">
        <f t="shared" si="16"/>
        <v>16000</v>
      </c>
    </row>
    <row r="64" spans="1:75" s="297" customFormat="1" x14ac:dyDescent="0.2">
      <c r="A64" s="787"/>
      <c r="B64" s="312"/>
      <c r="C64" s="312"/>
      <c r="D64" s="342" t="s">
        <v>586</v>
      </c>
      <c r="E64" s="317"/>
      <c r="F64" s="336"/>
      <c r="G64" s="310">
        <f>SUM(G61:G63)</f>
        <v>1888</v>
      </c>
      <c r="H64" s="310">
        <f t="shared" ref="H64:BS64" si="93">SUM(H61:H63)</f>
        <v>72545860</v>
      </c>
      <c r="I64" s="310">
        <f t="shared" si="93"/>
        <v>924000</v>
      </c>
      <c r="J64" s="310">
        <f t="shared" si="93"/>
        <v>58039888</v>
      </c>
      <c r="K64" s="310">
        <f t="shared" si="93"/>
        <v>0</v>
      </c>
      <c r="L64" s="310">
        <f t="shared" si="93"/>
        <v>0</v>
      </c>
      <c r="M64" s="310">
        <f t="shared" si="93"/>
        <v>0</v>
      </c>
      <c r="N64" s="310">
        <f t="shared" si="93"/>
        <v>0</v>
      </c>
      <c r="O64" s="310">
        <f t="shared" si="93"/>
        <v>0</v>
      </c>
      <c r="P64" s="310">
        <f t="shared" si="93"/>
        <v>0</v>
      </c>
      <c r="Q64" s="310">
        <f t="shared" si="93"/>
        <v>13581972</v>
      </c>
      <c r="R64" s="310">
        <f t="shared" si="93"/>
        <v>0</v>
      </c>
      <c r="S64" s="310">
        <f t="shared" si="93"/>
        <v>1655</v>
      </c>
      <c r="T64" s="310">
        <f t="shared" si="93"/>
        <v>0</v>
      </c>
      <c r="U64" s="310">
        <f t="shared" si="93"/>
        <v>0</v>
      </c>
      <c r="V64" s="310">
        <f t="shared" si="93"/>
        <v>0</v>
      </c>
      <c r="W64" s="310">
        <f t="shared" si="93"/>
        <v>16000</v>
      </c>
      <c r="X64" s="310">
        <f t="shared" si="93"/>
        <v>0</v>
      </c>
      <c r="Y64" s="310">
        <f t="shared" si="93"/>
        <v>0</v>
      </c>
      <c r="Z64" s="310">
        <f t="shared" si="93"/>
        <v>0</v>
      </c>
      <c r="AA64" s="310">
        <f t="shared" si="93"/>
        <v>213</v>
      </c>
      <c r="AB64" s="310">
        <f t="shared" si="93"/>
        <v>3333440</v>
      </c>
      <c r="AC64" s="310">
        <f t="shared" si="93"/>
        <v>24</v>
      </c>
      <c r="AD64" s="310">
        <f t="shared" si="93"/>
        <v>1786900</v>
      </c>
      <c r="AE64" s="310">
        <f t="shared" si="93"/>
        <v>12</v>
      </c>
      <c r="AF64" s="310">
        <f t="shared" si="93"/>
        <v>3481700</v>
      </c>
      <c r="AG64" s="310">
        <f t="shared" si="93"/>
        <v>16</v>
      </c>
      <c r="AH64" s="310">
        <f t="shared" si="93"/>
        <v>5752500</v>
      </c>
      <c r="AI64" s="310">
        <f t="shared" si="93"/>
        <v>29</v>
      </c>
      <c r="AJ64" s="310">
        <f t="shared" si="93"/>
        <v>2055000</v>
      </c>
      <c r="AK64" s="310">
        <f t="shared" si="93"/>
        <v>8</v>
      </c>
      <c r="AL64" s="310">
        <f t="shared" si="93"/>
        <v>1895500</v>
      </c>
      <c r="AM64" s="310">
        <f t="shared" si="93"/>
        <v>207</v>
      </c>
      <c r="AN64" s="310">
        <f t="shared" si="93"/>
        <v>8940500</v>
      </c>
      <c r="AO64" s="310">
        <f t="shared" si="93"/>
        <v>255</v>
      </c>
      <c r="AP64" s="310">
        <f t="shared" si="93"/>
        <v>1712000</v>
      </c>
      <c r="AQ64" s="310">
        <f t="shared" si="93"/>
        <v>10</v>
      </c>
      <c r="AR64" s="310">
        <f t="shared" si="93"/>
        <v>4567000</v>
      </c>
      <c r="AS64" s="310">
        <f t="shared" si="93"/>
        <v>224</v>
      </c>
      <c r="AT64" s="310">
        <f t="shared" si="93"/>
        <v>8662900</v>
      </c>
      <c r="AU64" s="310">
        <f t="shared" si="93"/>
        <v>277</v>
      </c>
      <c r="AV64" s="310">
        <f t="shared" si="93"/>
        <v>7887400</v>
      </c>
      <c r="AW64" s="310">
        <f t="shared" si="93"/>
        <v>207</v>
      </c>
      <c r="AX64" s="310">
        <f t="shared" si="93"/>
        <v>2132500</v>
      </c>
      <c r="AY64" s="312">
        <f t="shared" si="93"/>
        <v>22</v>
      </c>
      <c r="AZ64" s="310">
        <f t="shared" si="93"/>
        <v>4712300</v>
      </c>
      <c r="BA64" s="312">
        <f t="shared" si="93"/>
        <v>53</v>
      </c>
      <c r="BB64" s="310">
        <f t="shared" si="93"/>
        <v>6831920</v>
      </c>
      <c r="BC64" s="310">
        <f t="shared" si="93"/>
        <v>6</v>
      </c>
      <c r="BD64" s="310">
        <f t="shared" si="93"/>
        <v>1776900</v>
      </c>
      <c r="BE64" s="310">
        <f t="shared" si="93"/>
        <v>313</v>
      </c>
      <c r="BF64" s="310">
        <f t="shared" si="93"/>
        <v>2414400</v>
      </c>
      <c r="BG64" s="310">
        <f t="shared" si="93"/>
        <v>12</v>
      </c>
      <c r="BH64" s="310">
        <f t="shared" si="93"/>
        <v>4603000</v>
      </c>
      <c r="BI64" s="310">
        <f t="shared" si="93"/>
        <v>0</v>
      </c>
      <c r="BJ64" s="310">
        <f t="shared" si="93"/>
        <v>0</v>
      </c>
      <c r="BK64" s="310">
        <f t="shared" si="93"/>
        <v>1888</v>
      </c>
      <c r="BL64" s="310">
        <f t="shared" si="93"/>
        <v>72545860</v>
      </c>
      <c r="BM64" s="310">
        <f t="shared" si="93"/>
        <v>0</v>
      </c>
      <c r="BN64" s="310"/>
      <c r="BO64" s="310">
        <f t="shared" si="93"/>
        <v>0</v>
      </c>
      <c r="BP64" s="310">
        <f t="shared" si="93"/>
        <v>16000</v>
      </c>
      <c r="BQ64" s="310">
        <f t="shared" si="93"/>
        <v>72529860</v>
      </c>
      <c r="BR64" s="310">
        <f t="shared" si="93"/>
        <v>0</v>
      </c>
      <c r="BS64" s="310">
        <f t="shared" si="93"/>
        <v>72545860</v>
      </c>
      <c r="BT64" s="310">
        <f>SUM(BT61:BT63)</f>
        <v>0</v>
      </c>
      <c r="BU64" s="310">
        <f>SUM(BU61:BU63)</f>
        <v>0</v>
      </c>
      <c r="BV64" s="310">
        <f>SUM(BV61:BV63)</f>
        <v>0</v>
      </c>
      <c r="BW64" s="310">
        <f>SUM(BW61:BW63)</f>
        <v>72545860</v>
      </c>
    </row>
    <row r="65" spans="1:75" x14ac:dyDescent="0.2">
      <c r="A65" s="787"/>
      <c r="B65" s="304">
        <v>23700</v>
      </c>
      <c r="C65" s="304"/>
      <c r="D65" s="316" t="s">
        <v>17</v>
      </c>
      <c r="E65" s="317" t="s">
        <v>111</v>
      </c>
      <c r="F65" s="336" t="s">
        <v>111</v>
      </c>
      <c r="G65" s="382">
        <f t="shared" ref="G65:AX65" si="94">G64+G59+G44+G37+G22+G14</f>
        <v>18802</v>
      </c>
      <c r="H65" s="382">
        <f t="shared" si="94"/>
        <v>215697810</v>
      </c>
      <c r="I65" s="382">
        <f t="shared" si="94"/>
        <v>9941440</v>
      </c>
      <c r="J65" s="382">
        <f t="shared" si="94"/>
        <v>113290448</v>
      </c>
      <c r="K65" s="382">
        <f t="shared" si="94"/>
        <v>0</v>
      </c>
      <c r="L65" s="382">
        <f t="shared" si="94"/>
        <v>0</v>
      </c>
      <c r="M65" s="382">
        <f t="shared" si="94"/>
        <v>17250000</v>
      </c>
      <c r="N65" s="382">
        <f t="shared" si="94"/>
        <v>0</v>
      </c>
      <c r="O65" s="382">
        <f t="shared" si="94"/>
        <v>56838750</v>
      </c>
      <c r="P65" s="382">
        <f t="shared" si="94"/>
        <v>0</v>
      </c>
      <c r="Q65" s="382">
        <f t="shared" si="94"/>
        <v>18377172</v>
      </c>
      <c r="R65" s="382">
        <f t="shared" si="94"/>
        <v>0</v>
      </c>
      <c r="S65" s="382">
        <f t="shared" si="94"/>
        <v>2209.25</v>
      </c>
      <c r="T65" s="382">
        <f t="shared" si="94"/>
        <v>554.25</v>
      </c>
      <c r="U65" s="382">
        <f t="shared" si="94"/>
        <v>600.75</v>
      </c>
      <c r="V65" s="382">
        <f t="shared" si="94"/>
        <v>11310.75</v>
      </c>
      <c r="W65" s="382">
        <f t="shared" si="94"/>
        <v>15873500</v>
      </c>
      <c r="X65" s="382">
        <f t="shared" si="94"/>
        <v>15857500</v>
      </c>
      <c r="Y65" s="382">
        <f t="shared" si="94"/>
        <v>16032500</v>
      </c>
      <c r="Z65" s="382">
        <f t="shared" si="94"/>
        <v>72963050</v>
      </c>
      <c r="AA65" s="382">
        <f t="shared" si="94"/>
        <v>2062</v>
      </c>
      <c r="AB65" s="382">
        <f t="shared" si="94"/>
        <v>14355490</v>
      </c>
      <c r="AC65" s="382">
        <f t="shared" si="94"/>
        <v>146</v>
      </c>
      <c r="AD65" s="382">
        <f t="shared" si="94"/>
        <v>5521500</v>
      </c>
      <c r="AE65" s="382">
        <f t="shared" si="94"/>
        <v>1923</v>
      </c>
      <c r="AF65" s="382">
        <f t="shared" si="94"/>
        <v>15542100</v>
      </c>
      <c r="AG65" s="382">
        <f t="shared" si="94"/>
        <v>1758</v>
      </c>
      <c r="AH65" s="382">
        <f t="shared" si="94"/>
        <v>15900500</v>
      </c>
      <c r="AI65" s="382">
        <f t="shared" si="94"/>
        <v>504</v>
      </c>
      <c r="AJ65" s="382">
        <f t="shared" si="94"/>
        <v>7586600</v>
      </c>
      <c r="AK65" s="382">
        <f t="shared" si="94"/>
        <v>167</v>
      </c>
      <c r="AL65" s="382">
        <f t="shared" si="94"/>
        <v>7571550</v>
      </c>
      <c r="AM65" s="382">
        <f t="shared" si="94"/>
        <v>380</v>
      </c>
      <c r="AN65" s="382">
        <f t="shared" si="94"/>
        <v>14624100</v>
      </c>
      <c r="AO65" s="382">
        <f t="shared" si="94"/>
        <v>1342</v>
      </c>
      <c r="AP65" s="382">
        <f t="shared" si="94"/>
        <v>10917600</v>
      </c>
      <c r="AQ65" s="382">
        <f t="shared" si="94"/>
        <v>923</v>
      </c>
      <c r="AR65" s="382">
        <f t="shared" si="94"/>
        <v>12325650</v>
      </c>
      <c r="AS65" s="382">
        <f t="shared" si="94"/>
        <v>3020</v>
      </c>
      <c r="AT65" s="382">
        <f t="shared" si="94"/>
        <v>24215300</v>
      </c>
      <c r="AU65" s="382">
        <f t="shared" si="94"/>
        <v>1778</v>
      </c>
      <c r="AV65" s="382">
        <f t="shared" si="94"/>
        <v>17087600</v>
      </c>
      <c r="AW65" s="382">
        <f t="shared" si="94"/>
        <v>377</v>
      </c>
      <c r="AX65" s="382">
        <f t="shared" si="94"/>
        <v>7805650</v>
      </c>
      <c r="AY65" s="382">
        <f t="shared" ref="AY65:BR65" si="95">AY64+AY59+AY44+AY37+AY22+AY14</f>
        <v>231</v>
      </c>
      <c r="AZ65" s="382">
        <f t="shared" si="95"/>
        <v>10847900</v>
      </c>
      <c r="BA65" s="382">
        <f t="shared" si="95"/>
        <v>1261</v>
      </c>
      <c r="BB65" s="382">
        <f t="shared" si="95"/>
        <v>16551870</v>
      </c>
      <c r="BC65" s="382">
        <f t="shared" si="95"/>
        <v>203</v>
      </c>
      <c r="BD65" s="382">
        <f t="shared" si="95"/>
        <v>8645400</v>
      </c>
      <c r="BE65" s="382">
        <f t="shared" si="95"/>
        <v>716</v>
      </c>
      <c r="BF65" s="382">
        <f t="shared" si="95"/>
        <v>9248550</v>
      </c>
      <c r="BG65" s="382">
        <f t="shared" si="95"/>
        <v>2011</v>
      </c>
      <c r="BH65" s="382">
        <f t="shared" si="95"/>
        <v>16950450</v>
      </c>
      <c r="BI65" s="382">
        <f t="shared" si="95"/>
        <v>0</v>
      </c>
      <c r="BJ65" s="382">
        <f t="shared" si="95"/>
        <v>0</v>
      </c>
      <c r="BK65" s="382">
        <f t="shared" si="95"/>
        <v>18802</v>
      </c>
      <c r="BL65" s="382">
        <f t="shared" si="95"/>
        <v>215697810</v>
      </c>
      <c r="BM65" s="382">
        <f t="shared" si="95"/>
        <v>0</v>
      </c>
      <c r="BN65" s="382"/>
      <c r="BO65" s="382">
        <f t="shared" si="95"/>
        <v>0</v>
      </c>
      <c r="BP65" s="382">
        <f t="shared" si="95"/>
        <v>2612200</v>
      </c>
      <c r="BQ65" s="382">
        <f t="shared" si="95"/>
        <v>213085610</v>
      </c>
      <c r="BR65" s="382">
        <f t="shared" si="95"/>
        <v>0</v>
      </c>
      <c r="BS65" s="382">
        <f t="shared" ref="BS65:BW65" si="96">BS64+BS59+BS44+BS37+BS22+BS14</f>
        <v>215697810</v>
      </c>
      <c r="BT65" s="382">
        <f t="shared" si="96"/>
        <v>0</v>
      </c>
      <c r="BU65" s="382">
        <f t="shared" si="96"/>
        <v>0</v>
      </c>
      <c r="BV65" s="382">
        <f t="shared" si="96"/>
        <v>0</v>
      </c>
      <c r="BW65" s="382">
        <f t="shared" si="96"/>
        <v>215697810</v>
      </c>
    </row>
    <row r="67" spans="1:75" x14ac:dyDescent="0.25">
      <c r="O67" s="616"/>
    </row>
    <row r="68" spans="1:75" x14ac:dyDescent="0.25">
      <c r="O68" s="617"/>
      <c r="BL68" s="618">
        <f>H65-BL65</f>
        <v>0</v>
      </c>
    </row>
  </sheetData>
  <autoFilter ref="A8:BW65" xr:uid="{00000000-0001-0000-0800-000000000000}"/>
  <mergeCells count="45">
    <mergeCell ref="A4:B4"/>
    <mergeCell ref="D4:R4"/>
    <mergeCell ref="A1:B1"/>
    <mergeCell ref="D1:R1"/>
    <mergeCell ref="A2:B2"/>
    <mergeCell ref="D2:R2"/>
    <mergeCell ref="A3:B3"/>
    <mergeCell ref="D3:R3"/>
    <mergeCell ref="S6:V7"/>
    <mergeCell ref="W6:Z7"/>
    <mergeCell ref="E7:E8"/>
    <mergeCell ref="G7:G8"/>
    <mergeCell ref="A5:B5"/>
    <mergeCell ref="D5:R5"/>
    <mergeCell ref="A6:E6"/>
    <mergeCell ref="G6:H6"/>
    <mergeCell ref="I6:R6"/>
    <mergeCell ref="AC6:AD7"/>
    <mergeCell ref="AE6:AF7"/>
    <mergeCell ref="BO7:BS7"/>
    <mergeCell ref="BA6:BB7"/>
    <mergeCell ref="BC6:BD7"/>
    <mergeCell ref="BE6:BF7"/>
    <mergeCell ref="AI6:AJ7"/>
    <mergeCell ref="AO6:AP7"/>
    <mergeCell ref="AQ6:AR7"/>
    <mergeCell ref="AS6:AT7"/>
    <mergeCell ref="AU6:AV7"/>
    <mergeCell ref="AG6:AH7"/>
    <mergeCell ref="BW7:BW8"/>
    <mergeCell ref="A9:A65"/>
    <mergeCell ref="BG6:BH7"/>
    <mergeCell ref="BI6:BJ7"/>
    <mergeCell ref="BK6:BL7"/>
    <mergeCell ref="A7:A8"/>
    <mergeCell ref="B7:B8"/>
    <mergeCell ref="D7:D8"/>
    <mergeCell ref="AW6:AX7"/>
    <mergeCell ref="AK6:AL7"/>
    <mergeCell ref="AY6:AZ7"/>
    <mergeCell ref="AM6:AN7"/>
    <mergeCell ref="BT7:BV7"/>
    <mergeCell ref="F7:F8"/>
    <mergeCell ref="AA6:AB7"/>
    <mergeCell ref="H7:H8"/>
  </mergeCells>
  <phoneticPr fontId="3" type="noConversion"/>
  <pageMargins left="0.47" right="0.54" top="0.75" bottom="0.75" header="0.3" footer="0.3"/>
  <pageSetup paperSize="9" scale="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Sum, scheme</vt:lpstr>
      <vt:lpstr>Component wise</vt:lpstr>
      <vt:lpstr>Sum , MPA</vt:lpstr>
      <vt:lpstr>Summary </vt:lpstr>
      <vt:lpstr>1.1</vt:lpstr>
      <vt:lpstr>1.2</vt:lpstr>
      <vt:lpstr>2.1</vt:lpstr>
      <vt:lpstr>2.2</vt:lpstr>
      <vt:lpstr>2.3</vt:lpstr>
      <vt:lpstr>3.1</vt:lpstr>
      <vt:lpstr>3.2</vt:lpstr>
      <vt:lpstr>4.1 </vt:lpstr>
      <vt:lpstr>4.2</vt:lpstr>
      <vt:lpstr>4.3 </vt:lpstr>
      <vt:lpstr>major activiites -IFAD</vt:lpstr>
      <vt:lpstr>Category wise</vt:lpstr>
      <vt:lpstr>Consolidated</vt:lpstr>
      <vt:lpstr>'Sum , MPA'!Print_Area</vt:lpstr>
      <vt:lpstr>'Sum , MPA'!Print_Titles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fao</dc:creator>
  <cp:lastModifiedBy>tofan kumar jena</cp:lastModifiedBy>
  <cp:lastPrinted>2022-04-07T07:07:07Z</cp:lastPrinted>
  <dcterms:created xsi:type="dcterms:W3CDTF">2000-12-31T18:57:07Z</dcterms:created>
  <dcterms:modified xsi:type="dcterms:W3CDTF">2022-04-12T11:08:54Z</dcterms:modified>
  <cp:contentStatus/>
</cp:coreProperties>
</file>