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ATA-ANALYSIS\AWPB\AWPB-PROGRESS\23-24\"/>
    </mc:Choice>
  </mc:AlternateContent>
  <xr:revisionPtr revIDLastSave="0" documentId="13_ncr:1_{922A994E-F18E-4DF1-A7A5-8B4970EDADFE}" xr6:coauthVersionLast="47" xr6:coauthVersionMax="47" xr10:uidLastSave="{00000000-0000-0000-0000-000000000000}"/>
  <bookViews>
    <workbookView xWindow="-120" yWindow="-120" windowWidth="29040" windowHeight="15840" firstSheet="4" xr2:uid="{00000000-000D-0000-FFFF-FFFF00000000}"/>
  </bookViews>
  <sheets>
    <sheet name="Sub-Comp. quartely targ (2)" sheetId="57" r:id="rId1"/>
    <sheet name="Sub-Comp. quartely targ" sheetId="54" r:id="rId2"/>
    <sheet name="Sum, scheme" sheetId="20" r:id="rId3"/>
    <sheet name="Component wise" sheetId="50" r:id="rId4"/>
    <sheet name="Sum , MPA" sheetId="39" r:id="rId5"/>
    <sheet name="Summary " sheetId="48" r:id="rId6"/>
    <sheet name="1.1" sheetId="47" r:id="rId7"/>
    <sheet name="1.2" sheetId="46" r:id="rId8"/>
    <sheet name="2.1" sheetId="45" r:id="rId9"/>
    <sheet name="2.2" sheetId="44" r:id="rId10"/>
    <sheet name="2.3" sheetId="43" r:id="rId11"/>
    <sheet name="3.1" sheetId="42" r:id="rId12"/>
    <sheet name="3.2" sheetId="41" r:id="rId13"/>
    <sheet name="4.1 " sheetId="24" r:id="rId14"/>
    <sheet name="4.2" sheetId="25" r:id="rId15"/>
    <sheet name="4.3 " sheetId="26" r:id="rId16"/>
    <sheet name="major activiites -IFAD" sheetId="51" r:id="rId17"/>
    <sheet name="Category wise" sheetId="52" r:id="rId18"/>
    <sheet name="Consolidated" sheetId="53" r:id="rId19"/>
  </sheets>
  <externalReferences>
    <externalReference r:id="rId20"/>
  </externalReferences>
  <definedNames>
    <definedName name="_xlnm._FilterDatabase" localSheetId="8" hidden="1">'2.1'!$A$8:$BV$108</definedName>
    <definedName name="_xlnm._FilterDatabase" localSheetId="9" hidden="1">'2.2'!$A$8:$BW$92</definedName>
    <definedName name="_xlnm._FilterDatabase" localSheetId="10" hidden="1">'2.3'!$A$8:$BW$72</definedName>
    <definedName name="_xlnm._FilterDatabase" localSheetId="11" hidden="1">'3.1'!$A$8:$FE$56</definedName>
    <definedName name="_xlnm._FilterDatabase" localSheetId="12" hidden="1">'3.2'!$A$9:$BV$46</definedName>
    <definedName name="_xlnm.Print_Area" localSheetId="4">'Sum , MPA'!$A$1:$AP$34</definedName>
    <definedName name="_xlnm.Print_Area" localSheetId="2">'Sum, scheme'!$A$1:$O$30</definedName>
    <definedName name="_xlnm.Print_Titles" localSheetId="17">'Category wise'!$2:$3</definedName>
    <definedName name="_xlnm.Print_Titles" localSheetId="4">'Sum , MPA'!$A:$C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1" i="45" l="1"/>
  <c r="W20" i="43"/>
  <c r="P105" i="45" l="1"/>
  <c r="H105" i="45"/>
  <c r="P104" i="45"/>
  <c r="H104" i="45"/>
  <c r="P102" i="45"/>
  <c r="H102" i="45"/>
  <c r="H101" i="45"/>
  <c r="H95" i="45"/>
  <c r="P95" i="45"/>
  <c r="F35" i="20"/>
  <c r="BG54" i="47" l="1"/>
  <c r="BC54" i="47"/>
  <c r="AY54" i="47"/>
  <c r="AW54" i="47"/>
  <c r="AU54" i="47"/>
  <c r="AS54" i="47"/>
  <c r="AK54" i="47"/>
  <c r="AI54" i="47"/>
  <c r="AG54" i="47"/>
  <c r="AE54" i="47"/>
  <c r="AA54" i="47"/>
  <c r="V31" i="24" l="1"/>
  <c r="W42" i="24"/>
  <c r="H24" i="57"/>
  <c r="B23" i="57"/>
  <c r="J22" i="57"/>
  <c r="B21" i="57"/>
  <c r="B20" i="57"/>
  <c r="A20" i="57"/>
  <c r="B19" i="57"/>
  <c r="A19" i="57"/>
  <c r="B18" i="57"/>
  <c r="A18" i="57"/>
  <c r="J17" i="57"/>
  <c r="B17" i="57"/>
  <c r="A17" i="57"/>
  <c r="B16" i="57"/>
  <c r="A16" i="57"/>
  <c r="B15" i="57"/>
  <c r="A15" i="57"/>
  <c r="B14" i="57"/>
  <c r="A14" i="57"/>
  <c r="J13" i="57"/>
  <c r="B13" i="57"/>
  <c r="A13" i="57"/>
  <c r="B12" i="57"/>
  <c r="A12" i="57"/>
  <c r="B11" i="57"/>
  <c r="A11" i="57"/>
  <c r="B10" i="57"/>
  <c r="A10" i="57"/>
  <c r="B9" i="57"/>
  <c r="A9" i="57"/>
  <c r="J8" i="57"/>
  <c r="B8" i="57"/>
  <c r="A8" i="57"/>
  <c r="B7" i="57"/>
  <c r="A7" i="57"/>
  <c r="B6" i="57"/>
  <c r="A6" i="57"/>
  <c r="B5" i="57"/>
  <c r="A5" i="57"/>
  <c r="B4" i="57"/>
  <c r="A4" i="57"/>
  <c r="C3" i="57"/>
  <c r="B3" i="57"/>
  <c r="A3" i="57"/>
  <c r="AH13" i="26"/>
  <c r="F10" i="47"/>
  <c r="BJ62" i="43"/>
  <c r="AD12" i="46"/>
  <c r="BE40" i="47"/>
  <c r="BG40" i="47"/>
  <c r="BC40" i="47"/>
  <c r="BA40" i="47"/>
  <c r="AY40" i="47"/>
  <c r="AW40" i="47"/>
  <c r="AU40" i="47"/>
  <c r="AS40" i="47"/>
  <c r="AQ40" i="47"/>
  <c r="AO40" i="47"/>
  <c r="AM40" i="47"/>
  <c r="AK40" i="47"/>
  <c r="AI40" i="47"/>
  <c r="AG40" i="47"/>
  <c r="AE40" i="47"/>
  <c r="AC40" i="47"/>
  <c r="AA40" i="47"/>
  <c r="BS19" i="47"/>
  <c r="BJ19" i="47"/>
  <c r="BH19" i="47"/>
  <c r="BE19" i="47"/>
  <c r="BK19" i="47" s="1"/>
  <c r="G19" i="47" s="1"/>
  <c r="BD19" i="47"/>
  <c r="BB19" i="47"/>
  <c r="AZ19" i="47"/>
  <c r="AX19" i="47"/>
  <c r="AV19" i="47"/>
  <c r="AT19" i="47"/>
  <c r="AR19" i="47"/>
  <c r="AP19" i="47"/>
  <c r="AN19" i="47"/>
  <c r="AL19" i="47"/>
  <c r="AJ19" i="47"/>
  <c r="AH19" i="47"/>
  <c r="AF19" i="47"/>
  <c r="AD19" i="47"/>
  <c r="AB19" i="47"/>
  <c r="BE24" i="46"/>
  <c r="BC24" i="46"/>
  <c r="BA24" i="46"/>
  <c r="AY24" i="46"/>
  <c r="AW24" i="46"/>
  <c r="AU24" i="46"/>
  <c r="AS24" i="46"/>
  <c r="AQ24" i="46"/>
  <c r="AO24" i="46"/>
  <c r="AM24" i="46"/>
  <c r="AK24" i="46"/>
  <c r="AI24" i="46"/>
  <c r="AG24" i="46"/>
  <c r="AE24" i="46"/>
  <c r="AC24" i="46"/>
  <c r="AA24" i="46"/>
  <c r="Y24" i="46"/>
  <c r="BF19" i="47" l="1"/>
  <c r="BL19" i="47" s="1"/>
  <c r="U19" i="47"/>
  <c r="Y19" i="47" s="1"/>
  <c r="V19" i="47"/>
  <c r="Z19" i="47" s="1"/>
  <c r="H19" i="47"/>
  <c r="S19" i="47"/>
  <c r="W19" i="47" s="1"/>
  <c r="T19" i="47"/>
  <c r="X19" i="47" s="1"/>
  <c r="AJ41" i="43"/>
  <c r="AV41" i="43"/>
  <c r="AH22" i="44"/>
  <c r="C116" i="51"/>
  <c r="C115" i="51"/>
  <c r="C114" i="51"/>
  <c r="D5" i="51"/>
  <c r="D108" i="51"/>
  <c r="C108" i="51"/>
  <c r="D97" i="51"/>
  <c r="D96" i="51"/>
  <c r="C96" i="51"/>
  <c r="D87" i="51"/>
  <c r="C87" i="51"/>
  <c r="D74" i="51"/>
  <c r="D75" i="51"/>
  <c r="C75" i="51"/>
  <c r="C74" i="51"/>
  <c r="D72" i="51"/>
  <c r="C72" i="51"/>
  <c r="D48" i="51"/>
  <c r="D49" i="51"/>
  <c r="D50" i="51"/>
  <c r="D51" i="51"/>
  <c r="D52" i="51"/>
  <c r="C49" i="51"/>
  <c r="C50" i="51"/>
  <c r="C51" i="51"/>
  <c r="C52" i="51"/>
  <c r="C48" i="51"/>
  <c r="D11" i="51"/>
  <c r="C11" i="51"/>
  <c r="D7" i="51"/>
  <c r="C7" i="51"/>
  <c r="I19" i="47" l="1"/>
  <c r="J19" i="47"/>
  <c r="BU19" i="47"/>
  <c r="BV19" i="47" s="1"/>
  <c r="BW19" i="47" s="1"/>
  <c r="B66" i="52"/>
  <c r="B57" i="52"/>
  <c r="C57" i="52"/>
  <c r="D57" i="52"/>
  <c r="F57" i="52"/>
  <c r="B54" i="52"/>
  <c r="B53" i="52"/>
  <c r="C48" i="52"/>
  <c r="B48" i="52"/>
  <c r="B43" i="52"/>
  <c r="D39" i="52"/>
  <c r="F39" i="52"/>
  <c r="C39" i="52"/>
  <c r="B39" i="52"/>
  <c r="D36" i="52"/>
  <c r="F36" i="52"/>
  <c r="C36" i="52"/>
  <c r="D35" i="52"/>
  <c r="F35" i="52"/>
  <c r="C35" i="52"/>
  <c r="B36" i="52"/>
  <c r="B35" i="52"/>
  <c r="D34" i="52"/>
  <c r="F34" i="52"/>
  <c r="C34" i="52"/>
  <c r="B34" i="52"/>
  <c r="F33" i="52"/>
  <c r="C33" i="52"/>
  <c r="D33" i="52"/>
  <c r="B33" i="52"/>
  <c r="F32" i="52"/>
  <c r="D32" i="52"/>
  <c r="C32" i="52"/>
  <c r="B32" i="52"/>
  <c r="F23" i="52"/>
  <c r="D23" i="52"/>
  <c r="B23" i="52"/>
  <c r="C17" i="52"/>
  <c r="D17" i="52"/>
  <c r="C18" i="52"/>
  <c r="D18" i="52"/>
  <c r="C19" i="52"/>
  <c r="D19" i="52"/>
  <c r="C20" i="52"/>
  <c r="D20" i="52"/>
  <c r="D16" i="52"/>
  <c r="C16" i="52"/>
  <c r="B20" i="52"/>
  <c r="B17" i="52"/>
  <c r="B18" i="52"/>
  <c r="B19" i="52"/>
  <c r="B16" i="52"/>
  <c r="AS83" i="45" l="1"/>
  <c r="AA83" i="45"/>
  <c r="AU80" i="45"/>
  <c r="AS80" i="45"/>
  <c r="AB19" i="42" l="1"/>
  <c r="AD19" i="42"/>
  <c r="AF19" i="42"/>
  <c r="AH19" i="42"/>
  <c r="AJ19" i="42"/>
  <c r="AL19" i="42"/>
  <c r="AN19" i="42"/>
  <c r="AP19" i="42"/>
  <c r="AR19" i="42"/>
  <c r="AT19" i="42"/>
  <c r="AV19" i="42"/>
  <c r="AX19" i="42"/>
  <c r="AZ19" i="42"/>
  <c r="BB19" i="42"/>
  <c r="BD19" i="42"/>
  <c r="BF19" i="42"/>
  <c r="BH19" i="42"/>
  <c r="BJ19" i="42"/>
  <c r="BN19" i="42"/>
  <c r="BO19" i="42"/>
  <c r="BQ19" i="42"/>
  <c r="BR19" i="42"/>
  <c r="BS19" i="42"/>
  <c r="BU19" i="42"/>
  <c r="BV19" i="42"/>
  <c r="X19" i="43"/>
  <c r="W19" i="43"/>
  <c r="AN28" i="43"/>
  <c r="Z28" i="43"/>
  <c r="Z29" i="43"/>
  <c r="X15" i="44"/>
  <c r="AT38" i="44"/>
  <c r="AU53" i="45"/>
  <c r="J8" i="54"/>
  <c r="J13" i="54"/>
  <c r="J17" i="54"/>
  <c r="J22" i="54"/>
  <c r="BE16" i="41"/>
  <c r="BC16" i="41"/>
  <c r="BA16" i="41"/>
  <c r="AY16" i="41"/>
  <c r="AS16" i="41"/>
  <c r="AQ16" i="41"/>
  <c r="AC16" i="41"/>
  <c r="K106" i="45" l="1"/>
  <c r="L106" i="45"/>
  <c r="N106" i="45"/>
  <c r="O106" i="45"/>
  <c r="P106" i="45"/>
  <c r="Q106" i="45"/>
  <c r="U106" i="45"/>
  <c r="Z106" i="45"/>
  <c r="AB106" i="45"/>
  <c r="AD106" i="45"/>
  <c r="AF106" i="45"/>
  <c r="AH106" i="45"/>
  <c r="AJ106" i="45"/>
  <c r="AL106" i="45"/>
  <c r="AN106" i="45"/>
  <c r="AP106" i="45"/>
  <c r="AR106" i="45"/>
  <c r="AT106" i="45"/>
  <c r="AV106" i="45"/>
  <c r="AX106" i="45"/>
  <c r="AZ106" i="45"/>
  <c r="BB106" i="45"/>
  <c r="BD106" i="45"/>
  <c r="BF106" i="45"/>
  <c r="BH106" i="45"/>
  <c r="BL106" i="45"/>
  <c r="BM106" i="45"/>
  <c r="BN106" i="45"/>
  <c r="BO106" i="45"/>
  <c r="BQ106" i="45"/>
  <c r="BS106" i="45"/>
  <c r="BT106" i="45"/>
  <c r="BU106" i="45"/>
  <c r="J17" i="45"/>
  <c r="K17" i="45"/>
  <c r="L17" i="45"/>
  <c r="M17" i="45"/>
  <c r="N17" i="45"/>
  <c r="O17" i="45"/>
  <c r="P17" i="45"/>
  <c r="Q17" i="45"/>
  <c r="Z17" i="45"/>
  <c r="AB17" i="45"/>
  <c r="AD17" i="45"/>
  <c r="AF17" i="45"/>
  <c r="AH17" i="45"/>
  <c r="AJ17" i="45"/>
  <c r="AL17" i="45"/>
  <c r="AN17" i="45"/>
  <c r="AP17" i="45"/>
  <c r="AR17" i="45"/>
  <c r="AT17" i="45"/>
  <c r="AV17" i="45"/>
  <c r="AX17" i="45"/>
  <c r="AZ17" i="45"/>
  <c r="BB17" i="45"/>
  <c r="BD17" i="45"/>
  <c r="BF17" i="45"/>
  <c r="BH17" i="45"/>
  <c r="BN17" i="45"/>
  <c r="BP17" i="45"/>
  <c r="BQ17" i="45"/>
  <c r="BS17" i="45"/>
  <c r="BT17" i="45"/>
  <c r="BU12" i="45"/>
  <c r="AA18" i="47"/>
  <c r="BH29" i="43"/>
  <c r="BK29" i="43"/>
  <c r="G29" i="43" s="1"/>
  <c r="E75" i="51" s="1"/>
  <c r="BF29" i="43"/>
  <c r="BD29" i="43"/>
  <c r="BB29" i="43"/>
  <c r="AZ29" i="43"/>
  <c r="AX29" i="43"/>
  <c r="AV29" i="43"/>
  <c r="AT29" i="43"/>
  <c r="AR29" i="43"/>
  <c r="AP29" i="43"/>
  <c r="AN29" i="43"/>
  <c r="AL29" i="43"/>
  <c r="AJ29" i="43"/>
  <c r="AH29" i="43"/>
  <c r="AF29" i="43"/>
  <c r="AD29" i="43"/>
  <c r="AB29" i="43"/>
  <c r="BL29" i="43" l="1"/>
  <c r="H29" i="43" s="1"/>
  <c r="BQ29" i="43" s="1"/>
  <c r="W29" i="43"/>
  <c r="Y29" i="43"/>
  <c r="X29" i="43"/>
  <c r="Y102" i="45"/>
  <c r="Y103" i="45"/>
  <c r="Y104" i="45"/>
  <c r="BJ102" i="45"/>
  <c r="BJ103" i="45"/>
  <c r="F103" i="45" s="1"/>
  <c r="BJ104" i="45"/>
  <c r="F104" i="45" s="1"/>
  <c r="E51" i="51" s="1"/>
  <c r="F102" i="45"/>
  <c r="AQ102" i="45"/>
  <c r="AY102" i="45"/>
  <c r="BG102" i="45"/>
  <c r="BI102" i="45"/>
  <c r="AK102" i="45"/>
  <c r="AG103" i="45"/>
  <c r="AM103" i="45"/>
  <c r="AU103" i="45"/>
  <c r="AQ103" i="45"/>
  <c r="AY103" i="45"/>
  <c r="BG103" i="45"/>
  <c r="BI103" i="45"/>
  <c r="AU104" i="45"/>
  <c r="AC104" i="45"/>
  <c r="AQ104" i="45"/>
  <c r="AY104" i="45"/>
  <c r="BG104" i="45"/>
  <c r="BI104" i="45"/>
  <c r="BJ105" i="45"/>
  <c r="F105" i="45" s="1"/>
  <c r="BA105" i="45"/>
  <c r="AA105" i="45"/>
  <c r="AC105" i="45"/>
  <c r="AE105" i="45"/>
  <c r="AG105" i="45"/>
  <c r="AI105" i="45"/>
  <c r="AK105" i="45"/>
  <c r="AM105" i="45"/>
  <c r="AO105" i="45"/>
  <c r="AS105" i="45"/>
  <c r="AU105" i="45"/>
  <c r="AW105" i="45"/>
  <c r="BC105" i="45"/>
  <c r="BG105" i="45"/>
  <c r="BI105" i="45"/>
  <c r="BK102" i="45" l="1"/>
  <c r="R102" i="45"/>
  <c r="V102" i="45" s="1"/>
  <c r="E49" i="51"/>
  <c r="BS29" i="43"/>
  <c r="BW29" i="43" s="1"/>
  <c r="E36" i="52"/>
  <c r="H36" i="52" s="1"/>
  <c r="G105" i="45"/>
  <c r="F52" i="51" s="1"/>
  <c r="E52" i="51"/>
  <c r="G103" i="45"/>
  <c r="I103" i="45" s="1"/>
  <c r="E50" i="51"/>
  <c r="R104" i="45"/>
  <c r="V104" i="45" s="1"/>
  <c r="T104" i="45"/>
  <c r="X104" i="45" s="1"/>
  <c r="G104" i="45"/>
  <c r="F51" i="51" s="1"/>
  <c r="Q29" i="43"/>
  <c r="BK103" i="45"/>
  <c r="J29" i="43"/>
  <c r="BK104" i="45"/>
  <c r="I29" i="43"/>
  <c r="T102" i="45"/>
  <c r="X102" i="45" s="1"/>
  <c r="G102" i="45"/>
  <c r="F49" i="51" s="1"/>
  <c r="T103" i="45"/>
  <c r="X103" i="45" s="1"/>
  <c r="S103" i="45"/>
  <c r="W103" i="45" s="1"/>
  <c r="R103" i="45"/>
  <c r="V103" i="45" s="1"/>
  <c r="I104" i="45"/>
  <c r="S104" i="45"/>
  <c r="W104" i="45" s="1"/>
  <c r="S102" i="45"/>
  <c r="W102" i="45" s="1"/>
  <c r="BK105" i="45"/>
  <c r="I102" i="45" l="1"/>
  <c r="F75" i="51"/>
  <c r="BP105" i="45"/>
  <c r="BR105" i="45" s="1"/>
  <c r="BV105" i="45" s="1"/>
  <c r="X105" i="45"/>
  <c r="I105" i="45"/>
  <c r="Y105" i="45"/>
  <c r="H103" i="45"/>
  <c r="BP103" i="45"/>
  <c r="F50" i="51"/>
  <c r="BP104" i="45"/>
  <c r="BP102" i="45"/>
  <c r="BK68" i="43"/>
  <c r="G68" i="43" s="1"/>
  <c r="BL68" i="43"/>
  <c r="H68" i="43" s="1"/>
  <c r="F87" i="51" s="1"/>
  <c r="BR102" i="45" l="1"/>
  <c r="BV102" i="45" s="1"/>
  <c r="E17" i="52"/>
  <c r="H17" i="52" s="1"/>
  <c r="BR104" i="45"/>
  <c r="BV104" i="45" s="1"/>
  <c r="E19" i="52"/>
  <c r="H19" i="52" s="1"/>
  <c r="E20" i="52"/>
  <c r="H20" i="52" s="1"/>
  <c r="BR103" i="45"/>
  <c r="BV103" i="45" s="1"/>
  <c r="E18" i="52"/>
  <c r="H18" i="52" s="1"/>
  <c r="T68" i="43"/>
  <c r="E87" i="51"/>
  <c r="BQ68" i="43"/>
  <c r="E48" i="52" s="1"/>
  <c r="Q68" i="43"/>
  <c r="X68" i="43"/>
  <c r="Y68" i="43"/>
  <c r="I68" i="43"/>
  <c r="J68" i="43"/>
  <c r="U68" i="43"/>
  <c r="V26" i="41" l="1"/>
  <c r="W26" i="41"/>
  <c r="X26" i="41"/>
  <c r="Y26" i="41"/>
  <c r="AQ26" i="41"/>
  <c r="AS26" i="41"/>
  <c r="AU26" i="41"/>
  <c r="BC26" i="41"/>
  <c r="BG26" i="41"/>
  <c r="AC26" i="41"/>
  <c r="AA26" i="41"/>
  <c r="AO15" i="41"/>
  <c r="AO16" i="41"/>
  <c r="AW26" i="45"/>
  <c r="AS26" i="45"/>
  <c r="AG43" i="42"/>
  <c r="BE54" i="47"/>
  <c r="AM54" i="47"/>
  <c r="AL54" i="47"/>
  <c r="AC54" i="47"/>
  <c r="AC19" i="41"/>
  <c r="AY20" i="25"/>
  <c r="E84" i="24" l="1"/>
  <c r="BE48" i="47"/>
  <c r="BG48" i="47"/>
  <c r="BC48" i="47"/>
  <c r="BA48" i="47"/>
  <c r="BB48" i="47" s="1"/>
  <c r="AY48" i="47"/>
  <c r="AW48" i="47"/>
  <c r="AU48" i="47"/>
  <c r="AS48" i="47"/>
  <c r="AQ48" i="47"/>
  <c r="AO48" i="47"/>
  <c r="AP48" i="47" s="1"/>
  <c r="AM48" i="47"/>
  <c r="AK48" i="47"/>
  <c r="AI48" i="47"/>
  <c r="AG48" i="47"/>
  <c r="AE48" i="47"/>
  <c r="AC48" i="47"/>
  <c r="AD48" i="47" s="1"/>
  <c r="AA48" i="47"/>
  <c r="BG22" i="47"/>
  <c r="BE22" i="47"/>
  <c r="BC22" i="47"/>
  <c r="BA22" i="47"/>
  <c r="AY22" i="47"/>
  <c r="AZ22" i="47" s="1"/>
  <c r="AW22" i="47"/>
  <c r="AU22" i="47"/>
  <c r="AS22" i="47"/>
  <c r="AQ22" i="47"/>
  <c r="AO22" i="47"/>
  <c r="AM22" i="47"/>
  <c r="AN22" i="47" s="1"/>
  <c r="AK22" i="47"/>
  <c r="AI22" i="47"/>
  <c r="AG22" i="47"/>
  <c r="AE22" i="47"/>
  <c r="AC22" i="47"/>
  <c r="AA22" i="47"/>
  <c r="AK23" i="47"/>
  <c r="AO23" i="47"/>
  <c r="BG23" i="47"/>
  <c r="BE23" i="47"/>
  <c r="BC23" i="47"/>
  <c r="BA23" i="47"/>
  <c r="BB23" i="47" s="1"/>
  <c r="AW23" i="47"/>
  <c r="AY23" i="47"/>
  <c r="AU23" i="47"/>
  <c r="AA25" i="47"/>
  <c r="AC25" i="47"/>
  <c r="AA23" i="47"/>
  <c r="AB23" i="47" s="1"/>
  <c r="D7" i="53"/>
  <c r="C7" i="53"/>
  <c r="D6" i="53"/>
  <c r="C6" i="53"/>
  <c r="D5" i="53"/>
  <c r="C5" i="53"/>
  <c r="D4" i="53"/>
  <c r="C4" i="53"/>
  <c r="J3" i="53"/>
  <c r="I3" i="53"/>
  <c r="H3" i="53"/>
  <c r="G3" i="53"/>
  <c r="F3" i="53"/>
  <c r="E3" i="53"/>
  <c r="D3" i="53"/>
  <c r="C3" i="53"/>
  <c r="B72" i="52"/>
  <c r="G69" i="52"/>
  <c r="I6" i="53" s="1"/>
  <c r="B68" i="52"/>
  <c r="B67" i="52"/>
  <c r="B65" i="52"/>
  <c r="B64" i="52"/>
  <c r="B63" i="52"/>
  <c r="B62" i="52"/>
  <c r="B61" i="52"/>
  <c r="B60" i="52"/>
  <c r="B59" i="52"/>
  <c r="B58" i="52"/>
  <c r="B56" i="52"/>
  <c r="F55" i="52"/>
  <c r="E55" i="52"/>
  <c r="D55" i="52"/>
  <c r="B55" i="52"/>
  <c r="B52" i="52"/>
  <c r="B51" i="52"/>
  <c r="B49" i="52"/>
  <c r="C47" i="52"/>
  <c r="B47" i="52"/>
  <c r="C46" i="52"/>
  <c r="B46" i="52"/>
  <c r="B45" i="52"/>
  <c r="B44" i="52"/>
  <c r="B42" i="52"/>
  <c r="B41" i="52"/>
  <c r="F40" i="52"/>
  <c r="E40" i="52"/>
  <c r="C40" i="52"/>
  <c r="B40" i="52"/>
  <c r="F38" i="52"/>
  <c r="D38" i="52"/>
  <c r="C38" i="52"/>
  <c r="B38" i="52"/>
  <c r="F37" i="52"/>
  <c r="D37" i="52"/>
  <c r="C37" i="52"/>
  <c r="B37" i="52"/>
  <c r="B31" i="52"/>
  <c r="B30" i="52"/>
  <c r="B29" i="52"/>
  <c r="B28" i="52"/>
  <c r="B27" i="52"/>
  <c r="B26" i="52"/>
  <c r="D25" i="52"/>
  <c r="C25" i="52"/>
  <c r="B25" i="52"/>
  <c r="D24" i="52"/>
  <c r="C24" i="52"/>
  <c r="B24" i="52"/>
  <c r="B22" i="52"/>
  <c r="B21" i="52"/>
  <c r="D15" i="52"/>
  <c r="C15" i="52"/>
  <c r="B15" i="52"/>
  <c r="D14" i="52"/>
  <c r="C14" i="52"/>
  <c r="B14" i="52"/>
  <c r="D13" i="52"/>
  <c r="C13" i="52"/>
  <c r="B13" i="52"/>
  <c r="D12" i="52"/>
  <c r="C12" i="52"/>
  <c r="B12" i="52"/>
  <c r="D11" i="52"/>
  <c r="C11" i="52"/>
  <c r="B11" i="52"/>
  <c r="F10" i="52"/>
  <c r="E10" i="52"/>
  <c r="D10" i="52"/>
  <c r="B10" i="52"/>
  <c r="F9" i="52"/>
  <c r="E9" i="52"/>
  <c r="D9" i="52"/>
  <c r="B9" i="52"/>
  <c r="C8" i="52"/>
  <c r="B8" i="52"/>
  <c r="B7" i="52"/>
  <c r="D112" i="51"/>
  <c r="C112" i="51"/>
  <c r="D111" i="51"/>
  <c r="C111" i="51"/>
  <c r="D110" i="51"/>
  <c r="C110" i="51"/>
  <c r="D109" i="51"/>
  <c r="C109" i="51"/>
  <c r="D107" i="51"/>
  <c r="C107" i="51"/>
  <c r="D106" i="51"/>
  <c r="C106" i="51"/>
  <c r="D105" i="51"/>
  <c r="C105" i="51"/>
  <c r="D104" i="51"/>
  <c r="C104" i="51"/>
  <c r="D103" i="51"/>
  <c r="C103" i="51"/>
  <c r="D102" i="51"/>
  <c r="C102" i="51"/>
  <c r="D98" i="51"/>
  <c r="C98" i="51"/>
  <c r="C97" i="51"/>
  <c r="D95" i="51"/>
  <c r="C95" i="51"/>
  <c r="D94" i="51"/>
  <c r="C94" i="51"/>
  <c r="D93" i="51"/>
  <c r="C93" i="51"/>
  <c r="D92" i="51"/>
  <c r="C92" i="51"/>
  <c r="D88" i="51"/>
  <c r="C88" i="51"/>
  <c r="D86" i="51"/>
  <c r="C86" i="51"/>
  <c r="D85" i="51"/>
  <c r="C85" i="51"/>
  <c r="D84" i="51"/>
  <c r="C84" i="51"/>
  <c r="D83" i="51"/>
  <c r="C83" i="51"/>
  <c r="D82" i="51"/>
  <c r="C82" i="51"/>
  <c r="D81" i="51"/>
  <c r="C81" i="51"/>
  <c r="D80" i="51"/>
  <c r="C80" i="51"/>
  <c r="D79" i="51"/>
  <c r="C79" i="51"/>
  <c r="D78" i="51"/>
  <c r="C78" i="51"/>
  <c r="D77" i="51"/>
  <c r="C77" i="51"/>
  <c r="D76" i="51"/>
  <c r="C76" i="51"/>
  <c r="D73" i="51"/>
  <c r="C73" i="51"/>
  <c r="D71" i="51"/>
  <c r="C71" i="51"/>
  <c r="D70" i="51"/>
  <c r="C70" i="51"/>
  <c r="D66" i="51"/>
  <c r="C66" i="51"/>
  <c r="C65" i="51"/>
  <c r="C64" i="51"/>
  <c r="C63" i="51"/>
  <c r="C62" i="51"/>
  <c r="D61" i="51"/>
  <c r="C61" i="51"/>
  <c r="D60" i="51"/>
  <c r="C60" i="51"/>
  <c r="D59" i="51"/>
  <c r="D58" i="51"/>
  <c r="C58" i="51"/>
  <c r="D57" i="51"/>
  <c r="C57" i="51"/>
  <c r="D53" i="51"/>
  <c r="C53" i="51"/>
  <c r="D47" i="51"/>
  <c r="C47" i="51"/>
  <c r="D46" i="51"/>
  <c r="C46" i="51"/>
  <c r="D45" i="51"/>
  <c r="C45" i="51"/>
  <c r="D44" i="51"/>
  <c r="C44" i="51"/>
  <c r="D43" i="51"/>
  <c r="C43" i="51"/>
  <c r="D42" i="51"/>
  <c r="C42" i="51"/>
  <c r="C41" i="51"/>
  <c r="D40" i="51"/>
  <c r="C40" i="51"/>
  <c r="D36" i="51"/>
  <c r="C36" i="51"/>
  <c r="D35" i="51"/>
  <c r="C35" i="51"/>
  <c r="D34" i="51"/>
  <c r="C34" i="51"/>
  <c r="D33" i="51"/>
  <c r="C33" i="51"/>
  <c r="D32" i="51"/>
  <c r="C32" i="51"/>
  <c r="D31" i="51"/>
  <c r="C31" i="51"/>
  <c r="D30" i="51"/>
  <c r="C30" i="51"/>
  <c r="D29" i="51"/>
  <c r="C29" i="51"/>
  <c r="D28" i="51"/>
  <c r="C28" i="51"/>
  <c r="D27" i="51"/>
  <c r="C27" i="51"/>
  <c r="D24" i="51"/>
  <c r="C24" i="51"/>
  <c r="D23" i="51"/>
  <c r="C23" i="51"/>
  <c r="D22" i="51"/>
  <c r="C22" i="51"/>
  <c r="D21" i="51"/>
  <c r="D20" i="51"/>
  <c r="C20" i="51"/>
  <c r="D19" i="51"/>
  <c r="C19" i="51"/>
  <c r="D18" i="51"/>
  <c r="C18" i="51"/>
  <c r="D17" i="51"/>
  <c r="C17" i="51"/>
  <c r="D16" i="51"/>
  <c r="C16" i="51"/>
  <c r="D15" i="51"/>
  <c r="C15" i="51"/>
  <c r="D14" i="51"/>
  <c r="C14" i="51"/>
  <c r="D13" i="51"/>
  <c r="C13" i="51"/>
  <c r="D12" i="51"/>
  <c r="C12" i="51"/>
  <c r="D10" i="51"/>
  <c r="C10" i="51"/>
  <c r="D9" i="51"/>
  <c r="C9" i="51"/>
  <c r="D8" i="51"/>
  <c r="C8" i="51"/>
  <c r="D6" i="51"/>
  <c r="C6" i="51"/>
  <c r="D4" i="51"/>
  <c r="C4" i="51"/>
  <c r="BM35" i="26"/>
  <c r="BP34" i="26"/>
  <c r="BN34" i="26"/>
  <c r="BI34" i="26"/>
  <c r="BH34" i="26"/>
  <c r="BG34" i="26"/>
  <c r="BF34" i="26"/>
  <c r="BE34" i="26"/>
  <c r="BD34" i="26"/>
  <c r="BC34" i="26"/>
  <c r="BA34" i="26"/>
  <c r="AZ34" i="26"/>
  <c r="AY34" i="26"/>
  <c r="AX34" i="26"/>
  <c r="AW34" i="26"/>
  <c r="AV34" i="26"/>
  <c r="AU34" i="26"/>
  <c r="AS34" i="26"/>
  <c r="AQ34" i="26"/>
  <c r="AP34" i="26"/>
  <c r="AO34" i="26"/>
  <c r="AM34" i="26"/>
  <c r="AL34" i="26"/>
  <c r="AK34" i="26"/>
  <c r="AI34" i="26"/>
  <c r="AG34" i="26"/>
  <c r="AE34" i="26"/>
  <c r="AC34" i="26"/>
  <c r="AA34" i="26"/>
  <c r="V34" i="26"/>
  <c r="U34" i="26"/>
  <c r="S34" i="26"/>
  <c r="R34" i="26"/>
  <c r="Q34" i="26"/>
  <c r="P34" i="26"/>
  <c r="O34" i="26"/>
  <c r="N34" i="26"/>
  <c r="M34" i="26"/>
  <c r="L34" i="26"/>
  <c r="K34" i="26"/>
  <c r="BU33" i="26"/>
  <c r="BU34" i="26" s="1"/>
  <c r="BT33" i="26"/>
  <c r="BT34" i="26" s="1"/>
  <c r="BR33" i="26"/>
  <c r="BR34" i="26" s="1"/>
  <c r="BO33" i="26"/>
  <c r="BO34" i="26" s="1"/>
  <c r="BK33" i="26"/>
  <c r="BJ33" i="26"/>
  <c r="BB33" i="26"/>
  <c r="AT33" i="26"/>
  <c r="AR33" i="26"/>
  <c r="AN33" i="26"/>
  <c r="AJ33" i="26"/>
  <c r="AH33" i="26"/>
  <c r="AF33" i="26"/>
  <c r="AD33" i="26"/>
  <c r="AB33" i="26"/>
  <c r="Y33" i="26"/>
  <c r="G33" i="26"/>
  <c r="H33" i="26" s="1"/>
  <c r="BV32" i="26"/>
  <c r="BK32" i="26"/>
  <c r="G32" i="26" s="1"/>
  <c r="H32" i="26" s="1"/>
  <c r="BJ32" i="26"/>
  <c r="BB32" i="26"/>
  <c r="AT32" i="26"/>
  <c r="AR32" i="26"/>
  <c r="AN32" i="26"/>
  <c r="AJ32" i="26"/>
  <c r="AH32" i="26"/>
  <c r="AF32" i="26"/>
  <c r="AD32" i="26"/>
  <c r="AB32" i="26"/>
  <c r="Z32" i="26"/>
  <c r="Y32" i="26"/>
  <c r="X32" i="26"/>
  <c r="W32" i="26"/>
  <c r="BV31" i="26"/>
  <c r="BK31" i="26"/>
  <c r="G31" i="26" s="1"/>
  <c r="H31" i="26" s="1"/>
  <c r="BJ31" i="26"/>
  <c r="BB31" i="26"/>
  <c r="AT31" i="26"/>
  <c r="AR31" i="26"/>
  <c r="AN31" i="26"/>
  <c r="AJ31" i="26"/>
  <c r="AH31" i="26"/>
  <c r="AF31" i="26"/>
  <c r="AD31" i="26"/>
  <c r="AB31" i="26"/>
  <c r="Z31" i="26"/>
  <c r="Y31" i="26"/>
  <c r="X31" i="26"/>
  <c r="W31" i="26"/>
  <c r="BV30" i="26"/>
  <c r="BK30" i="26"/>
  <c r="G30" i="26" s="1"/>
  <c r="BJ30" i="26"/>
  <c r="BB30" i="26"/>
  <c r="AT30" i="26"/>
  <c r="AR30" i="26"/>
  <c r="AN30" i="26"/>
  <c r="AJ30" i="26"/>
  <c r="AH30" i="26"/>
  <c r="AF30" i="26"/>
  <c r="AD30" i="26"/>
  <c r="AB30" i="26"/>
  <c r="Z30" i="26"/>
  <c r="Y30" i="26"/>
  <c r="W30" i="26"/>
  <c r="BV29" i="26"/>
  <c r="BS29" i="26"/>
  <c r="BK29" i="26"/>
  <c r="G29" i="26" s="1"/>
  <c r="H29" i="26" s="1"/>
  <c r="BB29" i="26"/>
  <c r="AT29" i="26"/>
  <c r="AR29" i="26"/>
  <c r="AN29" i="26"/>
  <c r="AJ29" i="26"/>
  <c r="AH29" i="26"/>
  <c r="AF29" i="26"/>
  <c r="AD29" i="26"/>
  <c r="AB29" i="26"/>
  <c r="Z29" i="26"/>
  <c r="Y29" i="26"/>
  <c r="X29" i="26"/>
  <c r="W29" i="26"/>
  <c r="BV28" i="26"/>
  <c r="BS28" i="26"/>
  <c r="BK28" i="26"/>
  <c r="BB28" i="26"/>
  <c r="AT28" i="26"/>
  <c r="AR28" i="26"/>
  <c r="AN28" i="26"/>
  <c r="AJ28" i="26"/>
  <c r="AH28" i="26"/>
  <c r="AF28" i="26"/>
  <c r="AD28" i="26"/>
  <c r="AB28" i="26"/>
  <c r="BU27" i="26"/>
  <c r="BT27" i="26"/>
  <c r="BR27" i="26"/>
  <c r="BQ27" i="26"/>
  <c r="BO27" i="26"/>
  <c r="BN27" i="26"/>
  <c r="BI27" i="26"/>
  <c r="BH27" i="26"/>
  <c r="BG27" i="26"/>
  <c r="BF27" i="26"/>
  <c r="BE27" i="26"/>
  <c r="BD27" i="26"/>
  <c r="BC27" i="26"/>
  <c r="BA27" i="26"/>
  <c r="AZ27" i="26"/>
  <c r="AY27" i="26"/>
  <c r="AX27" i="26"/>
  <c r="AW27" i="26"/>
  <c r="AV27" i="26"/>
  <c r="AU27" i="26"/>
  <c r="AS27" i="26"/>
  <c r="AQ27" i="26"/>
  <c r="AP27" i="26"/>
  <c r="AO27" i="26"/>
  <c r="AM27" i="26"/>
  <c r="AL27" i="26"/>
  <c r="AK27" i="26"/>
  <c r="AI27" i="26"/>
  <c r="AG27" i="26"/>
  <c r="AE27" i="26"/>
  <c r="AC27" i="26"/>
  <c r="AA27" i="26"/>
  <c r="U27" i="26"/>
  <c r="T27" i="26"/>
  <c r="S27" i="26"/>
  <c r="R27" i="26"/>
  <c r="Q27" i="26"/>
  <c r="P27" i="26"/>
  <c r="O27" i="26"/>
  <c r="N27" i="26"/>
  <c r="M27" i="26"/>
  <c r="L27" i="26"/>
  <c r="K27" i="26"/>
  <c r="BV26" i="26"/>
  <c r="BK26" i="26"/>
  <c r="G26" i="26" s="1"/>
  <c r="BJ26" i="26"/>
  <c r="BB26" i="26"/>
  <c r="AT26" i="26"/>
  <c r="AR26" i="26"/>
  <c r="AN26" i="26"/>
  <c r="AJ26" i="26"/>
  <c r="AH26" i="26"/>
  <c r="AF26" i="26"/>
  <c r="AD26" i="26"/>
  <c r="AB26" i="26"/>
  <c r="Y26" i="26"/>
  <c r="X26" i="26"/>
  <c r="W26" i="26"/>
  <c r="BV25" i="26"/>
  <c r="BK25" i="26"/>
  <c r="G25" i="26" s="1"/>
  <c r="V25" i="26" s="1"/>
  <c r="Z25" i="26" s="1"/>
  <c r="BJ25" i="26"/>
  <c r="BB25" i="26"/>
  <c r="AT25" i="26"/>
  <c r="AR25" i="26"/>
  <c r="AN25" i="26"/>
  <c r="AJ25" i="26"/>
  <c r="AH25" i="26"/>
  <c r="AF25" i="26"/>
  <c r="AD25" i="26"/>
  <c r="AB25" i="26"/>
  <c r="Y25" i="26"/>
  <c r="X25" i="26"/>
  <c r="W25" i="26"/>
  <c r="BV24" i="26"/>
  <c r="BS24" i="26"/>
  <c r="BK24" i="26"/>
  <c r="G24" i="26" s="1"/>
  <c r="BJ24" i="26"/>
  <c r="BB24" i="26"/>
  <c r="AT24" i="26"/>
  <c r="AR24" i="26"/>
  <c r="AN24" i="26"/>
  <c r="AJ24" i="26"/>
  <c r="AH24" i="26"/>
  <c r="AF24" i="26"/>
  <c r="AD24" i="26"/>
  <c r="AB24" i="26"/>
  <c r="BK23" i="26"/>
  <c r="BB23" i="26"/>
  <c r="AT23" i="26"/>
  <c r="AR23" i="26"/>
  <c r="AN23" i="26"/>
  <c r="AJ23" i="26"/>
  <c r="AH23" i="26"/>
  <c r="AF23" i="26"/>
  <c r="AD23" i="26"/>
  <c r="AB23" i="26"/>
  <c r="BU22" i="26"/>
  <c r="BT22" i="26"/>
  <c r="BR22" i="26"/>
  <c r="BQ22" i="26"/>
  <c r="BO22" i="26"/>
  <c r="BN22" i="26"/>
  <c r="BI22" i="26"/>
  <c r="BH22" i="26"/>
  <c r="BG22" i="26"/>
  <c r="BF22" i="26"/>
  <c r="BE22" i="26"/>
  <c r="BD22" i="26"/>
  <c r="BC22" i="26"/>
  <c r="BA22" i="26"/>
  <c r="AZ22" i="26"/>
  <c r="AY22" i="26"/>
  <c r="AX22" i="26"/>
  <c r="AW22" i="26"/>
  <c r="AV22" i="26"/>
  <c r="AU22" i="26"/>
  <c r="AS22" i="26"/>
  <c r="AQ22" i="26"/>
  <c r="AP22" i="26"/>
  <c r="AO22" i="26"/>
  <c r="AM22" i="26"/>
  <c r="AL22" i="26"/>
  <c r="AK22" i="26"/>
  <c r="AI22" i="26"/>
  <c r="AG22" i="26"/>
  <c r="AE22" i="26"/>
  <c r="AC22" i="26"/>
  <c r="AA22" i="26"/>
  <c r="V22" i="26"/>
  <c r="T22" i="26"/>
  <c r="S22" i="26"/>
  <c r="R22" i="26"/>
  <c r="Q22" i="26"/>
  <c r="P22" i="26"/>
  <c r="O22" i="26"/>
  <c r="N22" i="26"/>
  <c r="M22" i="26"/>
  <c r="L22" i="26"/>
  <c r="K22" i="26"/>
  <c r="BV21" i="26"/>
  <c r="BK21" i="26"/>
  <c r="G21" i="26" s="1"/>
  <c r="BJ21" i="26"/>
  <c r="BB21" i="26"/>
  <c r="AT21" i="26"/>
  <c r="AR21" i="26"/>
  <c r="AN21" i="26"/>
  <c r="AJ21" i="26"/>
  <c r="AH21" i="26"/>
  <c r="AF21" i="26"/>
  <c r="AD21" i="26"/>
  <c r="AB21" i="26"/>
  <c r="Z21" i="26"/>
  <c r="X21" i="26"/>
  <c r="W21" i="26"/>
  <c r="BV20" i="26"/>
  <c r="BK20" i="26"/>
  <c r="BK22" i="26" s="1"/>
  <c r="BJ20" i="26"/>
  <c r="BB20" i="26"/>
  <c r="AT20" i="26"/>
  <c r="AR20" i="26"/>
  <c r="AN20" i="26"/>
  <c r="AJ20" i="26"/>
  <c r="AH20" i="26"/>
  <c r="AF20" i="26"/>
  <c r="AD20" i="26"/>
  <c r="AB20" i="26"/>
  <c r="Z20" i="26"/>
  <c r="X20" i="26"/>
  <c r="W20" i="26"/>
  <c r="Y20" i="26"/>
  <c r="H20" i="26"/>
  <c r="I20" i="26" s="1"/>
  <c r="BV19" i="26"/>
  <c r="BS19" i="26"/>
  <c r="BK19" i="26"/>
  <c r="BB19" i="26"/>
  <c r="AT19" i="26"/>
  <c r="AR19" i="26"/>
  <c r="AJ19" i="26"/>
  <c r="AH19" i="26"/>
  <c r="AF19" i="26"/>
  <c r="AD19" i="26"/>
  <c r="AB19" i="26"/>
  <c r="BU18" i="26"/>
  <c r="BT18" i="26"/>
  <c r="BR18" i="26"/>
  <c r="BQ18" i="26"/>
  <c r="BO18" i="26"/>
  <c r="BN18" i="26"/>
  <c r="BI18" i="26"/>
  <c r="BG18" i="26"/>
  <c r="BE18" i="26"/>
  <c r="BC18" i="26"/>
  <c r="BA18" i="26"/>
  <c r="AY18" i="26"/>
  <c r="AW18" i="26"/>
  <c r="AU18" i="26"/>
  <c r="AS18" i="26"/>
  <c r="AQ18" i="26"/>
  <c r="AO18" i="26"/>
  <c r="AM18" i="26"/>
  <c r="AK18" i="26"/>
  <c r="AI18" i="26"/>
  <c r="AG18" i="26"/>
  <c r="AE18" i="26"/>
  <c r="AC18" i="26"/>
  <c r="AA18" i="26"/>
  <c r="R18" i="26"/>
  <c r="Q18" i="26"/>
  <c r="P18" i="26"/>
  <c r="O18" i="26"/>
  <c r="N18" i="26"/>
  <c r="M18" i="26"/>
  <c r="L18" i="26"/>
  <c r="K18" i="26"/>
  <c r="BV17" i="26"/>
  <c r="BK17" i="26"/>
  <c r="G17" i="26" s="1"/>
  <c r="U17" i="26" s="1"/>
  <c r="Y17" i="26" s="1"/>
  <c r="BJ17" i="26"/>
  <c r="BJ18" i="26" s="1"/>
  <c r="BB17" i="26"/>
  <c r="AT17" i="26"/>
  <c r="AR17" i="26"/>
  <c r="AN17" i="26"/>
  <c r="AJ17" i="26"/>
  <c r="AH17" i="26"/>
  <c r="AF17" i="26"/>
  <c r="AD17" i="26"/>
  <c r="AB17" i="26"/>
  <c r="Z17" i="26"/>
  <c r="X17" i="26"/>
  <c r="W17" i="26"/>
  <c r="BV16" i="26"/>
  <c r="BK16" i="26"/>
  <c r="BH16" i="26"/>
  <c r="BH18" i="26" s="1"/>
  <c r="BF16" i="26"/>
  <c r="BF18" i="26" s="1"/>
  <c r="BD16" i="26"/>
  <c r="BD18" i="26" s="1"/>
  <c r="BB16" i="26"/>
  <c r="AZ16" i="26"/>
  <c r="AZ18" i="26" s="1"/>
  <c r="AX16" i="26"/>
  <c r="AX18" i="26" s="1"/>
  <c r="AV16" i="26"/>
  <c r="AV18" i="26" s="1"/>
  <c r="AT16" i="26"/>
  <c r="AR16" i="26"/>
  <c r="AP16" i="26"/>
  <c r="AP18" i="26" s="1"/>
  <c r="AN16" i="26"/>
  <c r="AL16" i="26"/>
  <c r="AL18" i="26" s="1"/>
  <c r="AJ16" i="26"/>
  <c r="AH16" i="26"/>
  <c r="AF16" i="26"/>
  <c r="AD16" i="26"/>
  <c r="AB16" i="26"/>
  <c r="G16" i="26"/>
  <c r="H16" i="26" s="1"/>
  <c r="BV15" i="26"/>
  <c r="BS15" i="26"/>
  <c r="BU14" i="26"/>
  <c r="BT14" i="26"/>
  <c r="BR14" i="26"/>
  <c r="BQ14" i="26"/>
  <c r="BO14" i="26"/>
  <c r="BN14" i="26"/>
  <c r="BI14" i="26"/>
  <c r="BG14" i="26"/>
  <c r="BE14" i="26"/>
  <c r="BC14" i="26"/>
  <c r="BA14" i="26"/>
  <c r="AY14" i="26"/>
  <c r="AW14" i="26"/>
  <c r="AU14" i="26"/>
  <c r="AS14" i="26"/>
  <c r="AQ14" i="26"/>
  <c r="AO14" i="26"/>
  <c r="AM14" i="26"/>
  <c r="AK14" i="26"/>
  <c r="AI14" i="26"/>
  <c r="AG14" i="26"/>
  <c r="AE14" i="26"/>
  <c r="AC14" i="26"/>
  <c r="AA14" i="26"/>
  <c r="R14" i="26"/>
  <c r="Q14" i="26"/>
  <c r="P14" i="26"/>
  <c r="O14" i="26"/>
  <c r="N14" i="26"/>
  <c r="M14" i="26"/>
  <c r="L14" i="26"/>
  <c r="K14" i="26"/>
  <c r="BV13" i="26"/>
  <c r="BK13" i="26"/>
  <c r="G13" i="26" s="1"/>
  <c r="V13" i="26" s="1"/>
  <c r="BJ13" i="26"/>
  <c r="BH13" i="26"/>
  <c r="BH14" i="26" s="1"/>
  <c r="BF13" i="26"/>
  <c r="BF14" i="26" s="1"/>
  <c r="BD13" i="26"/>
  <c r="BD14" i="26" s="1"/>
  <c r="BB13" i="26"/>
  <c r="AZ13" i="26"/>
  <c r="AZ14" i="26" s="1"/>
  <c r="AX13" i="26"/>
  <c r="AX14" i="26" s="1"/>
  <c r="AV13" i="26"/>
  <c r="AV14" i="26" s="1"/>
  <c r="AT13" i="26"/>
  <c r="AR13" i="26"/>
  <c r="AP13" i="26"/>
  <c r="AP14" i="26" s="1"/>
  <c r="AN13" i="26"/>
  <c r="AL13" i="26"/>
  <c r="AL14" i="26" s="1"/>
  <c r="AJ13" i="26"/>
  <c r="AF13" i="26"/>
  <c r="AD13" i="26"/>
  <c r="AB13" i="26"/>
  <c r="BV12" i="26"/>
  <c r="BK12" i="26"/>
  <c r="BJ12" i="26"/>
  <c r="BB12" i="26"/>
  <c r="AT12" i="26"/>
  <c r="AR12" i="26"/>
  <c r="AN12" i="26"/>
  <c r="AJ12" i="26"/>
  <c r="AH12" i="26"/>
  <c r="AH14" i="26" s="1"/>
  <c r="AF12" i="26"/>
  <c r="AD12" i="26"/>
  <c r="AD14" i="26" s="1"/>
  <c r="AB12" i="26"/>
  <c r="BV11" i="26"/>
  <c r="BS11" i="26"/>
  <c r="BV10" i="26"/>
  <c r="BS10" i="26"/>
  <c r="BP55" i="25"/>
  <c r="BM55" i="25"/>
  <c r="BL55" i="25"/>
  <c r="BH55" i="25"/>
  <c r="BF55" i="25"/>
  <c r="BB55" i="25"/>
  <c r="AZ55" i="25"/>
  <c r="AX55" i="25"/>
  <c r="AV55" i="25"/>
  <c r="AT55" i="25"/>
  <c r="AR55" i="25"/>
  <c r="AP55" i="25"/>
  <c r="AN55" i="25"/>
  <c r="AL55" i="25"/>
  <c r="AJ55" i="25"/>
  <c r="AH55" i="25"/>
  <c r="AF55" i="25"/>
  <c r="AD55" i="25"/>
  <c r="AB55" i="25"/>
  <c r="Z55" i="25"/>
  <c r="Q55" i="25"/>
  <c r="P55" i="25"/>
  <c r="O55" i="25"/>
  <c r="N55" i="25"/>
  <c r="M55" i="25"/>
  <c r="L55" i="25"/>
  <c r="K55" i="25"/>
  <c r="J55" i="25"/>
  <c r="BR54" i="25"/>
  <c r="BI54" i="25"/>
  <c r="BG54" i="25"/>
  <c r="BD54" i="25"/>
  <c r="BD55" i="25" s="1"/>
  <c r="BC54" i="25"/>
  <c r="BA54" i="25"/>
  <c r="AY54" i="25"/>
  <c r="AW54" i="25"/>
  <c r="AU54" i="25"/>
  <c r="AS54" i="25"/>
  <c r="AQ54" i="25"/>
  <c r="AO54" i="25"/>
  <c r="AM54" i="25"/>
  <c r="AK54" i="25"/>
  <c r="AI54" i="25"/>
  <c r="AG54" i="25"/>
  <c r="AE54" i="25"/>
  <c r="AC54" i="25"/>
  <c r="AA54" i="25"/>
  <c r="BS53" i="25"/>
  <c r="BS55" i="25" s="1"/>
  <c r="BQ53" i="25"/>
  <c r="BQ55" i="25" s="1"/>
  <c r="BO53" i="25"/>
  <c r="BO55" i="25" s="1"/>
  <c r="BN53" i="25"/>
  <c r="BN55" i="25" s="1"/>
  <c r="BJ53" i="25"/>
  <c r="F53" i="25" s="1"/>
  <c r="BI53" i="25"/>
  <c r="BG53" i="25"/>
  <c r="BE53" i="25"/>
  <c r="BC53" i="25"/>
  <c r="BA53" i="25"/>
  <c r="AY53" i="25"/>
  <c r="AW53" i="25"/>
  <c r="AU53" i="25"/>
  <c r="AS53" i="25"/>
  <c r="AQ53" i="25"/>
  <c r="AO53" i="25"/>
  <c r="AM53" i="25"/>
  <c r="AK53" i="25"/>
  <c r="AI53" i="25"/>
  <c r="AG53" i="25"/>
  <c r="AE53" i="25"/>
  <c r="AC53" i="25"/>
  <c r="AA53" i="25"/>
  <c r="BR52" i="25"/>
  <c r="BJ52" i="25"/>
  <c r="F52" i="25" s="1"/>
  <c r="BI52" i="25"/>
  <c r="BG52" i="25"/>
  <c r="BE52" i="25"/>
  <c r="BC52" i="25"/>
  <c r="BA52" i="25"/>
  <c r="AY52" i="25"/>
  <c r="AW52" i="25"/>
  <c r="AU52" i="25"/>
  <c r="AS52" i="25"/>
  <c r="AQ52" i="25"/>
  <c r="AO52" i="25"/>
  <c r="AM52" i="25"/>
  <c r="AK52" i="25"/>
  <c r="AI52" i="25"/>
  <c r="AG52" i="25"/>
  <c r="AE52" i="25"/>
  <c r="AC52" i="25"/>
  <c r="AA52" i="25"/>
  <c r="Y52" i="25"/>
  <c r="X52" i="25"/>
  <c r="V52" i="25"/>
  <c r="BJ51" i="25"/>
  <c r="F51" i="25" s="1"/>
  <c r="U51" i="25" s="1"/>
  <c r="Y51" i="25" s="1"/>
  <c r="BI51" i="25"/>
  <c r="BG51" i="25"/>
  <c r="BE51" i="25"/>
  <c r="BC51" i="25"/>
  <c r="BA51" i="25"/>
  <c r="AY51" i="25"/>
  <c r="AW51" i="25"/>
  <c r="AU51" i="25"/>
  <c r="AS51" i="25"/>
  <c r="AQ51" i="25"/>
  <c r="AO51" i="25"/>
  <c r="AM51" i="25"/>
  <c r="AK51" i="25"/>
  <c r="AI51" i="25"/>
  <c r="AG51" i="25"/>
  <c r="AE51" i="25"/>
  <c r="AC51" i="25"/>
  <c r="AA51" i="25"/>
  <c r="BJ50" i="25"/>
  <c r="F50" i="25" s="1"/>
  <c r="BI50" i="25"/>
  <c r="BG50" i="25"/>
  <c r="BE50" i="25"/>
  <c r="BC50" i="25"/>
  <c r="BA50" i="25"/>
  <c r="AY50" i="25"/>
  <c r="AW50" i="25"/>
  <c r="AU50" i="25"/>
  <c r="AS50" i="25"/>
  <c r="AQ50" i="25"/>
  <c r="AO50" i="25"/>
  <c r="AM50" i="25"/>
  <c r="AK50" i="25"/>
  <c r="AI50" i="25"/>
  <c r="AG50" i="25"/>
  <c r="AE50" i="25"/>
  <c r="AC50" i="25"/>
  <c r="AA50" i="25"/>
  <c r="BT48" i="25"/>
  <c r="BQ48" i="25"/>
  <c r="BP48" i="25"/>
  <c r="BO48" i="25"/>
  <c r="BN48" i="25"/>
  <c r="BM48" i="25"/>
  <c r="BL48" i="25"/>
  <c r="BH48" i="25"/>
  <c r="BF48" i="25"/>
  <c r="BD48" i="25"/>
  <c r="BB48" i="25"/>
  <c r="AZ48" i="25"/>
  <c r="AX48" i="25"/>
  <c r="AV48" i="25"/>
  <c r="AT48" i="25"/>
  <c r="AR48" i="25"/>
  <c r="AP48" i="25"/>
  <c r="AN48" i="25"/>
  <c r="AL48" i="25"/>
  <c r="AJ48" i="25"/>
  <c r="AH48" i="25"/>
  <c r="AF48" i="25"/>
  <c r="AD48" i="25"/>
  <c r="AB48" i="25"/>
  <c r="Z48" i="25"/>
  <c r="Q48" i="25"/>
  <c r="P48" i="25"/>
  <c r="O48" i="25"/>
  <c r="N48" i="25"/>
  <c r="M48" i="25"/>
  <c r="L48" i="25"/>
  <c r="K48" i="25"/>
  <c r="J48" i="25"/>
  <c r="BR47" i="25"/>
  <c r="BJ47" i="25"/>
  <c r="F47" i="25" s="1"/>
  <c r="R47" i="25" s="1"/>
  <c r="V47" i="25" s="1"/>
  <c r="BI47" i="25"/>
  <c r="BG47" i="25"/>
  <c r="BE47" i="25"/>
  <c r="BC47" i="25"/>
  <c r="BA47" i="25"/>
  <c r="AY47" i="25"/>
  <c r="AW47" i="25"/>
  <c r="AU47" i="25"/>
  <c r="AS47" i="25"/>
  <c r="AQ47" i="25"/>
  <c r="AO47" i="25"/>
  <c r="AM47" i="25"/>
  <c r="AK47" i="25"/>
  <c r="AI47" i="25"/>
  <c r="AG47" i="25"/>
  <c r="AE47" i="25"/>
  <c r="AC47" i="25"/>
  <c r="AA47" i="25"/>
  <c r="BR46" i="25"/>
  <c r="BJ46" i="25"/>
  <c r="F46" i="25" s="1"/>
  <c r="BI46" i="25"/>
  <c r="BG46" i="25"/>
  <c r="BE46" i="25"/>
  <c r="BC46" i="25"/>
  <c r="BA46" i="25"/>
  <c r="AY46" i="25"/>
  <c r="AW46" i="25"/>
  <c r="AU46" i="25"/>
  <c r="AS46" i="25"/>
  <c r="AQ46" i="25"/>
  <c r="AO46" i="25"/>
  <c r="AM46" i="25"/>
  <c r="AK46" i="25"/>
  <c r="AI46" i="25"/>
  <c r="AG46" i="25"/>
  <c r="AE46" i="25"/>
  <c r="AC46" i="25"/>
  <c r="AA46" i="25"/>
  <c r="BR45" i="25"/>
  <c r="BJ45" i="25"/>
  <c r="F45" i="25" s="1"/>
  <c r="BI45" i="25"/>
  <c r="BG45" i="25"/>
  <c r="BE45" i="25"/>
  <c r="BC45" i="25"/>
  <c r="BA45" i="25"/>
  <c r="AY45" i="25"/>
  <c r="AW45" i="25"/>
  <c r="AU45" i="25"/>
  <c r="AS45" i="25"/>
  <c r="AQ45" i="25"/>
  <c r="AO45" i="25"/>
  <c r="AM45" i="25"/>
  <c r="AK45" i="25"/>
  <c r="AI45" i="25"/>
  <c r="AG45" i="25"/>
  <c r="AE45" i="25"/>
  <c r="AC45" i="25"/>
  <c r="AA45" i="25"/>
  <c r="BR44" i="25"/>
  <c r="BJ44" i="25"/>
  <c r="F44" i="25" s="1"/>
  <c r="E44" i="25"/>
  <c r="AW44" i="25" s="1"/>
  <c r="BR43" i="25"/>
  <c r="BJ43" i="25"/>
  <c r="F43" i="25" s="1"/>
  <c r="BI43" i="25"/>
  <c r="BG43" i="25"/>
  <c r="BE43" i="25"/>
  <c r="BC43" i="25"/>
  <c r="BA43" i="25"/>
  <c r="AY43" i="25"/>
  <c r="AW43" i="25"/>
  <c r="AU43" i="25"/>
  <c r="AS43" i="25"/>
  <c r="AQ43" i="25"/>
  <c r="AO43" i="25"/>
  <c r="AM43" i="25"/>
  <c r="AK43" i="25"/>
  <c r="AI43" i="25"/>
  <c r="AG43" i="25"/>
  <c r="AE43" i="25"/>
  <c r="AC43" i="25"/>
  <c r="AA43" i="25"/>
  <c r="BR42" i="25"/>
  <c r="BJ42" i="25"/>
  <c r="F42" i="25" s="1"/>
  <c r="BI42" i="25"/>
  <c r="BG42" i="25"/>
  <c r="BE42" i="25"/>
  <c r="BC42" i="25"/>
  <c r="BA42" i="25"/>
  <c r="AY42" i="25"/>
  <c r="AW42" i="25"/>
  <c r="AU42" i="25"/>
  <c r="AS42" i="25"/>
  <c r="AQ42" i="25"/>
  <c r="AO42" i="25"/>
  <c r="AM42" i="25"/>
  <c r="AK42" i="25"/>
  <c r="AI42" i="25"/>
  <c r="AG42" i="25"/>
  <c r="AE42" i="25"/>
  <c r="AC42" i="25"/>
  <c r="AA42" i="25"/>
  <c r="BR41" i="25"/>
  <c r="BJ41" i="25"/>
  <c r="F41" i="25" s="1"/>
  <c r="BI41" i="25"/>
  <c r="BG41" i="25"/>
  <c r="BE41" i="25"/>
  <c r="BC41" i="25"/>
  <c r="BA41" i="25"/>
  <c r="AY41" i="25"/>
  <c r="AW41" i="25"/>
  <c r="AU41" i="25"/>
  <c r="AS41" i="25"/>
  <c r="AQ41" i="25"/>
  <c r="AO41" i="25"/>
  <c r="AM41" i="25"/>
  <c r="AK41" i="25"/>
  <c r="AI41" i="25"/>
  <c r="AG41" i="25"/>
  <c r="AE41" i="25"/>
  <c r="AC41" i="25"/>
  <c r="AA41" i="25"/>
  <c r="BR40" i="25"/>
  <c r="BJ40" i="25"/>
  <c r="F40" i="25" s="1"/>
  <c r="BI40" i="25"/>
  <c r="BG40" i="25"/>
  <c r="BE40" i="25"/>
  <c r="BC40" i="25"/>
  <c r="BA40" i="25"/>
  <c r="AY40" i="25"/>
  <c r="AW40" i="25"/>
  <c r="AU40" i="25"/>
  <c r="AS40" i="25"/>
  <c r="AQ40" i="25"/>
  <c r="AO40" i="25"/>
  <c r="AM40" i="25"/>
  <c r="AK40" i="25"/>
  <c r="AI40" i="25"/>
  <c r="AG40" i="25"/>
  <c r="AE40" i="25"/>
  <c r="AC40" i="25"/>
  <c r="AA40" i="25"/>
  <c r="BR39" i="25"/>
  <c r="BJ39" i="25"/>
  <c r="F39" i="25" s="1"/>
  <c r="BI39" i="25"/>
  <c r="BG39" i="25"/>
  <c r="BE39" i="25"/>
  <c r="BC39" i="25"/>
  <c r="BA39" i="25"/>
  <c r="AY39" i="25"/>
  <c r="AW39" i="25"/>
  <c r="AU39" i="25"/>
  <c r="AS39" i="25"/>
  <c r="AQ39" i="25"/>
  <c r="AO39" i="25"/>
  <c r="AM39" i="25"/>
  <c r="AK39" i="25"/>
  <c r="AI39" i="25"/>
  <c r="AG39" i="25"/>
  <c r="AE39" i="25"/>
  <c r="AC39" i="25"/>
  <c r="AA39" i="25"/>
  <c r="BR38" i="25"/>
  <c r="BJ38" i="25"/>
  <c r="F38" i="25" s="1"/>
  <c r="BI38" i="25"/>
  <c r="BG38" i="25"/>
  <c r="BE38" i="25"/>
  <c r="BC38" i="25"/>
  <c r="BA38" i="25"/>
  <c r="AY38" i="25"/>
  <c r="AW38" i="25"/>
  <c r="AU38" i="25"/>
  <c r="AS38" i="25"/>
  <c r="AQ38" i="25"/>
  <c r="AO38" i="25"/>
  <c r="AM38" i="25"/>
  <c r="AK38" i="25"/>
  <c r="AI38" i="25"/>
  <c r="AG38" i="25"/>
  <c r="AE38" i="25"/>
  <c r="AC38" i="25"/>
  <c r="AA38" i="25"/>
  <c r="BR37" i="25"/>
  <c r="BJ37" i="25"/>
  <c r="F37" i="25" s="1"/>
  <c r="BI37" i="25"/>
  <c r="BG37" i="25"/>
  <c r="BE37" i="25"/>
  <c r="BC37" i="25"/>
  <c r="BA37" i="25"/>
  <c r="AY37" i="25"/>
  <c r="AW37" i="25"/>
  <c r="AU37" i="25"/>
  <c r="AS37" i="25"/>
  <c r="AQ37" i="25"/>
  <c r="AO37" i="25"/>
  <c r="AM37" i="25"/>
  <c r="AK37" i="25"/>
  <c r="AI37" i="25"/>
  <c r="AG37" i="25"/>
  <c r="AE37" i="25"/>
  <c r="AC37" i="25"/>
  <c r="AA37" i="25"/>
  <c r="BR36" i="25"/>
  <c r="BJ36" i="25"/>
  <c r="F36" i="25" s="1"/>
  <c r="BI36" i="25"/>
  <c r="BG36" i="25"/>
  <c r="BE36" i="25"/>
  <c r="BC36" i="25"/>
  <c r="BA36" i="25"/>
  <c r="AY36" i="25"/>
  <c r="AW36" i="25"/>
  <c r="AU36" i="25"/>
  <c r="AS36" i="25"/>
  <c r="AQ36" i="25"/>
  <c r="AO36" i="25"/>
  <c r="AM36" i="25"/>
  <c r="AK36" i="25"/>
  <c r="AI36" i="25"/>
  <c r="AG36" i="25"/>
  <c r="AE36" i="25"/>
  <c r="AC36" i="25"/>
  <c r="AA36" i="25"/>
  <c r="BR35" i="25"/>
  <c r="BJ35" i="25"/>
  <c r="F35" i="25" s="1"/>
  <c r="U35" i="25" s="1"/>
  <c r="Y35" i="25" s="1"/>
  <c r="BI35" i="25"/>
  <c r="BG35" i="25"/>
  <c r="BE35" i="25"/>
  <c r="BC35" i="25"/>
  <c r="BA35" i="25"/>
  <c r="AY35" i="25"/>
  <c r="AW35" i="25"/>
  <c r="AU35" i="25"/>
  <c r="AS35" i="25"/>
  <c r="AQ35" i="25"/>
  <c r="AO35" i="25"/>
  <c r="AM35" i="25"/>
  <c r="AK35" i="25"/>
  <c r="AI35" i="25"/>
  <c r="AG35" i="25"/>
  <c r="AE35" i="25"/>
  <c r="AC35" i="25"/>
  <c r="AA35" i="25"/>
  <c r="BR34" i="25"/>
  <c r="BJ34" i="25"/>
  <c r="F34" i="25" s="1"/>
  <c r="BI34" i="25"/>
  <c r="BG34" i="25"/>
  <c r="BE34" i="25"/>
  <c r="BC34" i="25"/>
  <c r="BA34" i="25"/>
  <c r="AY34" i="25"/>
  <c r="AW34" i="25"/>
  <c r="AU34" i="25"/>
  <c r="AS34" i="25"/>
  <c r="AQ34" i="25"/>
  <c r="AO34" i="25"/>
  <c r="AM34" i="25"/>
  <c r="AK34" i="25"/>
  <c r="AI34" i="25"/>
  <c r="AG34" i="25"/>
  <c r="AE34" i="25"/>
  <c r="AC34" i="25"/>
  <c r="AA34" i="25"/>
  <c r="BU33" i="25"/>
  <c r="BP33" i="25"/>
  <c r="BR33" i="25" s="1"/>
  <c r="BU32" i="25"/>
  <c r="BP32" i="25"/>
  <c r="BR32" i="25" s="1"/>
  <c r="BU31" i="25"/>
  <c r="BP31" i="25"/>
  <c r="BR31" i="25" s="1"/>
  <c r="BO30" i="25"/>
  <c r="BN30" i="25"/>
  <c r="BM30" i="25"/>
  <c r="BL30" i="25"/>
  <c r="BH30" i="25"/>
  <c r="BF30" i="25"/>
  <c r="BD30" i="25"/>
  <c r="BB30" i="25"/>
  <c r="AZ30" i="25"/>
  <c r="AX30" i="25"/>
  <c r="AV30" i="25"/>
  <c r="AT30" i="25"/>
  <c r="AT56" i="25" s="1"/>
  <c r="Y27" i="39" s="1"/>
  <c r="AR30" i="25"/>
  <c r="AP30" i="25"/>
  <c r="AN30" i="25"/>
  <c r="AL30" i="25"/>
  <c r="AJ30" i="25"/>
  <c r="AH30" i="25"/>
  <c r="AF30" i="25"/>
  <c r="AD30" i="25"/>
  <c r="AB30" i="25"/>
  <c r="Z30" i="25"/>
  <c r="Q30" i="25"/>
  <c r="P30" i="25"/>
  <c r="O30" i="25"/>
  <c r="N30" i="25"/>
  <c r="M30" i="25"/>
  <c r="L30" i="25"/>
  <c r="K30" i="25"/>
  <c r="J30" i="25"/>
  <c r="BU29" i="25"/>
  <c r="BJ29" i="25"/>
  <c r="F29" i="25" s="1"/>
  <c r="BI29" i="25"/>
  <c r="BG29" i="25"/>
  <c r="BE29" i="25"/>
  <c r="BC29" i="25"/>
  <c r="BA29" i="25"/>
  <c r="AY29" i="25"/>
  <c r="AW29" i="25"/>
  <c r="AU29" i="25"/>
  <c r="AS29" i="25"/>
  <c r="AQ29" i="25"/>
  <c r="AO29" i="25"/>
  <c r="AM29" i="25"/>
  <c r="AK29" i="25"/>
  <c r="AI29" i="25"/>
  <c r="AG29" i="25"/>
  <c r="AE29" i="25"/>
  <c r="AC29" i="25"/>
  <c r="AA29" i="25"/>
  <c r="Y29" i="25"/>
  <c r="X29" i="25"/>
  <c r="V29" i="25"/>
  <c r="BU28" i="25"/>
  <c r="BJ28" i="25"/>
  <c r="F28" i="25" s="1"/>
  <c r="BI28" i="25"/>
  <c r="BG28" i="25"/>
  <c r="BE28" i="25"/>
  <c r="BC28" i="25"/>
  <c r="BA28" i="25"/>
  <c r="AY28" i="25"/>
  <c r="AW28" i="25"/>
  <c r="AU28" i="25"/>
  <c r="AS28" i="25"/>
  <c r="AQ28" i="25"/>
  <c r="AO28" i="25"/>
  <c r="AM28" i="25"/>
  <c r="AK28" i="25"/>
  <c r="AI28" i="25"/>
  <c r="AG28" i="25"/>
  <c r="AE28" i="25"/>
  <c r="AC28" i="25"/>
  <c r="AA28" i="25"/>
  <c r="Y28" i="25"/>
  <c r="X28" i="25"/>
  <c r="V28" i="25"/>
  <c r="BU27" i="25"/>
  <c r="BJ27" i="25"/>
  <c r="F27" i="25" s="1"/>
  <c r="G27" i="25" s="1"/>
  <c r="BI27" i="25"/>
  <c r="BG27" i="25"/>
  <c r="BE27" i="25"/>
  <c r="BC27" i="25"/>
  <c r="BA27" i="25"/>
  <c r="AY27" i="25"/>
  <c r="AW27" i="25"/>
  <c r="AU27" i="25"/>
  <c r="AS27" i="25"/>
  <c r="AQ27" i="25"/>
  <c r="AO27" i="25"/>
  <c r="AM27" i="25"/>
  <c r="AK27" i="25"/>
  <c r="AI27" i="25"/>
  <c r="AG27" i="25"/>
  <c r="AE27" i="25"/>
  <c r="AC27" i="25"/>
  <c r="AA27" i="25"/>
  <c r="Y27" i="25"/>
  <c r="X27" i="25"/>
  <c r="V27" i="25"/>
  <c r="BU26" i="25"/>
  <c r="BJ26" i="25"/>
  <c r="F26" i="25" s="1"/>
  <c r="BI26" i="25"/>
  <c r="BG26" i="25"/>
  <c r="BE26" i="25"/>
  <c r="BC26" i="25"/>
  <c r="BA26" i="25"/>
  <c r="AY26" i="25"/>
  <c r="AW26" i="25"/>
  <c r="AU26" i="25"/>
  <c r="AS26" i="25"/>
  <c r="AQ26" i="25"/>
  <c r="AO26" i="25"/>
  <c r="AM26" i="25"/>
  <c r="AK26" i="25"/>
  <c r="AI26" i="25"/>
  <c r="AG26" i="25"/>
  <c r="AE26" i="25"/>
  <c r="AC26" i="25"/>
  <c r="AA26" i="25"/>
  <c r="Y26" i="25"/>
  <c r="X26" i="25"/>
  <c r="V26" i="25"/>
  <c r="BU25" i="25"/>
  <c r="BJ25" i="25"/>
  <c r="F25" i="25" s="1"/>
  <c r="S25" i="25" s="1"/>
  <c r="W25" i="25" s="1"/>
  <c r="BI25" i="25"/>
  <c r="BG25" i="25"/>
  <c r="BE25" i="25"/>
  <c r="BC25" i="25"/>
  <c r="BA25" i="25"/>
  <c r="AY25" i="25"/>
  <c r="AW25" i="25"/>
  <c r="AU25" i="25"/>
  <c r="AS25" i="25"/>
  <c r="AQ25" i="25"/>
  <c r="AO25" i="25"/>
  <c r="AM25" i="25"/>
  <c r="AK25" i="25"/>
  <c r="AI25" i="25"/>
  <c r="AG25" i="25"/>
  <c r="AE25" i="25"/>
  <c r="AC25" i="25"/>
  <c r="AA25" i="25"/>
  <c r="Y25" i="25"/>
  <c r="X25" i="25"/>
  <c r="V25" i="25"/>
  <c r="BU24" i="25"/>
  <c r="BJ24" i="25"/>
  <c r="F24" i="25" s="1"/>
  <c r="G24" i="25" s="1"/>
  <c r="I24" i="25" s="1"/>
  <c r="BI24" i="25"/>
  <c r="BG24" i="25"/>
  <c r="BE24" i="25"/>
  <c r="BC24" i="25"/>
  <c r="BA24" i="25"/>
  <c r="AY24" i="25"/>
  <c r="AW24" i="25"/>
  <c r="AU24" i="25"/>
  <c r="AS24" i="25"/>
  <c r="AQ24" i="25"/>
  <c r="AO24" i="25"/>
  <c r="AM24" i="25"/>
  <c r="AK24" i="25"/>
  <c r="AI24" i="25"/>
  <c r="AG24" i="25"/>
  <c r="AE24" i="25"/>
  <c r="AC24" i="25"/>
  <c r="AA24" i="25"/>
  <c r="Y24" i="25"/>
  <c r="X24" i="25"/>
  <c r="V24" i="25"/>
  <c r="BU23" i="25"/>
  <c r="BJ23" i="25"/>
  <c r="F23" i="25" s="1"/>
  <c r="S23" i="25" s="1"/>
  <c r="W23" i="25" s="1"/>
  <c r="BI23" i="25"/>
  <c r="BG23" i="25"/>
  <c r="BE23" i="25"/>
  <c r="BC23" i="25"/>
  <c r="BA23" i="25"/>
  <c r="AY23" i="25"/>
  <c r="AW23" i="25"/>
  <c r="AU23" i="25"/>
  <c r="AS23" i="25"/>
  <c r="AQ23" i="25"/>
  <c r="AO23" i="25"/>
  <c r="AM23" i="25"/>
  <c r="AK23" i="25"/>
  <c r="AI23" i="25"/>
  <c r="AG23" i="25"/>
  <c r="AE23" i="25"/>
  <c r="AC23" i="25"/>
  <c r="AA23" i="25"/>
  <c r="Y23" i="25"/>
  <c r="X23" i="25"/>
  <c r="V23" i="25"/>
  <c r="BU22" i="25"/>
  <c r="BJ22" i="25"/>
  <c r="F22" i="25" s="1"/>
  <c r="G22" i="25" s="1"/>
  <c r="BP22" i="25" s="1"/>
  <c r="BR22" i="25" s="1"/>
  <c r="BI22" i="25"/>
  <c r="BG22" i="25"/>
  <c r="BE22" i="25"/>
  <c r="BC22" i="25"/>
  <c r="BA22" i="25"/>
  <c r="AY22" i="25"/>
  <c r="AW22" i="25"/>
  <c r="AU22" i="25"/>
  <c r="AS22" i="25"/>
  <c r="AQ22" i="25"/>
  <c r="AO22" i="25"/>
  <c r="AM22" i="25"/>
  <c r="AK22" i="25"/>
  <c r="AI22" i="25"/>
  <c r="AG22" i="25"/>
  <c r="AE22" i="25"/>
  <c r="AC22" i="25"/>
  <c r="AA22" i="25"/>
  <c r="Y22" i="25"/>
  <c r="X22" i="25"/>
  <c r="W22" i="25"/>
  <c r="V22" i="25"/>
  <c r="BJ21" i="25"/>
  <c r="F21" i="25" s="1"/>
  <c r="T21" i="25" s="1"/>
  <c r="X21" i="25" s="1"/>
  <c r="BI21" i="25"/>
  <c r="BG21" i="25"/>
  <c r="BE21" i="25"/>
  <c r="BC21" i="25"/>
  <c r="BA21" i="25"/>
  <c r="AY21" i="25"/>
  <c r="AW21" i="25"/>
  <c r="AU21" i="25"/>
  <c r="AS21" i="25"/>
  <c r="AQ21" i="25"/>
  <c r="AO21" i="25"/>
  <c r="AM21" i="25"/>
  <c r="AK21" i="25"/>
  <c r="AI21" i="25"/>
  <c r="AG21" i="25"/>
  <c r="AE21" i="25"/>
  <c r="AC21" i="25"/>
  <c r="AA21" i="25"/>
  <c r="AA59" i="25" s="1"/>
  <c r="BJ20" i="25"/>
  <c r="F20" i="25" s="1"/>
  <c r="BG20" i="25"/>
  <c r="BE20" i="25"/>
  <c r="BC20" i="25"/>
  <c r="BA20" i="25"/>
  <c r="AW20" i="25"/>
  <c r="AU20" i="25"/>
  <c r="AS20" i="25"/>
  <c r="AQ20" i="25"/>
  <c r="AO20" i="25"/>
  <c r="AM20" i="25"/>
  <c r="AK20" i="25"/>
  <c r="AI20" i="25"/>
  <c r="AG20" i="25"/>
  <c r="AE20" i="25"/>
  <c r="AC20" i="25"/>
  <c r="AA20" i="25"/>
  <c r="Y20" i="25"/>
  <c r="X20" i="25"/>
  <c r="W20" i="25"/>
  <c r="BR19" i="25"/>
  <c r="BJ19" i="25"/>
  <c r="F19" i="25" s="1"/>
  <c r="U19" i="25" s="1"/>
  <c r="BC19" i="25"/>
  <c r="AS19" i="25"/>
  <c r="E19" i="25"/>
  <c r="BG19" i="25" s="1"/>
  <c r="BR18" i="25"/>
  <c r="BJ18" i="25"/>
  <c r="F18" i="25" s="1"/>
  <c r="R18" i="25" s="1"/>
  <c r="BI18" i="25"/>
  <c r="BG18" i="25"/>
  <c r="BE18" i="25"/>
  <c r="BC18" i="25"/>
  <c r="BA18" i="25"/>
  <c r="AY18" i="25"/>
  <c r="AQ18" i="25"/>
  <c r="AK18" i="25"/>
  <c r="AI18" i="25"/>
  <c r="AG18" i="25"/>
  <c r="AE18" i="25"/>
  <c r="AC18" i="25"/>
  <c r="AA18" i="25"/>
  <c r="BT17" i="25"/>
  <c r="BU17" i="25" s="1"/>
  <c r="BR17" i="25"/>
  <c r="BJ17" i="25"/>
  <c r="BI17" i="25"/>
  <c r="BG17" i="25"/>
  <c r="BE17" i="25"/>
  <c r="BC17" i="25"/>
  <c r="BA17" i="25"/>
  <c r="AS17" i="25"/>
  <c r="AQ17" i="25"/>
  <c r="AM17" i="25"/>
  <c r="AI17" i="25"/>
  <c r="AG17" i="25"/>
  <c r="AE17" i="25"/>
  <c r="AC17" i="25"/>
  <c r="AA17" i="25"/>
  <c r="U17" i="25"/>
  <c r="Y17" i="25" s="1"/>
  <c r="T17" i="25"/>
  <c r="X17" i="25" s="1"/>
  <c r="S17" i="25"/>
  <c r="W17" i="25" s="1"/>
  <c r="R17" i="25"/>
  <c r="V17" i="25" s="1"/>
  <c r="BS16" i="25"/>
  <c r="BS20" i="25" s="1"/>
  <c r="BQ16" i="25"/>
  <c r="BQ21" i="25" s="1"/>
  <c r="BR21" i="25" s="1"/>
  <c r="BP16" i="25"/>
  <c r="BO16" i="25"/>
  <c r="BM16" i="25"/>
  <c r="BL16" i="25"/>
  <c r="BH16" i="25"/>
  <c r="BF16" i="25"/>
  <c r="BD16" i="25"/>
  <c r="BB16" i="25"/>
  <c r="AZ16" i="25"/>
  <c r="AY16" i="25"/>
  <c r="AX16" i="25"/>
  <c r="AW16" i="25"/>
  <c r="AV16" i="25"/>
  <c r="AR16" i="25"/>
  <c r="AP16" i="25"/>
  <c r="AO16" i="25"/>
  <c r="AN16" i="25"/>
  <c r="AL16" i="25"/>
  <c r="AJ16" i="25"/>
  <c r="AH16" i="25"/>
  <c r="AF16" i="25"/>
  <c r="AD16" i="25"/>
  <c r="AB16" i="25"/>
  <c r="Z16" i="25"/>
  <c r="Q16" i="25"/>
  <c r="P16" i="25"/>
  <c r="O16" i="25"/>
  <c r="N16" i="25"/>
  <c r="M16" i="25"/>
  <c r="L16" i="25"/>
  <c r="K16" i="25"/>
  <c r="J16" i="25"/>
  <c r="BK15" i="25"/>
  <c r="G15" i="25" s="1"/>
  <c r="BJ15" i="25"/>
  <c r="F15" i="25" s="1"/>
  <c r="BJ14" i="25"/>
  <c r="F14" i="25" s="1"/>
  <c r="BI14" i="25"/>
  <c r="BG14" i="25"/>
  <c r="BE14" i="25"/>
  <c r="BC14" i="25"/>
  <c r="BA14" i="25"/>
  <c r="AS14" i="25"/>
  <c r="AQ14" i="25"/>
  <c r="AM14" i="25"/>
  <c r="AK14" i="25"/>
  <c r="AK16" i="25" s="1"/>
  <c r="AI14" i="25"/>
  <c r="AG14" i="25"/>
  <c r="AE14" i="25"/>
  <c r="AC14" i="25"/>
  <c r="AA14" i="25"/>
  <c r="BJ13" i="25"/>
  <c r="BI13" i="25"/>
  <c r="BG13" i="25"/>
  <c r="BE13" i="25"/>
  <c r="BC13" i="25"/>
  <c r="BA13" i="25"/>
  <c r="AU13" i="25"/>
  <c r="AU16" i="25" s="1"/>
  <c r="AS13" i="25"/>
  <c r="AQ13" i="25"/>
  <c r="AM13" i="25"/>
  <c r="AI13" i="25"/>
  <c r="AG13" i="25"/>
  <c r="AE13" i="25"/>
  <c r="AC13" i="25"/>
  <c r="AA13" i="25"/>
  <c r="Y13" i="25"/>
  <c r="X13" i="25"/>
  <c r="W13" i="25"/>
  <c r="V13" i="25"/>
  <c r="F13" i="25"/>
  <c r="BJ12" i="25"/>
  <c r="BI12" i="25"/>
  <c r="BG12" i="25"/>
  <c r="BE12" i="25"/>
  <c r="BC12" i="25"/>
  <c r="BA12" i="25"/>
  <c r="AS12" i="25"/>
  <c r="AQ12" i="25"/>
  <c r="AM12" i="25"/>
  <c r="AI12" i="25"/>
  <c r="AG12" i="25"/>
  <c r="AE12" i="25"/>
  <c r="AC12" i="25"/>
  <c r="AA12" i="25"/>
  <c r="X12" i="25"/>
  <c r="W12" i="25"/>
  <c r="V12" i="25"/>
  <c r="BV10" i="25"/>
  <c r="BS88" i="24"/>
  <c r="BQ88" i="24"/>
  <c r="BP88" i="24"/>
  <c r="BO88" i="24"/>
  <c r="BN88" i="24"/>
  <c r="BM88" i="24"/>
  <c r="BL88" i="24"/>
  <c r="BH88" i="24"/>
  <c r="BG88" i="24"/>
  <c r="BF88" i="24"/>
  <c r="BE88" i="24"/>
  <c r="BD88" i="24"/>
  <c r="BC88" i="24"/>
  <c r="BB88" i="24"/>
  <c r="BA88" i="24"/>
  <c r="AZ88" i="24"/>
  <c r="AY88" i="24"/>
  <c r="AX88" i="24"/>
  <c r="AW88" i="24"/>
  <c r="AV88" i="24"/>
  <c r="AU88" i="24"/>
  <c r="AT88" i="24"/>
  <c r="AS88" i="24"/>
  <c r="AR88" i="24"/>
  <c r="AQ88" i="24"/>
  <c r="AP88" i="24"/>
  <c r="AO88" i="24"/>
  <c r="AN88" i="24"/>
  <c r="AM88" i="24"/>
  <c r="AL88" i="24"/>
  <c r="AK88" i="24"/>
  <c r="AJ88" i="24"/>
  <c r="AI88" i="24"/>
  <c r="AH88" i="24"/>
  <c r="AG88" i="24"/>
  <c r="AF88" i="24"/>
  <c r="AE88" i="24"/>
  <c r="AD88" i="24"/>
  <c r="AC88" i="24"/>
  <c r="AB88" i="24"/>
  <c r="AA88" i="24"/>
  <c r="Z88" i="24"/>
  <c r="Q88" i="24"/>
  <c r="P88" i="24"/>
  <c r="O88" i="24"/>
  <c r="N88" i="24"/>
  <c r="M88" i="24"/>
  <c r="L88" i="24"/>
  <c r="K88" i="24"/>
  <c r="J88" i="24"/>
  <c r="BR87" i="24"/>
  <c r="BJ87" i="24"/>
  <c r="F87" i="24" s="1"/>
  <c r="BI87" i="24"/>
  <c r="BK87" i="24" s="1"/>
  <c r="BT87" i="24" s="1"/>
  <c r="BU87" i="24" s="1"/>
  <c r="BR86" i="24"/>
  <c r="BJ86" i="24"/>
  <c r="F86" i="24" s="1"/>
  <c r="BI86" i="24"/>
  <c r="BK86" i="24" s="1"/>
  <c r="BT86" i="24" s="1"/>
  <c r="BU86" i="24" s="1"/>
  <c r="BR85" i="24"/>
  <c r="BJ85" i="24"/>
  <c r="F85" i="24" s="1"/>
  <c r="BI85" i="24"/>
  <c r="BK85" i="24" s="1"/>
  <c r="BT85" i="24" s="1"/>
  <c r="BU85" i="24" s="1"/>
  <c r="BR84" i="24"/>
  <c r="BJ84" i="24"/>
  <c r="F84" i="24" s="1"/>
  <c r="BI84" i="24"/>
  <c r="BK84" i="24" s="1"/>
  <c r="BT84" i="24" s="1"/>
  <c r="BU84" i="24" s="1"/>
  <c r="BR83" i="24"/>
  <c r="BJ83" i="24"/>
  <c r="F83" i="24" s="1"/>
  <c r="BI83" i="24"/>
  <c r="BR82" i="24"/>
  <c r="BK82" i="24"/>
  <c r="BT82" i="24" s="1"/>
  <c r="BU82" i="24" s="1"/>
  <c r="BJ82" i="24"/>
  <c r="F82" i="24" s="1"/>
  <c r="U82" i="24" s="1"/>
  <c r="Y82" i="24" s="1"/>
  <c r="BI82" i="24"/>
  <c r="BR81" i="24"/>
  <c r="BK81" i="24"/>
  <c r="BJ81" i="24"/>
  <c r="F81" i="24" s="1"/>
  <c r="BI81" i="24"/>
  <c r="BS80" i="24"/>
  <c r="BU80" i="24" s="1"/>
  <c r="BR80" i="24"/>
  <c r="BR79" i="24"/>
  <c r="BG79" i="24"/>
  <c r="BF79" i="24"/>
  <c r="BE79" i="24"/>
  <c r="BD79" i="24"/>
  <c r="BC79" i="24"/>
  <c r="BB79" i="24"/>
  <c r="BA79" i="24"/>
  <c r="AZ79" i="24"/>
  <c r="AY79" i="24"/>
  <c r="AX79" i="24"/>
  <c r="AW79" i="24"/>
  <c r="AV79" i="24"/>
  <c r="AU79" i="24"/>
  <c r="AT79" i="24"/>
  <c r="AS79" i="24"/>
  <c r="AR79" i="24"/>
  <c r="AQ79" i="24"/>
  <c r="AP79" i="24"/>
  <c r="AO79" i="24"/>
  <c r="AN79" i="24"/>
  <c r="AM79" i="24"/>
  <c r="AL79" i="24"/>
  <c r="AK79" i="24"/>
  <c r="AJ79" i="24"/>
  <c r="AI79" i="24"/>
  <c r="AH79" i="24"/>
  <c r="AG79" i="24"/>
  <c r="AF79" i="24"/>
  <c r="AE79" i="24"/>
  <c r="AD79" i="24"/>
  <c r="AC79" i="24"/>
  <c r="AB79" i="24"/>
  <c r="AA79" i="24"/>
  <c r="Z79" i="24"/>
  <c r="Q79" i="24"/>
  <c r="P79" i="24"/>
  <c r="O79" i="24"/>
  <c r="N79" i="24"/>
  <c r="M79" i="24"/>
  <c r="L79" i="24"/>
  <c r="K79" i="24"/>
  <c r="J79" i="24"/>
  <c r="BR78" i="24"/>
  <c r="BJ78" i="24"/>
  <c r="F78" i="24" s="1"/>
  <c r="BI78" i="24"/>
  <c r="BK78" i="24" s="1"/>
  <c r="BS78" i="24" s="1"/>
  <c r="BU78" i="24" s="1"/>
  <c r="BR77" i="24"/>
  <c r="BJ77" i="24"/>
  <c r="F77" i="24" s="1"/>
  <c r="BI77" i="24"/>
  <c r="BK77" i="24" s="1"/>
  <c r="BS77" i="24" s="1"/>
  <c r="BU77" i="24" s="1"/>
  <c r="BV77" i="24" s="1"/>
  <c r="BR76" i="24"/>
  <c r="BJ76" i="24"/>
  <c r="F76" i="24" s="1"/>
  <c r="BI76" i="24"/>
  <c r="BK76" i="24" s="1"/>
  <c r="BS76" i="24" s="1"/>
  <c r="BU76" i="24" s="1"/>
  <c r="BR75" i="24"/>
  <c r="BJ75" i="24"/>
  <c r="F75" i="24" s="1"/>
  <c r="T75" i="24" s="1"/>
  <c r="X75" i="24" s="1"/>
  <c r="BI75" i="24"/>
  <c r="BK75" i="24" s="1"/>
  <c r="BS75" i="24" s="1"/>
  <c r="BU75" i="24" s="1"/>
  <c r="BR74" i="24"/>
  <c r="BJ74" i="24"/>
  <c r="F74" i="24" s="1"/>
  <c r="T74" i="24" s="1"/>
  <c r="X74" i="24" s="1"/>
  <c r="BI74" i="24"/>
  <c r="BK74" i="24" s="1"/>
  <c r="BS74" i="24" s="1"/>
  <c r="BU74" i="24" s="1"/>
  <c r="BR73" i="24"/>
  <c r="BJ73" i="24"/>
  <c r="F73" i="24" s="1"/>
  <c r="T73" i="24" s="1"/>
  <c r="X73" i="24" s="1"/>
  <c r="BI73" i="24"/>
  <c r="BK73" i="24" s="1"/>
  <c r="BS73" i="24" s="1"/>
  <c r="BU73" i="24" s="1"/>
  <c r="BR72" i="24"/>
  <c r="BJ72" i="24"/>
  <c r="F72" i="24" s="1"/>
  <c r="T72" i="24" s="1"/>
  <c r="X72" i="24" s="1"/>
  <c r="BI72" i="24"/>
  <c r="BK72" i="24" s="1"/>
  <c r="BS72" i="24" s="1"/>
  <c r="BU72" i="24" s="1"/>
  <c r="BR71" i="24"/>
  <c r="BJ71" i="24"/>
  <c r="F71" i="24" s="1"/>
  <c r="BI71" i="24"/>
  <c r="BK71" i="24" s="1"/>
  <c r="BS71" i="24" s="1"/>
  <c r="BU71" i="24" s="1"/>
  <c r="BJ70" i="24"/>
  <c r="F70" i="24" s="1"/>
  <c r="R70" i="24" s="1"/>
  <c r="V70" i="24" s="1"/>
  <c r="BI70" i="24"/>
  <c r="BK70" i="24" s="1"/>
  <c r="BS70" i="24" s="1"/>
  <c r="BU70" i="24" s="1"/>
  <c r="BV70" i="24" s="1"/>
  <c r="BJ69" i="24"/>
  <c r="F69" i="24" s="1"/>
  <c r="BI69" i="24"/>
  <c r="BK69" i="24" s="1"/>
  <c r="BS69" i="24" s="1"/>
  <c r="BU69" i="24" s="1"/>
  <c r="BV69" i="24" s="1"/>
  <c r="BJ68" i="24"/>
  <c r="F68" i="24" s="1"/>
  <c r="T68" i="24" s="1"/>
  <c r="X68" i="24" s="1"/>
  <c r="BI68" i="24"/>
  <c r="BK68" i="24" s="1"/>
  <c r="BS68" i="24" s="1"/>
  <c r="BT67" i="24"/>
  <c r="BH67" i="24"/>
  <c r="BR66" i="24"/>
  <c r="BJ66" i="24"/>
  <c r="F66" i="24" s="1"/>
  <c r="BI66" i="24"/>
  <c r="BK66" i="24" s="1"/>
  <c r="BS66" i="24" s="1"/>
  <c r="BU66" i="24" s="1"/>
  <c r="BR65" i="24"/>
  <c r="BJ65" i="24"/>
  <c r="F65" i="24" s="1"/>
  <c r="BI65" i="24"/>
  <c r="BK65" i="24" s="1"/>
  <c r="BS65" i="24" s="1"/>
  <c r="BU65" i="24" s="1"/>
  <c r="BR64" i="24"/>
  <c r="BJ64" i="24"/>
  <c r="F64" i="24" s="1"/>
  <c r="T64" i="24" s="1"/>
  <c r="X64" i="24" s="1"/>
  <c r="BI64" i="24"/>
  <c r="BK64" i="24" s="1"/>
  <c r="BS64" i="24" s="1"/>
  <c r="BU64" i="24" s="1"/>
  <c r="BJ63" i="24"/>
  <c r="F63" i="24" s="1"/>
  <c r="U63" i="24" s="1"/>
  <c r="Y63" i="24" s="1"/>
  <c r="BI63" i="24"/>
  <c r="BK63" i="24" s="1"/>
  <c r="BS63" i="24" s="1"/>
  <c r="BU63" i="24" s="1"/>
  <c r="BV63" i="24" s="1"/>
  <c r="BJ62" i="24"/>
  <c r="BI62" i="24"/>
  <c r="BK62" i="24" s="1"/>
  <c r="BS62" i="24" s="1"/>
  <c r="U62" i="24"/>
  <c r="Y62" i="24" s="1"/>
  <c r="T62" i="24"/>
  <c r="X62" i="24" s="1"/>
  <c r="S62" i="24"/>
  <c r="W62" i="24" s="1"/>
  <c r="R62" i="24"/>
  <c r="V62" i="24" s="1"/>
  <c r="G62" i="24"/>
  <c r="H62" i="24" s="1"/>
  <c r="BT61" i="24"/>
  <c r="BJ61" i="24"/>
  <c r="F61" i="24" s="1"/>
  <c r="R61" i="24" s="1"/>
  <c r="V61" i="24" s="1"/>
  <c r="BI61" i="24"/>
  <c r="BK61" i="24" s="1"/>
  <c r="BS61" i="24" s="1"/>
  <c r="BR60" i="24"/>
  <c r="BJ60" i="24"/>
  <c r="F60" i="24" s="1"/>
  <c r="T60" i="24" s="1"/>
  <c r="X60" i="24" s="1"/>
  <c r="BI60" i="24"/>
  <c r="BK60" i="24" s="1"/>
  <c r="BS60" i="24" s="1"/>
  <c r="BU60" i="24" s="1"/>
  <c r="BR59" i="24"/>
  <c r="BJ59" i="24"/>
  <c r="F59" i="24" s="1"/>
  <c r="BI59" i="24"/>
  <c r="BK59" i="24" s="1"/>
  <c r="BS59" i="24" s="1"/>
  <c r="BU59" i="24" s="1"/>
  <c r="BR58" i="24"/>
  <c r="BJ58" i="24"/>
  <c r="F58" i="24" s="1"/>
  <c r="BI58" i="24"/>
  <c r="BK58" i="24" s="1"/>
  <c r="BS58" i="24" s="1"/>
  <c r="BU58" i="24" s="1"/>
  <c r="BR57" i="24"/>
  <c r="BJ57" i="24"/>
  <c r="F57" i="24" s="1"/>
  <c r="BI57" i="24"/>
  <c r="BK57" i="24" s="1"/>
  <c r="BS57" i="24" s="1"/>
  <c r="BU57" i="24" s="1"/>
  <c r="BR56" i="24"/>
  <c r="BJ56" i="24"/>
  <c r="F56" i="24" s="1"/>
  <c r="G56" i="24" s="1"/>
  <c r="I56" i="24" s="1"/>
  <c r="BI56" i="24"/>
  <c r="BK56" i="24" s="1"/>
  <c r="BS56" i="24" s="1"/>
  <c r="BU56" i="24" s="1"/>
  <c r="BJ55" i="24"/>
  <c r="F55" i="24" s="1"/>
  <c r="U55" i="24" s="1"/>
  <c r="Y55" i="24" s="1"/>
  <c r="BI55" i="24"/>
  <c r="BK55" i="24" s="1"/>
  <c r="BS55" i="24" s="1"/>
  <c r="BU55" i="24" s="1"/>
  <c r="BV55" i="24" s="1"/>
  <c r="BJ54" i="24"/>
  <c r="F54" i="24" s="1"/>
  <c r="BI54" i="24"/>
  <c r="BK54" i="24" s="1"/>
  <c r="BS54" i="24" s="1"/>
  <c r="BU54" i="24" s="1"/>
  <c r="BR53" i="24"/>
  <c r="BJ53" i="24"/>
  <c r="F53" i="24" s="1"/>
  <c r="BI53" i="24"/>
  <c r="BU52" i="24"/>
  <c r="BR52" i="24"/>
  <c r="BJ52" i="24"/>
  <c r="BI52" i="24"/>
  <c r="BK52" i="24" s="1"/>
  <c r="BU51" i="24"/>
  <c r="BR51" i="24"/>
  <c r="BJ51" i="24"/>
  <c r="BI51" i="24"/>
  <c r="BK51" i="24" s="1"/>
  <c r="BU50" i="24"/>
  <c r="BP50" i="24"/>
  <c r="BR50" i="24" s="1"/>
  <c r="BJ50" i="24"/>
  <c r="BI50" i="24"/>
  <c r="BK50" i="24" s="1"/>
  <c r="BU49" i="24"/>
  <c r="BP49" i="24"/>
  <c r="BR49" i="24" s="1"/>
  <c r="BJ49" i="24"/>
  <c r="BI49" i="24"/>
  <c r="BK49" i="24" s="1"/>
  <c r="BQ48" i="24"/>
  <c r="BN48" i="24"/>
  <c r="BM48" i="24"/>
  <c r="BL48" i="24"/>
  <c r="BH48" i="24"/>
  <c r="BG48" i="24"/>
  <c r="BF48" i="24"/>
  <c r="BE48" i="24"/>
  <c r="BD48" i="24"/>
  <c r="BC48" i="24"/>
  <c r="BB48" i="24"/>
  <c r="BA48" i="24"/>
  <c r="AZ48" i="24"/>
  <c r="AY48" i="24"/>
  <c r="AX48" i="24"/>
  <c r="AW48" i="24"/>
  <c r="AV48" i="24"/>
  <c r="AU48" i="24"/>
  <c r="AT48" i="24"/>
  <c r="AS48" i="24"/>
  <c r="AR48" i="24"/>
  <c r="AQ48" i="24"/>
  <c r="AP48" i="24"/>
  <c r="AO48" i="24"/>
  <c r="AN48" i="24"/>
  <c r="AM48" i="24"/>
  <c r="AL48" i="24"/>
  <c r="AK48" i="24"/>
  <c r="AJ48" i="24"/>
  <c r="AI48" i="24"/>
  <c r="AH48" i="24"/>
  <c r="AG48" i="24"/>
  <c r="AF48" i="24"/>
  <c r="AE48" i="24"/>
  <c r="AD48" i="24"/>
  <c r="AC48" i="24"/>
  <c r="AB48" i="24"/>
  <c r="AA48" i="24"/>
  <c r="Z48" i="24"/>
  <c r="U48" i="24"/>
  <c r="S48" i="24"/>
  <c r="R48" i="24"/>
  <c r="J48" i="24"/>
  <c r="BU47" i="24"/>
  <c r="BJ47" i="24"/>
  <c r="F47" i="24" s="1"/>
  <c r="BI47" i="24"/>
  <c r="BK47" i="24" s="1"/>
  <c r="BO47" i="24" s="1"/>
  <c r="BR47" i="24" s="1"/>
  <c r="BS46" i="24"/>
  <c r="BU46" i="24" s="1"/>
  <c r="BJ46" i="24"/>
  <c r="F46" i="24" s="1"/>
  <c r="BI46" i="24"/>
  <c r="BK46" i="24" s="1"/>
  <c r="BR45" i="24"/>
  <c r="BJ45" i="24"/>
  <c r="F45" i="24" s="1"/>
  <c r="BI45" i="24"/>
  <c r="BK45" i="24" s="1"/>
  <c r="BT45" i="24" s="1"/>
  <c r="BU45" i="24" s="1"/>
  <c r="BR44" i="24"/>
  <c r="BJ44" i="24"/>
  <c r="F44" i="24" s="1"/>
  <c r="BI44" i="24"/>
  <c r="BK44" i="24" s="1"/>
  <c r="BT44" i="24" s="1"/>
  <c r="BU44" i="24" s="1"/>
  <c r="BU43" i="24"/>
  <c r="BJ43" i="24"/>
  <c r="F43" i="24" s="1"/>
  <c r="BI43" i="24"/>
  <c r="BK43" i="24" s="1"/>
  <c r="BP43" i="24" s="1"/>
  <c r="BR43" i="24" s="1"/>
  <c r="BV43" i="24" s="1"/>
  <c r="BU42" i="24"/>
  <c r="BJ42" i="24"/>
  <c r="F42" i="24" s="1"/>
  <c r="BI42" i="24"/>
  <c r="BK42" i="24" s="1"/>
  <c r="BU41" i="24"/>
  <c r="BJ41" i="24"/>
  <c r="F41" i="24" s="1"/>
  <c r="T41" i="24" s="1"/>
  <c r="X41" i="24" s="1"/>
  <c r="BI41" i="24"/>
  <c r="BK41" i="24" s="1"/>
  <c r="BU40" i="24"/>
  <c r="BV40" i="24" s="1"/>
  <c r="BJ40" i="24"/>
  <c r="F40" i="24" s="1"/>
  <c r="G40" i="24" s="1"/>
  <c r="BI40" i="24"/>
  <c r="BK40" i="24" s="1"/>
  <c r="BR39" i="24"/>
  <c r="BJ39" i="24"/>
  <c r="F39" i="24" s="1"/>
  <c r="BI39" i="24"/>
  <c r="BK39" i="24" s="1"/>
  <c r="BT39" i="24" s="1"/>
  <c r="BU39" i="24" s="1"/>
  <c r="BU38" i="24"/>
  <c r="BJ38" i="24"/>
  <c r="F38" i="24" s="1"/>
  <c r="BI38" i="24"/>
  <c r="BK38" i="24" s="1"/>
  <c r="BO38" i="24" s="1"/>
  <c r="BU37" i="24"/>
  <c r="BJ37" i="24"/>
  <c r="F37" i="24" s="1"/>
  <c r="T37" i="24" s="1"/>
  <c r="X37" i="24" s="1"/>
  <c r="BI37" i="24"/>
  <c r="BK37" i="24" s="1"/>
  <c r="BP37" i="24" s="1"/>
  <c r="BR37" i="24" s="1"/>
  <c r="BU36" i="24"/>
  <c r="BJ36" i="24"/>
  <c r="F36" i="24" s="1"/>
  <c r="G36" i="24" s="1"/>
  <c r="BI36" i="24"/>
  <c r="BK36" i="24" s="1"/>
  <c r="BP36" i="24" s="1"/>
  <c r="BR36" i="24" s="1"/>
  <c r="BU35" i="24"/>
  <c r="BJ35" i="24"/>
  <c r="F35" i="24" s="1"/>
  <c r="BI35" i="24"/>
  <c r="BJ34" i="24"/>
  <c r="BI34" i="24"/>
  <c r="BU33" i="24"/>
  <c r="BH33" i="24"/>
  <c r="BG33" i="24"/>
  <c r="BF33" i="24"/>
  <c r="BE33" i="24"/>
  <c r="BD33" i="24"/>
  <c r="BC33" i="24"/>
  <c r="BB33" i="24"/>
  <c r="BA33" i="24"/>
  <c r="AZ33" i="24"/>
  <c r="AY33" i="24"/>
  <c r="AX33" i="24"/>
  <c r="AW33" i="24"/>
  <c r="AV33" i="24"/>
  <c r="AU33" i="24"/>
  <c r="AT33" i="24"/>
  <c r="AS33" i="24"/>
  <c r="AR33" i="24"/>
  <c r="AQ33" i="24"/>
  <c r="AP33" i="24"/>
  <c r="AO33" i="24"/>
  <c r="AN33" i="24"/>
  <c r="AM33" i="24"/>
  <c r="AL33" i="24"/>
  <c r="AK33" i="24"/>
  <c r="AJ33" i="24"/>
  <c r="AI33" i="24"/>
  <c r="AH33" i="24"/>
  <c r="AG33" i="24"/>
  <c r="AF33" i="24"/>
  <c r="AE33" i="24"/>
  <c r="AD33" i="24"/>
  <c r="AC33" i="24"/>
  <c r="AB33" i="24"/>
  <c r="AA33" i="24"/>
  <c r="Z33" i="24"/>
  <c r="Y33" i="24"/>
  <c r="X33" i="24"/>
  <c r="V33" i="24"/>
  <c r="U33" i="24"/>
  <c r="T33" i="24"/>
  <c r="R33" i="24"/>
  <c r="Q33" i="24"/>
  <c r="P33" i="24"/>
  <c r="O33" i="24"/>
  <c r="N33" i="24"/>
  <c r="M33" i="24"/>
  <c r="L33" i="24"/>
  <c r="K33" i="24"/>
  <c r="J33" i="24"/>
  <c r="BU32" i="24"/>
  <c r="BJ32" i="24"/>
  <c r="F32" i="24" s="1"/>
  <c r="BI32" i="24"/>
  <c r="BK32" i="24" s="1"/>
  <c r="BU31" i="24"/>
  <c r="BJ31" i="24"/>
  <c r="F31" i="24" s="1"/>
  <c r="BI31" i="24"/>
  <c r="BK31" i="24" s="1"/>
  <c r="BU30" i="24"/>
  <c r="BJ30" i="24"/>
  <c r="F30" i="24" s="1"/>
  <c r="E30" i="24"/>
  <c r="BI30" i="24" s="1"/>
  <c r="BK30" i="24" s="1"/>
  <c r="BU29" i="24"/>
  <c r="BJ29" i="24"/>
  <c r="F29" i="24" s="1"/>
  <c r="BI29" i="24"/>
  <c r="BK29" i="24" s="1"/>
  <c r="BU28" i="24"/>
  <c r="BJ28" i="24"/>
  <c r="BI28" i="24"/>
  <c r="BK28" i="24" s="1"/>
  <c r="BU27" i="24"/>
  <c r="BP27" i="24"/>
  <c r="BR27" i="24" s="1"/>
  <c r="BJ27" i="24"/>
  <c r="BI27" i="24"/>
  <c r="BK27" i="24" s="1"/>
  <c r="BU26" i="24"/>
  <c r="BP26" i="24"/>
  <c r="BR26" i="24" s="1"/>
  <c r="BJ26" i="24"/>
  <c r="BI26" i="24"/>
  <c r="BK26" i="24" s="1"/>
  <c r="BU25" i="24"/>
  <c r="BH25" i="24"/>
  <c r="BG25" i="24"/>
  <c r="BF25" i="24"/>
  <c r="BE25" i="24"/>
  <c r="BD25" i="24"/>
  <c r="BC25" i="24"/>
  <c r="BB25" i="24"/>
  <c r="BA25" i="24"/>
  <c r="AZ25" i="24"/>
  <c r="AY25" i="24"/>
  <c r="AX25" i="24"/>
  <c r="AW25" i="24"/>
  <c r="AV25" i="24"/>
  <c r="AU25" i="24"/>
  <c r="AT25" i="24"/>
  <c r="AS25" i="24"/>
  <c r="AR25" i="24"/>
  <c r="AQ25" i="24"/>
  <c r="AP25" i="24"/>
  <c r="AO25" i="24"/>
  <c r="AN25" i="24"/>
  <c r="AM25" i="24"/>
  <c r="AL25" i="24"/>
  <c r="AK25" i="24"/>
  <c r="AJ25" i="24"/>
  <c r="AI25" i="24"/>
  <c r="AH25" i="24"/>
  <c r="AG25" i="24"/>
  <c r="AF25" i="24"/>
  <c r="AE25" i="24"/>
  <c r="AD25" i="24"/>
  <c r="AC25" i="24"/>
  <c r="AB25" i="24"/>
  <c r="AA25" i="24"/>
  <c r="Z25" i="24"/>
  <c r="Q25" i="24"/>
  <c r="P25" i="24"/>
  <c r="O25" i="24"/>
  <c r="N25" i="24"/>
  <c r="M25" i="24"/>
  <c r="L25" i="24"/>
  <c r="K25" i="24"/>
  <c r="J25" i="24"/>
  <c r="BU24" i="24"/>
  <c r="BJ24" i="24"/>
  <c r="F24" i="24" s="1"/>
  <c r="G24" i="24" s="1"/>
  <c r="BI24" i="24"/>
  <c r="BK24" i="24" s="1"/>
  <c r="BP24" i="24" s="1"/>
  <c r="BR24" i="24" s="1"/>
  <c r="BV24" i="24" s="1"/>
  <c r="Y24" i="24"/>
  <c r="X24" i="24"/>
  <c r="V24" i="24"/>
  <c r="BU23" i="24"/>
  <c r="BJ23" i="24"/>
  <c r="F23" i="24" s="1"/>
  <c r="BI23" i="24"/>
  <c r="BK23" i="24" s="1"/>
  <c r="BP23" i="24" s="1"/>
  <c r="BR23" i="24" s="1"/>
  <c r="Y23" i="24"/>
  <c r="X23" i="24"/>
  <c r="V23" i="24"/>
  <c r="BU22" i="24"/>
  <c r="BJ22" i="24"/>
  <c r="F22" i="24" s="1"/>
  <c r="BI22" i="24"/>
  <c r="BK22" i="24" s="1"/>
  <c r="BP22" i="24" s="1"/>
  <c r="BR22" i="24" s="1"/>
  <c r="Y22" i="24"/>
  <c r="X22" i="24"/>
  <c r="V22" i="24"/>
  <c r="BU21" i="24"/>
  <c r="BJ21" i="24"/>
  <c r="F21" i="24" s="1"/>
  <c r="BI21" i="24"/>
  <c r="BK21" i="24" s="1"/>
  <c r="BP21" i="24" s="1"/>
  <c r="BR21" i="24" s="1"/>
  <c r="Y21" i="24"/>
  <c r="X21" i="24"/>
  <c r="V21" i="24"/>
  <c r="BU20" i="24"/>
  <c r="BJ20" i="24"/>
  <c r="F20" i="24" s="1"/>
  <c r="S20" i="24" s="1"/>
  <c r="W20" i="24" s="1"/>
  <c r="BI20" i="24"/>
  <c r="BK20" i="24" s="1"/>
  <c r="BP20" i="24" s="1"/>
  <c r="BR20" i="24" s="1"/>
  <c r="Y20" i="24"/>
  <c r="X20" i="24"/>
  <c r="V20" i="24"/>
  <c r="BU19" i="24"/>
  <c r="BJ19" i="24"/>
  <c r="F19" i="24" s="1"/>
  <c r="S19" i="24" s="1"/>
  <c r="W19" i="24" s="1"/>
  <c r="BI19" i="24"/>
  <c r="BK19" i="24" s="1"/>
  <c r="BP19" i="24" s="1"/>
  <c r="BR19" i="24" s="1"/>
  <c r="Y19" i="24"/>
  <c r="X19" i="24"/>
  <c r="V19" i="24"/>
  <c r="BU18" i="24"/>
  <c r="BJ18" i="24"/>
  <c r="F18" i="24" s="1"/>
  <c r="S18" i="24" s="1"/>
  <c r="W18" i="24" s="1"/>
  <c r="BI18" i="24"/>
  <c r="BK18" i="24" s="1"/>
  <c r="BP18" i="24" s="1"/>
  <c r="BR18" i="24" s="1"/>
  <c r="Y18" i="24"/>
  <c r="X18" i="24"/>
  <c r="V18" i="24"/>
  <c r="BU17" i="24"/>
  <c r="BJ17" i="24"/>
  <c r="F17" i="24" s="1"/>
  <c r="S17" i="24" s="1"/>
  <c r="W17" i="24" s="1"/>
  <c r="BI17" i="24"/>
  <c r="BK17" i="24" s="1"/>
  <c r="BP17" i="24" s="1"/>
  <c r="BR17" i="24" s="1"/>
  <c r="Y17" i="24"/>
  <c r="X17" i="24"/>
  <c r="V17" i="24"/>
  <c r="BJ16" i="24"/>
  <c r="F16" i="24" s="1"/>
  <c r="G16" i="24" s="1"/>
  <c r="BI16" i="24"/>
  <c r="BK16" i="24" s="1"/>
  <c r="Y16" i="24"/>
  <c r="X16" i="24"/>
  <c r="V16" i="24"/>
  <c r="BU15" i="24"/>
  <c r="BJ15" i="24"/>
  <c r="F15" i="24" s="1"/>
  <c r="S15" i="24" s="1"/>
  <c r="W15" i="24" s="1"/>
  <c r="BI15" i="24"/>
  <c r="BK15" i="24" s="1"/>
  <c r="BP15" i="24" s="1"/>
  <c r="BR15" i="24" s="1"/>
  <c r="Y15" i="24"/>
  <c r="X15" i="24"/>
  <c r="V15" i="24"/>
  <c r="BU14" i="24"/>
  <c r="BJ14" i="24"/>
  <c r="F14" i="24" s="1"/>
  <c r="G14" i="24" s="1"/>
  <c r="H14" i="24" s="1"/>
  <c r="BI14" i="24"/>
  <c r="BK14" i="24" s="1"/>
  <c r="BP14" i="24" s="1"/>
  <c r="BR14" i="24" s="1"/>
  <c r="Y14" i="24"/>
  <c r="X14" i="24"/>
  <c r="V14" i="24"/>
  <c r="BU13" i="24"/>
  <c r="BJ13" i="24"/>
  <c r="F13" i="24" s="1"/>
  <c r="S13" i="24" s="1"/>
  <c r="W13" i="24" s="1"/>
  <c r="BI13" i="24"/>
  <c r="BK13" i="24" s="1"/>
  <c r="BP13" i="24" s="1"/>
  <c r="BR13" i="24" s="1"/>
  <c r="Y13" i="24"/>
  <c r="X13" i="24"/>
  <c r="V13" i="24"/>
  <c r="BR12" i="24"/>
  <c r="BJ12" i="24"/>
  <c r="F12" i="24" s="1"/>
  <c r="U12" i="24" s="1"/>
  <c r="BI12" i="24"/>
  <c r="BV11" i="24"/>
  <c r="BV10" i="24"/>
  <c r="BU45" i="41"/>
  <c r="BT45" i="41"/>
  <c r="BS45" i="41"/>
  <c r="BQ45" i="41"/>
  <c r="BH45" i="41"/>
  <c r="BF45" i="41"/>
  <c r="BD45" i="41"/>
  <c r="BB45" i="41"/>
  <c r="AZ45" i="41"/>
  <c r="AX45" i="41"/>
  <c r="AV45" i="41"/>
  <c r="AT45" i="41"/>
  <c r="AR45" i="41"/>
  <c r="AP45" i="41"/>
  <c r="AN45" i="41"/>
  <c r="AL45" i="41"/>
  <c r="AJ45" i="41"/>
  <c r="AH45" i="41"/>
  <c r="AF45" i="41"/>
  <c r="AD45" i="41"/>
  <c r="AB45" i="41"/>
  <c r="Z45" i="41"/>
  <c r="Q45" i="41"/>
  <c r="P45" i="41"/>
  <c r="O45" i="41"/>
  <c r="N45" i="41"/>
  <c r="M45" i="41"/>
  <c r="K45" i="41"/>
  <c r="J45" i="41"/>
  <c r="BJ44" i="41"/>
  <c r="F44" i="41" s="1"/>
  <c r="BI44" i="41"/>
  <c r="BG44" i="41"/>
  <c r="BE44" i="41"/>
  <c r="BC44" i="41"/>
  <c r="BA44" i="41"/>
  <c r="AY44" i="41"/>
  <c r="AW44" i="41"/>
  <c r="AU44" i="41"/>
  <c r="AS44" i="41"/>
  <c r="AQ44" i="41"/>
  <c r="AO44" i="41"/>
  <c r="AM44" i="41"/>
  <c r="AK44" i="41"/>
  <c r="AI44" i="41"/>
  <c r="AG44" i="41"/>
  <c r="AE44" i="41"/>
  <c r="AC44" i="41"/>
  <c r="AA44" i="41"/>
  <c r="BJ43" i="41"/>
  <c r="F43" i="41" s="1"/>
  <c r="S43" i="41" s="1"/>
  <c r="W43" i="41" s="1"/>
  <c r="BI43" i="41"/>
  <c r="BG43" i="41"/>
  <c r="BE43" i="41"/>
  <c r="BC43" i="41"/>
  <c r="BA43" i="41"/>
  <c r="AY43" i="41"/>
  <c r="AW43" i="41"/>
  <c r="AU43" i="41"/>
  <c r="AS43" i="41"/>
  <c r="AQ43" i="41"/>
  <c r="AO43" i="41"/>
  <c r="AM43" i="41"/>
  <c r="AK43" i="41"/>
  <c r="AI43" i="41"/>
  <c r="AG43" i="41"/>
  <c r="AE43" i="41"/>
  <c r="AC43" i="41"/>
  <c r="AA43" i="41"/>
  <c r="BJ42" i="41"/>
  <c r="F42" i="41" s="1"/>
  <c r="G42" i="41" s="1"/>
  <c r="L42" i="41" s="1"/>
  <c r="BI42" i="41"/>
  <c r="BG42" i="41"/>
  <c r="BE42" i="41"/>
  <c r="BC42" i="41"/>
  <c r="BA42" i="41"/>
  <c r="AY42" i="41"/>
  <c r="AW42" i="41"/>
  <c r="AU42" i="41"/>
  <c r="AS42" i="41"/>
  <c r="AQ42" i="41"/>
  <c r="AO42" i="41"/>
  <c r="AM42" i="41"/>
  <c r="AK42" i="41"/>
  <c r="AI42" i="41"/>
  <c r="AG42" i="41"/>
  <c r="AE42" i="41"/>
  <c r="AC42" i="41"/>
  <c r="AA42" i="41"/>
  <c r="BJ41" i="41"/>
  <c r="F41" i="41" s="1"/>
  <c r="G41" i="41" s="1"/>
  <c r="BI41" i="41"/>
  <c r="BG41" i="41"/>
  <c r="BE41" i="41"/>
  <c r="BC41" i="41"/>
  <c r="BA41" i="41"/>
  <c r="AY41" i="41"/>
  <c r="AW41" i="41"/>
  <c r="AU41" i="41"/>
  <c r="AS41" i="41"/>
  <c r="AQ41" i="41"/>
  <c r="AO41" i="41"/>
  <c r="AM41" i="41"/>
  <c r="AK41" i="41"/>
  <c r="AI41" i="41"/>
  <c r="AG41" i="41"/>
  <c r="AE41" i="41"/>
  <c r="AC41" i="41"/>
  <c r="AA41" i="41"/>
  <c r="BJ40" i="41"/>
  <c r="F40" i="41" s="1"/>
  <c r="S40" i="41" s="1"/>
  <c r="W40" i="41" s="1"/>
  <c r="BI40" i="41"/>
  <c r="BG40" i="41"/>
  <c r="BE40" i="41"/>
  <c r="BC40" i="41"/>
  <c r="BA40" i="41"/>
  <c r="AY40" i="41"/>
  <c r="AW40" i="41"/>
  <c r="AU40" i="41"/>
  <c r="AS40" i="41"/>
  <c r="AQ40" i="41"/>
  <c r="AO40" i="41"/>
  <c r="AM40" i="41"/>
  <c r="AK40" i="41"/>
  <c r="AI40" i="41"/>
  <c r="AG40" i="41"/>
  <c r="AE40" i="41"/>
  <c r="AC40" i="41"/>
  <c r="AA40" i="41"/>
  <c r="T40" i="41"/>
  <c r="X40" i="41" s="1"/>
  <c r="BN39" i="41"/>
  <c r="BN40" i="41" s="1"/>
  <c r="BN43" i="41" s="1"/>
  <c r="BJ39" i="41"/>
  <c r="F39" i="41" s="1"/>
  <c r="U39" i="41" s="1"/>
  <c r="BI39" i="41"/>
  <c r="BG39" i="41"/>
  <c r="BE39" i="41"/>
  <c r="BC39" i="41"/>
  <c r="BA39" i="41"/>
  <c r="AY39" i="41"/>
  <c r="AW39" i="41"/>
  <c r="AU39" i="41"/>
  <c r="AS39" i="41"/>
  <c r="AQ39" i="41"/>
  <c r="AO39" i="41"/>
  <c r="AM39" i="41"/>
  <c r="AK39" i="41"/>
  <c r="AI39" i="41"/>
  <c r="AG39" i="41"/>
  <c r="AE39" i="41"/>
  <c r="AC39" i="41"/>
  <c r="AA39" i="41"/>
  <c r="BR38" i="41"/>
  <c r="BV38" i="41" s="1"/>
  <c r="BJ38" i="41"/>
  <c r="BI38" i="41"/>
  <c r="BG38" i="41"/>
  <c r="BE38" i="41"/>
  <c r="BC38" i="41"/>
  <c r="BA38" i="41"/>
  <c r="AY38" i="41"/>
  <c r="AW38" i="41"/>
  <c r="AU38" i="41"/>
  <c r="AS38" i="41"/>
  <c r="AQ38" i="41"/>
  <c r="AO38" i="41"/>
  <c r="AM38" i="41"/>
  <c r="AK38" i="41"/>
  <c r="AI38" i="41"/>
  <c r="AG38" i="41"/>
  <c r="AE38" i="41"/>
  <c r="AC38" i="41"/>
  <c r="AA38" i="41"/>
  <c r="P38" i="41"/>
  <c r="I38" i="41"/>
  <c r="H38" i="41"/>
  <c r="BU37" i="41"/>
  <c r="BT37" i="41"/>
  <c r="BS37" i="41"/>
  <c r="BQ37" i="41"/>
  <c r="BO37" i="41"/>
  <c r="BH37" i="41"/>
  <c r="BF37" i="41"/>
  <c r="BD37" i="41"/>
  <c r="BB37" i="41"/>
  <c r="AZ37" i="41"/>
  <c r="AX37" i="41"/>
  <c r="AV37" i="41"/>
  <c r="AT37" i="41"/>
  <c r="AR37" i="41"/>
  <c r="AP37" i="41"/>
  <c r="AN37" i="41"/>
  <c r="AL37" i="41"/>
  <c r="AJ37" i="41"/>
  <c r="AH37" i="41"/>
  <c r="AF37" i="41"/>
  <c r="AD37" i="41"/>
  <c r="AB37" i="41"/>
  <c r="Z37" i="41"/>
  <c r="V37" i="41"/>
  <c r="R37" i="41"/>
  <c r="Q37" i="41"/>
  <c r="O37" i="41"/>
  <c r="N37" i="41"/>
  <c r="M37" i="41"/>
  <c r="K37" i="41"/>
  <c r="BK36" i="41"/>
  <c r="G36" i="41" s="1"/>
  <c r="J36" i="41" s="1"/>
  <c r="J37" i="41" s="1"/>
  <c r="BJ36" i="41"/>
  <c r="F36" i="41" s="1"/>
  <c r="BJ35" i="41"/>
  <c r="F35" i="41" s="1"/>
  <c r="BI35" i="41"/>
  <c r="BG35" i="41"/>
  <c r="BE35" i="41"/>
  <c r="BC35" i="41"/>
  <c r="BA35" i="41"/>
  <c r="AY35" i="41"/>
  <c r="AW35" i="41"/>
  <c r="AU35" i="41"/>
  <c r="AS35" i="41"/>
  <c r="AQ35" i="41"/>
  <c r="AO35" i="41"/>
  <c r="AM35" i="41"/>
  <c r="AK35" i="41"/>
  <c r="AI35" i="41"/>
  <c r="AG35" i="41"/>
  <c r="AE35" i="41"/>
  <c r="AC35" i="41"/>
  <c r="AA35" i="41"/>
  <c r="BJ34" i="41"/>
  <c r="F34" i="41" s="1"/>
  <c r="BG34" i="41"/>
  <c r="BE34" i="41"/>
  <c r="BC34" i="41"/>
  <c r="BA34" i="41"/>
  <c r="AY34" i="41"/>
  <c r="AW34" i="41"/>
  <c r="AU34" i="41"/>
  <c r="AS34" i="41"/>
  <c r="AQ34" i="41"/>
  <c r="AO34" i="41"/>
  <c r="AM34" i="41"/>
  <c r="AK34" i="41"/>
  <c r="AI34" i="41"/>
  <c r="AG34" i="41"/>
  <c r="AE34" i="41"/>
  <c r="AC34" i="41"/>
  <c r="AA34" i="41"/>
  <c r="BJ33" i="41"/>
  <c r="F33" i="41" s="1"/>
  <c r="E109" i="51" s="1"/>
  <c r="BI33" i="41"/>
  <c r="BG33" i="41"/>
  <c r="BE33" i="41"/>
  <c r="BC33" i="41"/>
  <c r="BA33" i="41"/>
  <c r="AY33" i="41"/>
  <c r="AW33" i="41"/>
  <c r="AU33" i="41"/>
  <c r="AS33" i="41"/>
  <c r="AQ33" i="41"/>
  <c r="AO33" i="41"/>
  <c r="AM33" i="41"/>
  <c r="AK33" i="41"/>
  <c r="AI33" i="41"/>
  <c r="AG33" i="41"/>
  <c r="AE33" i="41"/>
  <c r="AC33" i="41"/>
  <c r="AA33" i="41"/>
  <c r="BK32" i="41"/>
  <c r="G32" i="41" s="1"/>
  <c r="BJ32" i="41"/>
  <c r="F32" i="41" s="1"/>
  <c r="BJ31" i="41"/>
  <c r="F31" i="41" s="1"/>
  <c r="T31" i="41" s="1"/>
  <c r="X31" i="41" s="1"/>
  <c r="BI31" i="41"/>
  <c r="BG31" i="41"/>
  <c r="BE31" i="41"/>
  <c r="BC31" i="41"/>
  <c r="BA31" i="41"/>
  <c r="AY31" i="41"/>
  <c r="AW31" i="41"/>
  <c r="AU31" i="41"/>
  <c r="AS31" i="41"/>
  <c r="AQ31" i="41"/>
  <c r="AO31" i="41"/>
  <c r="AM31" i="41"/>
  <c r="AK31" i="41"/>
  <c r="AI31" i="41"/>
  <c r="AG31" i="41"/>
  <c r="AE31" i="41"/>
  <c r="AC31" i="41"/>
  <c r="AA31" i="41"/>
  <c r="BJ30" i="41"/>
  <c r="F30" i="41" s="1"/>
  <c r="AY30" i="41"/>
  <c r="AW30" i="41"/>
  <c r="AK30" i="41"/>
  <c r="AG30" i="41"/>
  <c r="BJ29" i="41"/>
  <c r="F29" i="41" s="1"/>
  <c r="BI29" i="41"/>
  <c r="BG29" i="41"/>
  <c r="BE29" i="41"/>
  <c r="BC29" i="41"/>
  <c r="BA29" i="41"/>
  <c r="AY29" i="41"/>
  <c r="AW29" i="41"/>
  <c r="AU29" i="41"/>
  <c r="AS29" i="41"/>
  <c r="AQ29" i="41"/>
  <c r="AO29" i="41"/>
  <c r="AM29" i="41"/>
  <c r="AK29" i="41"/>
  <c r="AI29" i="41"/>
  <c r="AG29" i="41"/>
  <c r="AE29" i="41"/>
  <c r="AC29" i="41"/>
  <c r="AA29" i="41"/>
  <c r="BJ28" i="41"/>
  <c r="F28" i="41" s="1"/>
  <c r="T28" i="41" s="1"/>
  <c r="X28" i="41" s="1"/>
  <c r="BI28" i="41"/>
  <c r="BG28" i="41"/>
  <c r="BE28" i="41"/>
  <c r="BC28" i="41"/>
  <c r="BA28" i="41"/>
  <c r="AY28" i="41"/>
  <c r="AW28" i="41"/>
  <c r="AU28" i="41"/>
  <c r="AS28" i="41"/>
  <c r="AQ28" i="41"/>
  <c r="AO28" i="41"/>
  <c r="AM28" i="41"/>
  <c r="AK28" i="41"/>
  <c r="AI28" i="41"/>
  <c r="AG28" i="41"/>
  <c r="AE28" i="41"/>
  <c r="AC28" i="41"/>
  <c r="AA28" i="41"/>
  <c r="BJ27" i="41"/>
  <c r="F27" i="41" s="1"/>
  <c r="S27" i="41" s="1"/>
  <c r="W27" i="41" s="1"/>
  <c r="BI27" i="41"/>
  <c r="BG27" i="41"/>
  <c r="BE27" i="41"/>
  <c r="BC27" i="41"/>
  <c r="BA27" i="41"/>
  <c r="AY27" i="41"/>
  <c r="AW27" i="41"/>
  <c r="AU27" i="41"/>
  <c r="AS27" i="41"/>
  <c r="AQ27" i="41"/>
  <c r="AO27" i="41"/>
  <c r="AK27" i="41"/>
  <c r="AI27" i="41"/>
  <c r="AG27" i="41"/>
  <c r="AE27" i="41"/>
  <c r="AC27" i="41"/>
  <c r="AA27" i="41"/>
  <c r="BJ26" i="41"/>
  <c r="F26" i="41" s="1"/>
  <c r="BE26" i="41"/>
  <c r="BA26" i="41"/>
  <c r="AY26" i="41"/>
  <c r="AW26" i="41"/>
  <c r="AO26" i="41"/>
  <c r="AM26" i="41"/>
  <c r="AK26" i="41"/>
  <c r="AI26" i="41"/>
  <c r="AG26" i="41"/>
  <c r="AE26" i="41"/>
  <c r="BJ25" i="41"/>
  <c r="F25" i="41" s="1"/>
  <c r="G25" i="41" s="1"/>
  <c r="BE25" i="41"/>
  <c r="BA25" i="41"/>
  <c r="AY25" i="41"/>
  <c r="AW25" i="41"/>
  <c r="AO25" i="41"/>
  <c r="AM25" i="41"/>
  <c r="AK25" i="41"/>
  <c r="AI25" i="41"/>
  <c r="AG25" i="41"/>
  <c r="AE25" i="41"/>
  <c r="AC25" i="41"/>
  <c r="BJ24" i="41"/>
  <c r="F24" i="41" s="1"/>
  <c r="BE24" i="41"/>
  <c r="BA24" i="41"/>
  <c r="AY24" i="41"/>
  <c r="AW24" i="41"/>
  <c r="AO24" i="41"/>
  <c r="AK24" i="41"/>
  <c r="AI24" i="41"/>
  <c r="AG24" i="41"/>
  <c r="AE24" i="41"/>
  <c r="BJ23" i="41"/>
  <c r="F23" i="41" s="1"/>
  <c r="E107" i="51" s="1"/>
  <c r="BE23" i="41"/>
  <c r="BC23" i="41"/>
  <c r="BA23" i="41"/>
  <c r="AY23" i="41"/>
  <c r="AW23" i="41"/>
  <c r="AS23" i="41"/>
  <c r="AQ23" i="41"/>
  <c r="AO23" i="41"/>
  <c r="AK23" i="41"/>
  <c r="AI23" i="41"/>
  <c r="AG23" i="41"/>
  <c r="AE23" i="41"/>
  <c r="AC23" i="41"/>
  <c r="AA23" i="41"/>
  <c r="X23" i="41"/>
  <c r="W23" i="41"/>
  <c r="BJ22" i="41"/>
  <c r="BI22" i="41"/>
  <c r="BG22" i="41"/>
  <c r="BE22" i="41"/>
  <c r="BC22" i="41"/>
  <c r="BA22" i="41"/>
  <c r="AY22" i="41"/>
  <c r="AW22" i="41"/>
  <c r="AU22" i="41"/>
  <c r="AS22" i="41"/>
  <c r="AQ22" i="41"/>
  <c r="AO22" i="41"/>
  <c r="AM22" i="41"/>
  <c r="AK22" i="41"/>
  <c r="AI22" i="41"/>
  <c r="AG22" i="41"/>
  <c r="AE22" i="41"/>
  <c r="AC22" i="41"/>
  <c r="AA22" i="41"/>
  <c r="BN21" i="41"/>
  <c r="BR21" i="41" s="1"/>
  <c r="BV21" i="41" s="1"/>
  <c r="BJ21" i="41"/>
  <c r="BI21" i="41"/>
  <c r="BG21" i="41"/>
  <c r="BE21" i="41"/>
  <c r="BC21" i="41"/>
  <c r="BA21" i="41"/>
  <c r="AY21" i="41"/>
  <c r="AW21" i="41"/>
  <c r="AU21" i="41"/>
  <c r="AS21" i="41"/>
  <c r="AQ21" i="41"/>
  <c r="AO21" i="41"/>
  <c r="AM21" i="41"/>
  <c r="AK21" i="41"/>
  <c r="AI21" i="41"/>
  <c r="AG21" i="41"/>
  <c r="AE21" i="41"/>
  <c r="AC21" i="41"/>
  <c r="AA21" i="41"/>
  <c r="P21" i="41"/>
  <c r="I21" i="41"/>
  <c r="H21" i="41"/>
  <c r="BT20" i="41"/>
  <c r="BS20" i="41"/>
  <c r="BQ20" i="41"/>
  <c r="BO20" i="41"/>
  <c r="BM20" i="41"/>
  <c r="BH20" i="41"/>
  <c r="BF20" i="41"/>
  <c r="BD20" i="41"/>
  <c r="BB20" i="41"/>
  <c r="AZ20" i="41"/>
  <c r="AX20" i="41"/>
  <c r="AV20" i="41"/>
  <c r="AT20" i="41"/>
  <c r="AR20" i="41"/>
  <c r="AP20" i="41"/>
  <c r="AN20" i="41"/>
  <c r="AL20" i="41"/>
  <c r="AJ20" i="41"/>
  <c r="AH20" i="41"/>
  <c r="AF20" i="41"/>
  <c r="AD20" i="41"/>
  <c r="AB20" i="41"/>
  <c r="Z20" i="41"/>
  <c r="BJ19" i="41"/>
  <c r="F19" i="41" s="1"/>
  <c r="BG19" i="41"/>
  <c r="BE19" i="41"/>
  <c r="BC19" i="41"/>
  <c r="BA19" i="41"/>
  <c r="AY19" i="41"/>
  <c r="AW19" i="41"/>
  <c r="AU19" i="41"/>
  <c r="AS19" i="41"/>
  <c r="AQ19" i="41"/>
  <c r="AO19" i="41"/>
  <c r="AM19" i="41"/>
  <c r="AK19" i="41"/>
  <c r="AI19" i="41"/>
  <c r="AG19" i="41"/>
  <c r="AE19" i="41"/>
  <c r="AA19" i="41"/>
  <c r="BJ18" i="41"/>
  <c r="F18" i="41" s="1"/>
  <c r="BI18" i="41"/>
  <c r="BG18" i="41"/>
  <c r="BE18" i="41"/>
  <c r="BC18" i="41"/>
  <c r="BA18" i="41"/>
  <c r="AY18" i="41"/>
  <c r="AW18" i="41"/>
  <c r="AU18" i="41"/>
  <c r="AS18" i="41"/>
  <c r="AQ18" i="41"/>
  <c r="AO18" i="41"/>
  <c r="AM18" i="41"/>
  <c r="AK18" i="41"/>
  <c r="AI18" i="41"/>
  <c r="AG18" i="41"/>
  <c r="AE18" i="41"/>
  <c r="AC18" i="41"/>
  <c r="AA18" i="41"/>
  <c r="BJ17" i="41"/>
  <c r="F17" i="41" s="1"/>
  <c r="BI17" i="41"/>
  <c r="BG17" i="41"/>
  <c r="BE17" i="41"/>
  <c r="BC17" i="41"/>
  <c r="BA17" i="41"/>
  <c r="AY17" i="41"/>
  <c r="AW17" i="41"/>
  <c r="AU17" i="41"/>
  <c r="AS17" i="41"/>
  <c r="AQ17" i="41"/>
  <c r="AO17" i="41"/>
  <c r="AM17" i="41"/>
  <c r="AK17" i="41"/>
  <c r="AI17" i="41"/>
  <c r="AG17" i="41"/>
  <c r="AE17" i="41"/>
  <c r="AC17" i="41"/>
  <c r="AA17" i="41"/>
  <c r="Y17" i="41"/>
  <c r="X17" i="41"/>
  <c r="V17" i="41"/>
  <c r="BJ16" i="41"/>
  <c r="F16" i="41" s="1"/>
  <c r="AW16" i="41"/>
  <c r="AU16" i="41"/>
  <c r="AM16" i="41"/>
  <c r="AK16" i="41"/>
  <c r="AI16" i="41"/>
  <c r="AG16" i="41"/>
  <c r="AE16" i="41"/>
  <c r="AA16" i="41"/>
  <c r="BJ15" i="41"/>
  <c r="F15" i="41" s="1"/>
  <c r="BG15" i="41"/>
  <c r="BE15" i="41"/>
  <c r="BA15" i="41"/>
  <c r="AY15" i="41"/>
  <c r="AW15" i="41"/>
  <c r="AU15" i="41"/>
  <c r="AS15" i="41"/>
  <c r="AQ15" i="41"/>
  <c r="AM15" i="41"/>
  <c r="AK15" i="41"/>
  <c r="AI15" i="41"/>
  <c r="AG15" i="41"/>
  <c r="AE15" i="41"/>
  <c r="AC15" i="41"/>
  <c r="AA15" i="41"/>
  <c r="BR14" i="41"/>
  <c r="BV14" i="41" s="1"/>
  <c r="BK14" i="41"/>
  <c r="G14" i="41" s="1"/>
  <c r="L14" i="41" s="1"/>
  <c r="BJ14" i="41"/>
  <c r="F14" i="41" s="1"/>
  <c r="BU13" i="41"/>
  <c r="BJ13" i="41"/>
  <c r="F13" i="41" s="1"/>
  <c r="BI13" i="41"/>
  <c r="BG13" i="41"/>
  <c r="BE13" i="41"/>
  <c r="BC13" i="41"/>
  <c r="BA13" i="41"/>
  <c r="AY13" i="41"/>
  <c r="AW13" i="41"/>
  <c r="AU13" i="41"/>
  <c r="AS13" i="41"/>
  <c r="AQ13" i="41"/>
  <c r="AO13" i="41"/>
  <c r="AM13" i="41"/>
  <c r="AK13" i="41"/>
  <c r="AI13" i="41"/>
  <c r="AG13" i="41"/>
  <c r="AE13" i="41"/>
  <c r="AC13" i="41"/>
  <c r="AA13" i="41"/>
  <c r="BU12" i="41"/>
  <c r="BU20" i="41" s="1"/>
  <c r="BJ12" i="41"/>
  <c r="F12" i="41" s="1"/>
  <c r="BI12" i="41"/>
  <c r="BG12" i="41"/>
  <c r="BE12" i="41"/>
  <c r="BC12" i="41"/>
  <c r="BA12" i="41"/>
  <c r="AY12" i="41"/>
  <c r="AW12" i="41"/>
  <c r="AU12" i="41"/>
  <c r="AS12" i="41"/>
  <c r="AQ12" i="41"/>
  <c r="AO12" i="41"/>
  <c r="AM12" i="41"/>
  <c r="AK12" i="41"/>
  <c r="AI12" i="41"/>
  <c r="AG12" i="41"/>
  <c r="AE12" i="41"/>
  <c r="AC12" i="41"/>
  <c r="AA12" i="41"/>
  <c r="BV11" i="41"/>
  <c r="BG5" i="41"/>
  <c r="BF5" i="41"/>
  <c r="BE5" i="41"/>
  <c r="BD5" i="41"/>
  <c r="BC5" i="41"/>
  <c r="BB5" i="41"/>
  <c r="BA5" i="41"/>
  <c r="AZ5" i="41"/>
  <c r="AY5" i="41"/>
  <c r="AX5" i="41"/>
  <c r="AW5" i="41"/>
  <c r="AV5" i="41"/>
  <c r="AU5" i="41"/>
  <c r="AT5" i="41"/>
  <c r="AS5" i="41"/>
  <c r="AR5" i="41"/>
  <c r="AQ5" i="41"/>
  <c r="AP5" i="41"/>
  <c r="AO5" i="41"/>
  <c r="AN5" i="41"/>
  <c r="AM5" i="41"/>
  <c r="AL5" i="41"/>
  <c r="AK5" i="41"/>
  <c r="AJ5" i="41"/>
  <c r="AI5" i="41"/>
  <c r="AH5" i="41"/>
  <c r="AG5" i="41"/>
  <c r="AF5" i="41"/>
  <c r="AE5" i="41"/>
  <c r="AD5" i="41"/>
  <c r="AC5" i="41"/>
  <c r="AB5" i="41"/>
  <c r="AA5" i="41"/>
  <c r="BQ55" i="42"/>
  <c r="BP55" i="42"/>
  <c r="BO55" i="42"/>
  <c r="BN55" i="42"/>
  <c r="BJ55" i="42"/>
  <c r="AX55" i="42"/>
  <c r="AD55" i="42"/>
  <c r="P55" i="42"/>
  <c r="N55" i="42"/>
  <c r="BL54" i="42"/>
  <c r="BK54" i="42"/>
  <c r="BI54" i="42"/>
  <c r="BG54" i="42"/>
  <c r="BE54" i="42"/>
  <c r="BC54" i="42"/>
  <c r="BA54" i="42"/>
  <c r="AY54" i="42"/>
  <c r="AW54" i="42"/>
  <c r="AU54" i="42"/>
  <c r="AS54" i="42"/>
  <c r="AQ54" i="42"/>
  <c r="AO54" i="42"/>
  <c r="AM54" i="42"/>
  <c r="AK54" i="42"/>
  <c r="AI54" i="42"/>
  <c r="AG54" i="42"/>
  <c r="AE54" i="42"/>
  <c r="AC54" i="42"/>
  <c r="W54" i="42"/>
  <c r="AA54" i="42" s="1"/>
  <c r="V54" i="42"/>
  <c r="Z54" i="42" s="1"/>
  <c r="U54" i="42"/>
  <c r="Y54" i="42" s="1"/>
  <c r="T54" i="42"/>
  <c r="X54" i="42" s="1"/>
  <c r="I54" i="42"/>
  <c r="L54" i="42" s="1"/>
  <c r="BK53" i="42"/>
  <c r="BH55" i="42"/>
  <c r="BG53" i="42"/>
  <c r="BF55" i="42"/>
  <c r="BE53" i="42"/>
  <c r="BB55" i="42"/>
  <c r="AY53" i="42"/>
  <c r="AW53" i="42"/>
  <c r="AV55" i="42"/>
  <c r="AT55" i="42"/>
  <c r="AS53" i="42"/>
  <c r="AP55" i="42"/>
  <c r="AN55" i="42"/>
  <c r="AM53" i="42"/>
  <c r="AJ55" i="42"/>
  <c r="AI53" i="42"/>
  <c r="AG53" i="42"/>
  <c r="AE53" i="42"/>
  <c r="AC53" i="42"/>
  <c r="S53" i="42"/>
  <c r="S55" i="42" s="1"/>
  <c r="Q53" i="42"/>
  <c r="Q55" i="42" s="1"/>
  <c r="O53" i="42"/>
  <c r="O55" i="42" s="1"/>
  <c r="M53" i="42"/>
  <c r="M55" i="42" s="1"/>
  <c r="L53" i="42"/>
  <c r="BL52" i="42"/>
  <c r="H52" i="42" s="1"/>
  <c r="I52" i="42" s="1"/>
  <c r="BK52" i="42"/>
  <c r="BI52" i="42"/>
  <c r="BG52" i="42"/>
  <c r="BE52" i="42"/>
  <c r="BC52" i="42"/>
  <c r="BA52" i="42"/>
  <c r="AY52" i="42"/>
  <c r="AW52" i="42"/>
  <c r="AU52" i="42"/>
  <c r="AS52" i="42"/>
  <c r="AQ52" i="42"/>
  <c r="AO52" i="42"/>
  <c r="AM52" i="42"/>
  <c r="AK52" i="42"/>
  <c r="AI52" i="42"/>
  <c r="AG52" i="42"/>
  <c r="AE52" i="42"/>
  <c r="AC52" i="42"/>
  <c r="BW51" i="42"/>
  <c r="BL51" i="42"/>
  <c r="H51" i="42" s="1"/>
  <c r="T51" i="42" s="1"/>
  <c r="BK51" i="42"/>
  <c r="BI51" i="42"/>
  <c r="BG51" i="42"/>
  <c r="BE51" i="42"/>
  <c r="BC51" i="42"/>
  <c r="BA51" i="42"/>
  <c r="AY51" i="42"/>
  <c r="AW51" i="42"/>
  <c r="AU51" i="42"/>
  <c r="AS51" i="42"/>
  <c r="AQ51" i="42"/>
  <c r="AO51" i="42"/>
  <c r="AM51" i="42"/>
  <c r="AK51" i="42"/>
  <c r="AI51" i="42"/>
  <c r="AG51" i="42"/>
  <c r="AE51" i="42"/>
  <c r="AC51" i="42"/>
  <c r="BW50" i="42"/>
  <c r="BP50" i="42"/>
  <c r="BT50" i="42" s="1"/>
  <c r="BK50" i="42"/>
  <c r="BI50" i="42"/>
  <c r="BG50" i="42"/>
  <c r="BE50" i="42"/>
  <c r="BC50" i="42"/>
  <c r="BA50" i="42"/>
  <c r="AY50" i="42"/>
  <c r="AW50" i="42"/>
  <c r="AU50" i="42"/>
  <c r="AS50" i="42"/>
  <c r="AQ50" i="42"/>
  <c r="AO50" i="42"/>
  <c r="AM50" i="42"/>
  <c r="AK50" i="42"/>
  <c r="AI50" i="42"/>
  <c r="AG50" i="42"/>
  <c r="AE50" i="42"/>
  <c r="AC50" i="42"/>
  <c r="BV49" i="42"/>
  <c r="BU49" i="42"/>
  <c r="BS49" i="42"/>
  <c r="BQ49" i="42"/>
  <c r="BO49" i="42"/>
  <c r="BN49" i="42"/>
  <c r="BJ49" i="42"/>
  <c r="S49" i="42"/>
  <c r="R49" i="42"/>
  <c r="Q49" i="42"/>
  <c r="P49" i="42"/>
  <c r="O49" i="42"/>
  <c r="M49" i="42"/>
  <c r="BL48" i="42"/>
  <c r="H48" i="42" s="1"/>
  <c r="BI48" i="42"/>
  <c r="BG48" i="42"/>
  <c r="BE48" i="42"/>
  <c r="BC48" i="42"/>
  <c r="BA48" i="42"/>
  <c r="AY48" i="42"/>
  <c r="AW48" i="42"/>
  <c r="AU48" i="42"/>
  <c r="AS48" i="42"/>
  <c r="AQ48" i="42"/>
  <c r="AO48" i="42"/>
  <c r="AM48" i="42"/>
  <c r="AK48" i="42"/>
  <c r="AI48" i="42"/>
  <c r="AG48" i="42"/>
  <c r="AE48" i="42"/>
  <c r="AC48" i="42"/>
  <c r="V48" i="42"/>
  <c r="Z48" i="42" s="1"/>
  <c r="BL47" i="42"/>
  <c r="H47" i="42" s="1"/>
  <c r="I47" i="42" s="1"/>
  <c r="N47" i="42" s="1"/>
  <c r="N49" i="42" s="1"/>
  <c r="BI47" i="42"/>
  <c r="BG47" i="42"/>
  <c r="BE47" i="42"/>
  <c r="BC47" i="42"/>
  <c r="BA47" i="42"/>
  <c r="AY47" i="42"/>
  <c r="AW47" i="42"/>
  <c r="AU47" i="42"/>
  <c r="AS47" i="42"/>
  <c r="AQ47" i="42"/>
  <c r="AO47" i="42"/>
  <c r="AM47" i="42"/>
  <c r="AK47" i="42"/>
  <c r="AI47" i="42"/>
  <c r="AG47" i="42"/>
  <c r="AE47" i="42"/>
  <c r="AC47" i="42"/>
  <c r="Z47" i="42"/>
  <c r="Y47" i="42"/>
  <c r="X47" i="42"/>
  <c r="BH49" i="42"/>
  <c r="BD49" i="42"/>
  <c r="BB49" i="42"/>
  <c r="AZ49" i="42"/>
  <c r="AX49" i="42"/>
  <c r="AV49" i="42"/>
  <c r="AT49" i="42"/>
  <c r="AS46" i="42"/>
  <c r="AP49" i="42"/>
  <c r="AO46" i="42"/>
  <c r="AM46" i="42"/>
  <c r="AJ49" i="42"/>
  <c r="AH49" i="42"/>
  <c r="AG46" i="42"/>
  <c r="AB49" i="42"/>
  <c r="BL45" i="42"/>
  <c r="H45" i="42" s="1"/>
  <c r="BI45" i="42"/>
  <c r="BG45" i="42"/>
  <c r="BE45" i="42"/>
  <c r="BC45" i="42"/>
  <c r="BA45" i="42"/>
  <c r="AY45" i="42"/>
  <c r="AW45" i="42"/>
  <c r="AU45" i="42"/>
  <c r="AS45" i="42"/>
  <c r="AQ45" i="42"/>
  <c r="AO45" i="42"/>
  <c r="AM45" i="42"/>
  <c r="AK45" i="42"/>
  <c r="AI45" i="42"/>
  <c r="AG45" i="42"/>
  <c r="AE45" i="42"/>
  <c r="AC45" i="42"/>
  <c r="AA45" i="42"/>
  <c r="Z45" i="42"/>
  <c r="Y45" i="42"/>
  <c r="X45" i="42"/>
  <c r="BL44" i="42"/>
  <c r="H44" i="42" s="1"/>
  <c r="BI44" i="42"/>
  <c r="BG44" i="42"/>
  <c r="BE44" i="42"/>
  <c r="BC44" i="42"/>
  <c r="BA44" i="42"/>
  <c r="AY44" i="42"/>
  <c r="AW44" i="42"/>
  <c r="AU44" i="42"/>
  <c r="AS44" i="42"/>
  <c r="AQ44" i="42"/>
  <c r="AO44" i="42"/>
  <c r="AM44" i="42"/>
  <c r="AK44" i="42"/>
  <c r="AI44" i="42"/>
  <c r="AG44" i="42"/>
  <c r="AE44" i="42"/>
  <c r="AC44" i="42"/>
  <c r="AA44" i="42"/>
  <c r="Z44" i="42"/>
  <c r="Y44" i="42"/>
  <c r="X44" i="42"/>
  <c r="BW43" i="42"/>
  <c r="BW49" i="42" s="1"/>
  <c r="BL43" i="42"/>
  <c r="BK43" i="42"/>
  <c r="BK49" i="42" s="1"/>
  <c r="BI43" i="42"/>
  <c r="BG43" i="42"/>
  <c r="BE43" i="42"/>
  <c r="BC43" i="42"/>
  <c r="BA43" i="42"/>
  <c r="AY43" i="42"/>
  <c r="AW43" i="42"/>
  <c r="AU43" i="42"/>
  <c r="AS43" i="42"/>
  <c r="AQ43" i="42"/>
  <c r="AO43" i="42"/>
  <c r="AM43" i="42"/>
  <c r="AK43" i="42"/>
  <c r="AI43" i="42"/>
  <c r="AE43" i="42"/>
  <c r="AC43" i="42"/>
  <c r="BW42" i="42"/>
  <c r="BP42" i="42"/>
  <c r="BT42" i="42" s="1"/>
  <c r="BV41" i="42"/>
  <c r="BU41" i="42"/>
  <c r="BS41" i="42"/>
  <c r="BO41" i="42"/>
  <c r="BN41" i="42"/>
  <c r="BJ41" i="42"/>
  <c r="BH41" i="42"/>
  <c r="BF41" i="42"/>
  <c r="BD41" i="42"/>
  <c r="BB41" i="42"/>
  <c r="AZ41" i="42"/>
  <c r="AX41" i="42"/>
  <c r="AV41" i="42"/>
  <c r="AT41" i="42"/>
  <c r="AR41" i="42"/>
  <c r="AP41" i="42"/>
  <c r="AN41" i="42"/>
  <c r="AL41" i="42"/>
  <c r="AJ41" i="42"/>
  <c r="AH41" i="42"/>
  <c r="AF41" i="42"/>
  <c r="AD41" i="42"/>
  <c r="AB41" i="42"/>
  <c r="S41" i="42"/>
  <c r="R41" i="42"/>
  <c r="Q41" i="42"/>
  <c r="P41" i="42"/>
  <c r="O41" i="42"/>
  <c r="L41" i="42"/>
  <c r="BW40" i="42"/>
  <c r="BL40" i="42"/>
  <c r="H40" i="42" s="1"/>
  <c r="W40" i="42" s="1"/>
  <c r="AA40" i="42" s="1"/>
  <c r="BK40" i="42"/>
  <c r="BI40" i="42"/>
  <c r="BG40" i="42"/>
  <c r="BE40" i="42"/>
  <c r="BC40" i="42"/>
  <c r="BA40" i="42"/>
  <c r="AY40" i="42"/>
  <c r="AW40" i="42"/>
  <c r="AU40" i="42"/>
  <c r="AS40" i="42"/>
  <c r="AQ40" i="42"/>
  <c r="AO40" i="42"/>
  <c r="AM40" i="42"/>
  <c r="AK40" i="42"/>
  <c r="AI40" i="42"/>
  <c r="AG40" i="42"/>
  <c r="AE40" i="42"/>
  <c r="AC40" i="42"/>
  <c r="BX39" i="42"/>
  <c r="BL39" i="42"/>
  <c r="H39" i="42" s="1"/>
  <c r="BI39" i="42"/>
  <c r="BG39" i="42"/>
  <c r="BE39" i="42"/>
  <c r="BC39" i="42"/>
  <c r="BA39" i="42"/>
  <c r="AY39" i="42"/>
  <c r="AW39" i="42"/>
  <c r="AU39" i="42"/>
  <c r="AS39" i="42"/>
  <c r="AQ39" i="42"/>
  <c r="AM39" i="42"/>
  <c r="AK39" i="42"/>
  <c r="AI39" i="42"/>
  <c r="AG39" i="42"/>
  <c r="AE39" i="42"/>
  <c r="AC39" i="42"/>
  <c r="BL38" i="42"/>
  <c r="H38" i="42" s="1"/>
  <c r="BI38" i="42"/>
  <c r="BG38" i="42"/>
  <c r="BE38" i="42"/>
  <c r="BC38" i="42"/>
  <c r="BA38" i="42"/>
  <c r="AY38" i="42"/>
  <c r="AW38" i="42"/>
  <c r="AU38" i="42"/>
  <c r="AS38" i="42"/>
  <c r="AQ38" i="42"/>
  <c r="AO38" i="42"/>
  <c r="AM38" i="42"/>
  <c r="AK38" i="42"/>
  <c r="AI38" i="42"/>
  <c r="AG38" i="42"/>
  <c r="AE38" i="42"/>
  <c r="AC38" i="42"/>
  <c r="BL37" i="42"/>
  <c r="H37" i="42" s="1"/>
  <c r="T37" i="42" s="1"/>
  <c r="BI37" i="42"/>
  <c r="BG37" i="42"/>
  <c r="BE37" i="42"/>
  <c r="BC37" i="42"/>
  <c r="BA37" i="42"/>
  <c r="AY37" i="42"/>
  <c r="AW37" i="42"/>
  <c r="AU37" i="42"/>
  <c r="AS37" i="42"/>
  <c r="AQ37" i="42"/>
  <c r="AO37" i="42"/>
  <c r="AM37" i="42"/>
  <c r="AK37" i="42"/>
  <c r="AI37" i="42"/>
  <c r="AG37" i="42"/>
  <c r="AE37" i="42"/>
  <c r="AC37" i="42"/>
  <c r="V37" i="42"/>
  <c r="BL36" i="42"/>
  <c r="H36" i="42" s="1"/>
  <c r="BK36" i="42"/>
  <c r="BC36" i="42"/>
  <c r="BA36" i="42"/>
  <c r="AM36" i="42"/>
  <c r="AI36" i="42"/>
  <c r="BW35" i="42"/>
  <c r="BL35" i="42"/>
  <c r="H35" i="42" s="1"/>
  <c r="BK35" i="42"/>
  <c r="BI35" i="42"/>
  <c r="BG35" i="42"/>
  <c r="BE35" i="42"/>
  <c r="BC35" i="42"/>
  <c r="BA35" i="42"/>
  <c r="AY35" i="42"/>
  <c r="AW35" i="42"/>
  <c r="AU35" i="42"/>
  <c r="AS35" i="42"/>
  <c r="AQ35" i="42"/>
  <c r="AO35" i="42"/>
  <c r="AM35" i="42"/>
  <c r="AK35" i="42"/>
  <c r="AI35" i="42"/>
  <c r="AG35" i="42"/>
  <c r="AE35" i="42"/>
  <c r="AC35" i="42"/>
  <c r="BL34" i="42"/>
  <c r="H34" i="42" s="1"/>
  <c r="BK34" i="42"/>
  <c r="BI34" i="42"/>
  <c r="BG34" i="42"/>
  <c r="BE34" i="42"/>
  <c r="BC34" i="42"/>
  <c r="BA34" i="42"/>
  <c r="AY34" i="42"/>
  <c r="AW34" i="42"/>
  <c r="AU34" i="42"/>
  <c r="AS34" i="42"/>
  <c r="AM34" i="42"/>
  <c r="AK34" i="42"/>
  <c r="AI34" i="42"/>
  <c r="AG34" i="42"/>
  <c r="AE34" i="42"/>
  <c r="AC34" i="42"/>
  <c r="BL33" i="42"/>
  <c r="H33" i="42" s="1"/>
  <c r="BK33" i="42"/>
  <c r="BI33" i="42"/>
  <c r="BG33" i="42"/>
  <c r="BE33" i="42"/>
  <c r="BC33" i="42"/>
  <c r="BA33" i="42"/>
  <c r="AY33" i="42"/>
  <c r="AW33" i="42"/>
  <c r="AU33" i="42"/>
  <c r="AS33" i="42"/>
  <c r="AM33" i="42"/>
  <c r="AK33" i="42"/>
  <c r="AI33" i="42"/>
  <c r="AG33" i="42"/>
  <c r="AE33" i="42"/>
  <c r="AC33" i="42"/>
  <c r="BW32" i="42"/>
  <c r="BL32" i="42"/>
  <c r="H32" i="42" s="1"/>
  <c r="Z32" i="42" s="1"/>
  <c r="BK32" i="42"/>
  <c r="BI32" i="42"/>
  <c r="BG32" i="42"/>
  <c r="BE32" i="42"/>
  <c r="BC32" i="42"/>
  <c r="BA32" i="42"/>
  <c r="AY32" i="42"/>
  <c r="AW32" i="42"/>
  <c r="AU32" i="42"/>
  <c r="AS32" i="42"/>
  <c r="AQ32" i="42"/>
  <c r="AO32" i="42"/>
  <c r="AM32" i="42"/>
  <c r="AK32" i="42"/>
  <c r="AI32" i="42"/>
  <c r="AG32" i="42"/>
  <c r="AE32" i="42"/>
  <c r="AC32" i="42"/>
  <c r="BW31" i="42"/>
  <c r="BL31" i="42"/>
  <c r="H31" i="42" s="1"/>
  <c r="BK31" i="42"/>
  <c r="BI31" i="42"/>
  <c r="BG31" i="42"/>
  <c r="BE31" i="42"/>
  <c r="BC31" i="42"/>
  <c r="BA31" i="42"/>
  <c r="AY31" i="42"/>
  <c r="AW31" i="42"/>
  <c r="AU31" i="42"/>
  <c r="AS31" i="42"/>
  <c r="AQ31" i="42"/>
  <c r="AO31" i="42"/>
  <c r="AM31" i="42"/>
  <c r="AK31" i="42"/>
  <c r="AI31" i="42"/>
  <c r="AG31" i="42"/>
  <c r="AE31" i="42"/>
  <c r="AC31" i="42"/>
  <c r="BW30" i="42"/>
  <c r="BK30" i="42"/>
  <c r="BI30" i="42"/>
  <c r="BG30" i="42"/>
  <c r="BE30" i="42"/>
  <c r="BC30" i="42"/>
  <c r="BA30" i="42"/>
  <c r="AY30" i="42"/>
  <c r="AW30" i="42"/>
  <c r="AU30" i="42"/>
  <c r="AS30" i="42"/>
  <c r="AQ30" i="42"/>
  <c r="AO30" i="42"/>
  <c r="AM30" i="42"/>
  <c r="AK30" i="42"/>
  <c r="AI30" i="42"/>
  <c r="AG30" i="42"/>
  <c r="AE30" i="42"/>
  <c r="AC30" i="42"/>
  <c r="H30" i="42"/>
  <c r="BW29" i="42"/>
  <c r="BR29" i="42"/>
  <c r="BP29" i="42"/>
  <c r="BV28" i="42"/>
  <c r="BU28" i="42"/>
  <c r="BS28" i="42"/>
  <c r="BR28" i="42"/>
  <c r="BQ28" i="42"/>
  <c r="BO28" i="42"/>
  <c r="BN28" i="42"/>
  <c r="BJ28" i="42"/>
  <c r="BH28" i="42"/>
  <c r="BF28" i="42"/>
  <c r="BD28" i="42"/>
  <c r="BB28" i="42"/>
  <c r="AZ28" i="42"/>
  <c r="AX28" i="42"/>
  <c r="AV28" i="42"/>
  <c r="AT28" i="42"/>
  <c r="AR28" i="42"/>
  <c r="AP28" i="42"/>
  <c r="AN28" i="42"/>
  <c r="AL28" i="42"/>
  <c r="AJ28" i="42"/>
  <c r="AH28" i="42"/>
  <c r="AF28" i="42"/>
  <c r="AD28" i="42"/>
  <c r="AB28" i="42"/>
  <c r="S28" i="42"/>
  <c r="R28" i="42"/>
  <c r="Q28" i="42"/>
  <c r="P28" i="42"/>
  <c r="O28" i="42"/>
  <c r="K28" i="42"/>
  <c r="J28" i="42"/>
  <c r="BW27" i="42"/>
  <c r="BL27" i="42"/>
  <c r="H27" i="42" s="1"/>
  <c r="BK27" i="42"/>
  <c r="BI27" i="42"/>
  <c r="BG27" i="42"/>
  <c r="BE27" i="42"/>
  <c r="BC27" i="42"/>
  <c r="BA27" i="42"/>
  <c r="AY27" i="42"/>
  <c r="AW27" i="42"/>
  <c r="AU27" i="42"/>
  <c r="AS27" i="42"/>
  <c r="AQ27" i="42"/>
  <c r="AO27" i="42"/>
  <c r="AM27" i="42"/>
  <c r="AK27" i="42"/>
  <c r="AI27" i="42"/>
  <c r="AG27" i="42"/>
  <c r="AE27" i="42"/>
  <c r="AC27" i="42"/>
  <c r="BL26" i="42"/>
  <c r="H26" i="42" s="1"/>
  <c r="BI26" i="42"/>
  <c r="AU26" i="42"/>
  <c r="AK26" i="42"/>
  <c r="AI26" i="42"/>
  <c r="AG26" i="42"/>
  <c r="BL25" i="42"/>
  <c r="H25" i="42" s="1"/>
  <c r="V25" i="42" s="1"/>
  <c r="BI25" i="42"/>
  <c r="AK25" i="42"/>
  <c r="AI25" i="42"/>
  <c r="AG25" i="42"/>
  <c r="BL24" i="42"/>
  <c r="H24" i="42" s="1"/>
  <c r="I24" i="42" s="1"/>
  <c r="L24" i="42" s="1"/>
  <c r="L28" i="42" s="1"/>
  <c r="AO24" i="42"/>
  <c r="BM24" i="42" s="1"/>
  <c r="AA24" i="42"/>
  <c r="Z24" i="42"/>
  <c r="Y24" i="42"/>
  <c r="X24" i="42"/>
  <c r="BL23" i="42"/>
  <c r="H23" i="42" s="1"/>
  <c r="BI23" i="42"/>
  <c r="BG23" i="42"/>
  <c r="BE23" i="42"/>
  <c r="BC23" i="42"/>
  <c r="BA23" i="42"/>
  <c r="AY23" i="42"/>
  <c r="AW23" i="42"/>
  <c r="AU23" i="42"/>
  <c r="AS23" i="42"/>
  <c r="AQ23" i="42"/>
  <c r="AM23" i="42"/>
  <c r="AK23" i="42"/>
  <c r="AI23" i="42"/>
  <c r="AG23" i="42"/>
  <c r="AE23" i="42"/>
  <c r="AC23" i="42"/>
  <c r="AA23" i="42"/>
  <c r="Z23" i="42"/>
  <c r="Y23" i="42"/>
  <c r="X23" i="42"/>
  <c r="BW22" i="42"/>
  <c r="BL22" i="42"/>
  <c r="H22" i="42" s="1"/>
  <c r="BK22" i="42"/>
  <c r="BI22" i="42"/>
  <c r="BG22" i="42"/>
  <c r="BE22" i="42"/>
  <c r="BC22" i="42"/>
  <c r="BA22" i="42"/>
  <c r="AY22" i="42"/>
  <c r="AW22" i="42"/>
  <c r="AU22" i="42"/>
  <c r="AS22" i="42"/>
  <c r="AQ22" i="42"/>
  <c r="AO22" i="42"/>
  <c r="AM22" i="42"/>
  <c r="AK22" i="42"/>
  <c r="AI22" i="42"/>
  <c r="AG22" i="42"/>
  <c r="AE22" i="42"/>
  <c r="AC22" i="42"/>
  <c r="BL21" i="42"/>
  <c r="H21" i="42" s="1"/>
  <c r="I21" i="42" s="1"/>
  <c r="BK21" i="42"/>
  <c r="BI21" i="42"/>
  <c r="BG21" i="42"/>
  <c r="BE21" i="42"/>
  <c r="BC21" i="42"/>
  <c r="BA21" i="42"/>
  <c r="AY21" i="42"/>
  <c r="AW21" i="42"/>
  <c r="AU21" i="42"/>
  <c r="AS21" i="42"/>
  <c r="AQ21" i="42"/>
  <c r="AO21" i="42"/>
  <c r="AM21" i="42"/>
  <c r="AK21" i="42"/>
  <c r="AI21" i="42"/>
  <c r="AG21" i="42"/>
  <c r="AE21" i="42"/>
  <c r="AC21" i="42"/>
  <c r="BW20" i="42"/>
  <c r="BP20" i="42"/>
  <c r="BT20" i="42" s="1"/>
  <c r="S19" i="42"/>
  <c r="R19" i="42"/>
  <c r="Q19" i="42"/>
  <c r="O19" i="42"/>
  <c r="M19" i="42"/>
  <c r="L19" i="42"/>
  <c r="K19" i="42"/>
  <c r="J19" i="42"/>
  <c r="BW18" i="42"/>
  <c r="BL18" i="42"/>
  <c r="H18" i="42" s="1"/>
  <c r="I18" i="42" s="1"/>
  <c r="BK18" i="42"/>
  <c r="BI18" i="42"/>
  <c r="BG18" i="42"/>
  <c r="BE18" i="42"/>
  <c r="BC18" i="42"/>
  <c r="BA18" i="42"/>
  <c r="AY18" i="42"/>
  <c r="AW18" i="42"/>
  <c r="AU18" i="42"/>
  <c r="AS18" i="42"/>
  <c r="AQ18" i="42"/>
  <c r="AO18" i="42"/>
  <c r="AM18" i="42"/>
  <c r="AK18" i="42"/>
  <c r="AI18" i="42"/>
  <c r="AG18" i="42"/>
  <c r="AE18" i="42"/>
  <c r="AC18" i="42"/>
  <c r="BW17" i="42"/>
  <c r="BL17" i="42"/>
  <c r="BK17" i="42"/>
  <c r="BI17" i="42"/>
  <c r="BG17" i="42"/>
  <c r="BE17" i="42"/>
  <c r="BC17" i="42"/>
  <c r="BA17" i="42"/>
  <c r="AY17" i="42"/>
  <c r="AW17" i="42"/>
  <c r="AU17" i="42"/>
  <c r="AS17" i="42"/>
  <c r="AQ17" i="42"/>
  <c r="AO17" i="42"/>
  <c r="AM17" i="42"/>
  <c r="AK17" i="42"/>
  <c r="AI17" i="42"/>
  <c r="AG17" i="42"/>
  <c r="AE17" i="42"/>
  <c r="AC17" i="42"/>
  <c r="BW16" i="42"/>
  <c r="BP16" i="42"/>
  <c r="BT16" i="42" s="1"/>
  <c r="BX16" i="42" s="1"/>
  <c r="BV15" i="42"/>
  <c r="BU15" i="42"/>
  <c r="BS15" i="42"/>
  <c r="BR15" i="42"/>
  <c r="BQ15" i="42"/>
  <c r="BO15" i="42"/>
  <c r="BN15" i="42"/>
  <c r="BH15" i="42"/>
  <c r="BF15" i="42"/>
  <c r="BD15" i="42"/>
  <c r="BB15" i="42"/>
  <c r="AZ15" i="42"/>
  <c r="AX15" i="42"/>
  <c r="AV15" i="42"/>
  <c r="AT15" i="42"/>
  <c r="AR15" i="42"/>
  <c r="AP15" i="42"/>
  <c r="AN15" i="42"/>
  <c r="AL15" i="42"/>
  <c r="AJ15" i="42"/>
  <c r="AH15" i="42"/>
  <c r="AF15" i="42"/>
  <c r="AD15" i="42"/>
  <c r="AB15" i="42"/>
  <c r="Q15" i="42"/>
  <c r="P15" i="42"/>
  <c r="O15" i="42"/>
  <c r="M15" i="42"/>
  <c r="L15" i="42"/>
  <c r="BW14" i="42"/>
  <c r="BL14" i="42"/>
  <c r="H14" i="42" s="1"/>
  <c r="BK14" i="42"/>
  <c r="BI14" i="42"/>
  <c r="BG14" i="42"/>
  <c r="BE14" i="42"/>
  <c r="BC14" i="42"/>
  <c r="BA14" i="42"/>
  <c r="AY14" i="42"/>
  <c r="AW14" i="42"/>
  <c r="AU14" i="42"/>
  <c r="AS14" i="42"/>
  <c r="AQ14" i="42"/>
  <c r="AO14" i="42"/>
  <c r="AM14" i="42"/>
  <c r="AK14" i="42"/>
  <c r="AI14" i="42"/>
  <c r="AG14" i="42"/>
  <c r="AE14" i="42"/>
  <c r="AC14" i="42"/>
  <c r="BL13" i="42"/>
  <c r="H13" i="42" s="1"/>
  <c r="AY13" i="42"/>
  <c r="AU13" i="42"/>
  <c r="AO13" i="42"/>
  <c r="AE13" i="42"/>
  <c r="BW12" i="42"/>
  <c r="BL12" i="42"/>
  <c r="H12" i="42" s="1"/>
  <c r="BK12" i="42"/>
  <c r="BI12" i="42"/>
  <c r="BG12" i="42"/>
  <c r="BE12" i="42"/>
  <c r="BC12" i="42"/>
  <c r="BA12" i="42"/>
  <c r="AY12" i="42"/>
  <c r="AW12" i="42"/>
  <c r="AU12" i="42"/>
  <c r="AS12" i="42"/>
  <c r="AQ12" i="42"/>
  <c r="AO12" i="42"/>
  <c r="AM12" i="42"/>
  <c r="AK12" i="42"/>
  <c r="AI12" i="42"/>
  <c r="AG12" i="42"/>
  <c r="AE12" i="42"/>
  <c r="AC12" i="42"/>
  <c r="BW11" i="42"/>
  <c r="BL11" i="42"/>
  <c r="H11" i="42" s="1"/>
  <c r="T11" i="42" s="1"/>
  <c r="BK11" i="42"/>
  <c r="BI11" i="42"/>
  <c r="BG11" i="42"/>
  <c r="BE11" i="42"/>
  <c r="BC11" i="42"/>
  <c r="BA11" i="42"/>
  <c r="AY11" i="42"/>
  <c r="AW11" i="42"/>
  <c r="AU11" i="42"/>
  <c r="AS11" i="42"/>
  <c r="AQ11" i="42"/>
  <c r="AO11" i="42"/>
  <c r="AM11" i="42"/>
  <c r="AK11" i="42"/>
  <c r="AI11" i="42"/>
  <c r="AG11" i="42"/>
  <c r="AE11" i="42"/>
  <c r="AC11" i="42"/>
  <c r="BI4" i="42"/>
  <c r="BH4" i="42"/>
  <c r="BG4" i="42"/>
  <c r="BF4" i="42"/>
  <c r="BE4" i="42"/>
  <c r="BD4" i="42"/>
  <c r="BC4" i="42"/>
  <c r="BB4" i="42"/>
  <c r="BA4" i="42"/>
  <c r="AZ4" i="42"/>
  <c r="AY4" i="42"/>
  <c r="AX4" i="42"/>
  <c r="AW4" i="42"/>
  <c r="AV4" i="42"/>
  <c r="AU4" i="42"/>
  <c r="AT4" i="42"/>
  <c r="AS4" i="42"/>
  <c r="AR4" i="42"/>
  <c r="AQ4" i="42"/>
  <c r="AP4" i="42"/>
  <c r="AO4" i="42"/>
  <c r="AN4" i="42"/>
  <c r="AM4" i="42"/>
  <c r="AL4" i="42"/>
  <c r="AK4" i="42"/>
  <c r="AJ4" i="42"/>
  <c r="AI4" i="42"/>
  <c r="AH4" i="42"/>
  <c r="AG4" i="42"/>
  <c r="AF4" i="42"/>
  <c r="AE4" i="42"/>
  <c r="AD4" i="42"/>
  <c r="AC4" i="42"/>
  <c r="BO71" i="43"/>
  <c r="BM71" i="43"/>
  <c r="BI71" i="43"/>
  <c r="BG71" i="43"/>
  <c r="BE71" i="43"/>
  <c r="BC71" i="43"/>
  <c r="BA71" i="43"/>
  <c r="AY71" i="43"/>
  <c r="AW71" i="43"/>
  <c r="AU71" i="43"/>
  <c r="AS71" i="43"/>
  <c r="AQ71" i="43"/>
  <c r="AO71" i="43"/>
  <c r="AM71" i="43"/>
  <c r="AK71" i="43"/>
  <c r="AI71" i="43"/>
  <c r="AG71" i="43"/>
  <c r="AE71" i="43"/>
  <c r="AC71" i="43"/>
  <c r="AA71" i="43"/>
  <c r="R71" i="43"/>
  <c r="P71" i="43"/>
  <c r="O71" i="43"/>
  <c r="N71" i="43"/>
  <c r="M71" i="43"/>
  <c r="L71" i="43"/>
  <c r="K71" i="43"/>
  <c r="BK70" i="43"/>
  <c r="G70" i="43" s="1"/>
  <c r="S70" i="43" s="1"/>
  <c r="S71" i="43" s="1"/>
  <c r="BB70" i="43"/>
  <c r="AX70" i="43"/>
  <c r="AV70" i="43"/>
  <c r="AR70" i="43"/>
  <c r="AP70" i="43"/>
  <c r="AH70" i="43"/>
  <c r="BK69" i="43"/>
  <c r="G69" i="43" s="1"/>
  <c r="E88" i="51" s="1"/>
  <c r="BJ69" i="43"/>
  <c r="BH69" i="43"/>
  <c r="BF69" i="43"/>
  <c r="BF71" i="43" s="1"/>
  <c r="BD69" i="43"/>
  <c r="BD71" i="43" s="1"/>
  <c r="BB69" i="43"/>
  <c r="AZ69" i="43"/>
  <c r="AZ71" i="43" s="1"/>
  <c r="AX69" i="43"/>
  <c r="AX71" i="43" s="1"/>
  <c r="AV69" i="43"/>
  <c r="AV71" i="43" s="1"/>
  <c r="AT69" i="43"/>
  <c r="AT71" i="43" s="1"/>
  <c r="AR69" i="43"/>
  <c r="AP69" i="43"/>
  <c r="AN69" i="43"/>
  <c r="AN71" i="43" s="1"/>
  <c r="AL69" i="43"/>
  <c r="AL71" i="43" s="1"/>
  <c r="AJ69" i="43"/>
  <c r="AJ71" i="43" s="1"/>
  <c r="AH69" i="43"/>
  <c r="AF69" i="43"/>
  <c r="AF71" i="43" s="1"/>
  <c r="AD69" i="43"/>
  <c r="AD71" i="43" s="1"/>
  <c r="AB69" i="43"/>
  <c r="AB71" i="43" s="1"/>
  <c r="W69" i="43"/>
  <c r="V69" i="43"/>
  <c r="BK67" i="43"/>
  <c r="G67" i="43" s="1"/>
  <c r="BJ67" i="43"/>
  <c r="BL67" i="43" s="1"/>
  <c r="H67" i="43" s="1"/>
  <c r="Z67" i="43"/>
  <c r="W67" i="43"/>
  <c r="V67" i="43"/>
  <c r="BK66" i="43"/>
  <c r="G66" i="43" s="1"/>
  <c r="U66" i="43" s="1"/>
  <c r="BJ66" i="43"/>
  <c r="BL66" i="43" s="1"/>
  <c r="H66" i="43" s="1"/>
  <c r="Z66" i="43"/>
  <c r="W66" i="43"/>
  <c r="V66" i="43"/>
  <c r="BV65" i="43"/>
  <c r="BO65" i="43"/>
  <c r="BS65" i="43" s="1"/>
  <c r="BU64" i="43"/>
  <c r="BT64" i="43"/>
  <c r="BT66" i="43" s="1"/>
  <c r="BR64" i="43"/>
  <c r="BP64" i="43"/>
  <c r="BP66" i="43" s="1"/>
  <c r="BM64" i="43"/>
  <c r="BG64" i="43"/>
  <c r="BE64" i="43"/>
  <c r="BC64" i="43"/>
  <c r="BA64" i="43"/>
  <c r="AY64" i="43"/>
  <c r="AW64" i="43"/>
  <c r="AU64" i="43"/>
  <c r="AS64" i="43"/>
  <c r="AQ64" i="43"/>
  <c r="AO64" i="43"/>
  <c r="AM64" i="43"/>
  <c r="AK64" i="43"/>
  <c r="AI64" i="43"/>
  <c r="AG64" i="43"/>
  <c r="AE64" i="43"/>
  <c r="AC64" i="43"/>
  <c r="AA64" i="43"/>
  <c r="BV63" i="43"/>
  <c r="BJ63" i="43"/>
  <c r="BI63" i="43"/>
  <c r="BI64" i="43" s="1"/>
  <c r="BH63" i="43"/>
  <c r="BF63" i="43"/>
  <c r="BD63" i="43"/>
  <c r="BB63" i="43"/>
  <c r="AZ63" i="43"/>
  <c r="AX63" i="43"/>
  <c r="AV63" i="43"/>
  <c r="AT63" i="43"/>
  <c r="AR63" i="43"/>
  <c r="AP63" i="43"/>
  <c r="AN63" i="43"/>
  <c r="AL63" i="43"/>
  <c r="AJ63" i="43"/>
  <c r="AH63" i="43"/>
  <c r="AF63" i="43"/>
  <c r="AD63" i="43"/>
  <c r="AB63" i="43"/>
  <c r="Y63" i="43"/>
  <c r="X63" i="43"/>
  <c r="W63" i="43"/>
  <c r="R63" i="43"/>
  <c r="P63" i="43"/>
  <c r="P64" i="43" s="1"/>
  <c r="O63" i="43"/>
  <c r="O64" i="43" s="1"/>
  <c r="N63" i="43"/>
  <c r="N64" i="43" s="1"/>
  <c r="M63" i="43"/>
  <c r="L63" i="43"/>
  <c r="L64" i="43" s="1"/>
  <c r="K63" i="43"/>
  <c r="BK62" i="43"/>
  <c r="BH62" i="43"/>
  <c r="BF62" i="43"/>
  <c r="BD62" i="43"/>
  <c r="BB62" i="43"/>
  <c r="AZ62" i="43"/>
  <c r="AX62" i="43"/>
  <c r="AV62" i="43"/>
  <c r="AT62" i="43"/>
  <c r="AR62" i="43"/>
  <c r="AP62" i="43"/>
  <c r="AN62" i="43"/>
  <c r="AL62" i="43"/>
  <c r="AJ62" i="43"/>
  <c r="AH62" i="43"/>
  <c r="AF62" i="43"/>
  <c r="AD62" i="43"/>
  <c r="AB62" i="43"/>
  <c r="G62" i="43"/>
  <c r="E84" i="51" s="1"/>
  <c r="BK61" i="43"/>
  <c r="G61" i="43" s="1"/>
  <c r="BH61" i="43"/>
  <c r="BF61" i="43"/>
  <c r="BD61" i="43"/>
  <c r="BB61" i="43"/>
  <c r="AZ61" i="43"/>
  <c r="AR61" i="43"/>
  <c r="AP61" i="43"/>
  <c r="AN61" i="43"/>
  <c r="AL61" i="43"/>
  <c r="AJ61" i="43"/>
  <c r="AH61" i="43"/>
  <c r="AF61" i="43"/>
  <c r="AD61" i="43"/>
  <c r="AB61" i="43"/>
  <c r="X61" i="43"/>
  <c r="W61" i="43"/>
  <c r="BK60" i="43"/>
  <c r="G60" i="43" s="1"/>
  <c r="BJ60" i="43"/>
  <c r="BH60" i="43"/>
  <c r="BF60" i="43"/>
  <c r="BD60" i="43"/>
  <c r="BB60" i="43"/>
  <c r="AZ60" i="43"/>
  <c r="AX60" i="43"/>
  <c r="AV60" i="43"/>
  <c r="AT60" i="43"/>
  <c r="AR60" i="43"/>
  <c r="AP60" i="43"/>
  <c r="AN60" i="43"/>
  <c r="AL60" i="43"/>
  <c r="AJ60" i="43"/>
  <c r="AH60" i="43"/>
  <c r="AF60" i="43"/>
  <c r="AD60" i="43"/>
  <c r="AB60" i="43"/>
  <c r="BK59" i="43"/>
  <c r="G59" i="43" s="1"/>
  <c r="BH59" i="43"/>
  <c r="BF59" i="43"/>
  <c r="BD59" i="43"/>
  <c r="BB59" i="43"/>
  <c r="AZ59" i="43"/>
  <c r="AX59" i="43"/>
  <c r="AV59" i="43"/>
  <c r="AT59" i="43"/>
  <c r="AR59" i="43"/>
  <c r="AP59" i="43"/>
  <c r="AN59" i="43"/>
  <c r="AL59" i="43"/>
  <c r="AJ59" i="43"/>
  <c r="AH59" i="43"/>
  <c r="AF59" i="43"/>
  <c r="AD59" i="43"/>
  <c r="AB59" i="43"/>
  <c r="BK58" i="43"/>
  <c r="G58" i="43" s="1"/>
  <c r="E82" i="51" s="1"/>
  <c r="BH58" i="43"/>
  <c r="BF58" i="43"/>
  <c r="BD58" i="43"/>
  <c r="BB58" i="43"/>
  <c r="AZ58" i="43"/>
  <c r="AX58" i="43"/>
  <c r="AV58" i="43"/>
  <c r="AT58" i="43"/>
  <c r="AR58" i="43"/>
  <c r="AP58" i="43"/>
  <c r="AN58" i="43"/>
  <c r="AL58" i="43"/>
  <c r="AJ58" i="43"/>
  <c r="AH58" i="43"/>
  <c r="AF58" i="43"/>
  <c r="AD58" i="43"/>
  <c r="AB58" i="43"/>
  <c r="BK57" i="43"/>
  <c r="BH57" i="43"/>
  <c r="BF57" i="43"/>
  <c r="BD57" i="43"/>
  <c r="BB57" i="43"/>
  <c r="AZ57" i="43"/>
  <c r="AX57" i="43"/>
  <c r="AV57" i="43"/>
  <c r="AT57" i="43"/>
  <c r="AR57" i="43"/>
  <c r="AP57" i="43"/>
  <c r="AN57" i="43"/>
  <c r="AL57" i="43"/>
  <c r="AJ57" i="43"/>
  <c r="AH57" i="43"/>
  <c r="AF57" i="43"/>
  <c r="AD57" i="43"/>
  <c r="AB57" i="43"/>
  <c r="G57" i="43"/>
  <c r="S57" i="43" s="1"/>
  <c r="W57" i="43" s="1"/>
  <c r="BK56" i="43"/>
  <c r="G56" i="43" s="1"/>
  <c r="BH56" i="43"/>
  <c r="BF56" i="43"/>
  <c r="BD56" i="43"/>
  <c r="BB56" i="43"/>
  <c r="AX56" i="43"/>
  <c r="AT56" i="43"/>
  <c r="AR56" i="43"/>
  <c r="AP56" i="43"/>
  <c r="AH56" i="43"/>
  <c r="AF56" i="43"/>
  <c r="AD56" i="43"/>
  <c r="AB56" i="43"/>
  <c r="BK55" i="43"/>
  <c r="G55" i="43" s="1"/>
  <c r="BJ55" i="43"/>
  <c r="BH55" i="43"/>
  <c r="BF55" i="43"/>
  <c r="BD55" i="43"/>
  <c r="BB55" i="43"/>
  <c r="AZ55" i="43"/>
  <c r="AX55" i="43"/>
  <c r="AV55" i="43"/>
  <c r="AT55" i="43"/>
  <c r="AR55" i="43"/>
  <c r="AP55" i="43"/>
  <c r="AN55" i="43"/>
  <c r="AL55" i="43"/>
  <c r="AJ55" i="43"/>
  <c r="AH55" i="43"/>
  <c r="AF55" i="43"/>
  <c r="AD55" i="43"/>
  <c r="AB55" i="43"/>
  <c r="BK54" i="43"/>
  <c r="G54" i="43" s="1"/>
  <c r="H54" i="43" s="1"/>
  <c r="K54" i="43" s="1"/>
  <c r="BH54" i="43"/>
  <c r="BF54" i="43"/>
  <c r="BD54" i="43"/>
  <c r="BB54" i="43"/>
  <c r="AZ54" i="43"/>
  <c r="AX54" i="43"/>
  <c r="AV54" i="43"/>
  <c r="AT54" i="43"/>
  <c r="AR54" i="43"/>
  <c r="AP54" i="43"/>
  <c r="AN54" i="43"/>
  <c r="AL54" i="43"/>
  <c r="AJ54" i="43"/>
  <c r="AH54" i="43"/>
  <c r="AF54" i="43"/>
  <c r="AD54" i="43"/>
  <c r="AB54" i="43"/>
  <c r="BK53" i="43"/>
  <c r="G53" i="43" s="1"/>
  <c r="H53" i="43" s="1"/>
  <c r="BH53" i="43"/>
  <c r="BF53" i="43"/>
  <c r="BD53" i="43"/>
  <c r="BB53" i="43"/>
  <c r="AZ53" i="43"/>
  <c r="AX53" i="43"/>
  <c r="AV53" i="43"/>
  <c r="AT53" i="43"/>
  <c r="AR53" i="43"/>
  <c r="AP53" i="43"/>
  <c r="AN53" i="43"/>
  <c r="AL53" i="43"/>
  <c r="AJ53" i="43"/>
  <c r="AH53" i="43"/>
  <c r="AF53" i="43"/>
  <c r="AD53" i="43"/>
  <c r="AB53" i="43"/>
  <c r="Z53" i="43"/>
  <c r="Y53" i="43"/>
  <c r="X53" i="43"/>
  <c r="W53" i="43"/>
  <c r="BK52" i="43"/>
  <c r="G52" i="43" s="1"/>
  <c r="BH52" i="43"/>
  <c r="BF52" i="43"/>
  <c r="BD52" i="43"/>
  <c r="BB52" i="43"/>
  <c r="AZ52" i="43"/>
  <c r="AX52" i="43"/>
  <c r="AV52" i="43"/>
  <c r="AT52" i="43"/>
  <c r="AR52" i="43"/>
  <c r="AP52" i="43"/>
  <c r="AN52" i="43"/>
  <c r="AL52" i="43"/>
  <c r="AJ52" i="43"/>
  <c r="AH52" i="43"/>
  <c r="AF52" i="43"/>
  <c r="AD52" i="43"/>
  <c r="AB52" i="43"/>
  <c r="BK51" i="43"/>
  <c r="G51" i="43" s="1"/>
  <c r="BH51" i="43"/>
  <c r="BF51" i="43"/>
  <c r="BD51" i="43"/>
  <c r="BB51" i="43"/>
  <c r="AZ51" i="43"/>
  <c r="AX51" i="43"/>
  <c r="AV51" i="43"/>
  <c r="AT51" i="43"/>
  <c r="AR51" i="43"/>
  <c r="AP51" i="43"/>
  <c r="AN51" i="43"/>
  <c r="AL51" i="43"/>
  <c r="AJ51" i="43"/>
  <c r="AH51" i="43"/>
  <c r="AF51" i="43"/>
  <c r="AD51" i="43"/>
  <c r="AB51" i="43"/>
  <c r="BW50" i="43"/>
  <c r="BH50" i="43"/>
  <c r="BF50" i="43"/>
  <c r="BD50" i="43"/>
  <c r="AZ50" i="43"/>
  <c r="AX50" i="43"/>
  <c r="AV50" i="43"/>
  <c r="AP50" i="43"/>
  <c r="AL50" i="43"/>
  <c r="AJ50" i="43"/>
  <c r="AH50" i="43"/>
  <c r="AF50" i="43"/>
  <c r="AD50" i="43"/>
  <c r="AB50" i="43"/>
  <c r="BU49" i="43"/>
  <c r="BT49" i="43"/>
  <c r="BR49" i="43"/>
  <c r="BP49" i="43"/>
  <c r="BO49" i="43"/>
  <c r="BN49" i="43"/>
  <c r="BM49" i="43"/>
  <c r="BI49" i="43"/>
  <c r="BG49" i="43"/>
  <c r="BE49" i="43"/>
  <c r="BC49" i="43"/>
  <c r="BA49" i="43"/>
  <c r="AY49" i="43"/>
  <c r="AW49" i="43"/>
  <c r="AU49" i="43"/>
  <c r="AS49" i="43"/>
  <c r="AQ49" i="43"/>
  <c r="AO49" i="43"/>
  <c r="AM49" i="43"/>
  <c r="AK49" i="43"/>
  <c r="AI49" i="43"/>
  <c r="AG49" i="43"/>
  <c r="AE49" i="43"/>
  <c r="AC49" i="43"/>
  <c r="AA49" i="43"/>
  <c r="R49" i="43"/>
  <c r="P49" i="43"/>
  <c r="O49" i="43"/>
  <c r="N49" i="43"/>
  <c r="M49" i="43"/>
  <c r="L49" i="43"/>
  <c r="K49" i="43"/>
  <c r="BV48" i="43"/>
  <c r="BK48" i="43"/>
  <c r="G48" i="43" s="1"/>
  <c r="T48" i="43" s="1"/>
  <c r="X48" i="43" s="1"/>
  <c r="BJ48" i="43"/>
  <c r="BH48" i="43"/>
  <c r="BF48" i="43"/>
  <c r="BD48" i="43"/>
  <c r="BB48" i="43"/>
  <c r="AZ48" i="43"/>
  <c r="AX48" i="43"/>
  <c r="AV48" i="43"/>
  <c r="AT48" i="43"/>
  <c r="AR48" i="43"/>
  <c r="AP48" i="43"/>
  <c r="AN48" i="43"/>
  <c r="AL48" i="43"/>
  <c r="AJ48" i="43"/>
  <c r="AH48" i="43"/>
  <c r="AF48" i="43"/>
  <c r="AD48" i="43"/>
  <c r="AB48" i="43"/>
  <c r="BV47" i="43"/>
  <c r="BK47" i="43"/>
  <c r="G47" i="43" s="1"/>
  <c r="BJ47" i="43"/>
  <c r="BH47" i="43"/>
  <c r="BF47" i="43"/>
  <c r="BD47" i="43"/>
  <c r="BB47" i="43"/>
  <c r="AZ47" i="43"/>
  <c r="AX47" i="43"/>
  <c r="AV47" i="43"/>
  <c r="AT47" i="43"/>
  <c r="AR47" i="43"/>
  <c r="AP47" i="43"/>
  <c r="AN47" i="43"/>
  <c r="AL47" i="43"/>
  <c r="AJ47" i="43"/>
  <c r="AH47" i="43"/>
  <c r="AF47" i="43"/>
  <c r="AD47" i="43"/>
  <c r="AB47" i="43"/>
  <c r="BV46" i="43"/>
  <c r="BK46" i="43"/>
  <c r="G46" i="43" s="1"/>
  <c r="T46" i="43" s="1"/>
  <c r="X46" i="43" s="1"/>
  <c r="BJ46" i="43"/>
  <c r="BH46" i="43"/>
  <c r="BF46" i="43"/>
  <c r="BD46" i="43"/>
  <c r="BB46" i="43"/>
  <c r="AZ46" i="43"/>
  <c r="AX46" i="43"/>
  <c r="AV46" i="43"/>
  <c r="AT46" i="43"/>
  <c r="AR46" i="43"/>
  <c r="AP46" i="43"/>
  <c r="AN46" i="43"/>
  <c r="AL46" i="43"/>
  <c r="AJ46" i="43"/>
  <c r="AH46" i="43"/>
  <c r="AF46" i="43"/>
  <c r="AD46" i="43"/>
  <c r="AB46" i="43"/>
  <c r="BV45" i="43"/>
  <c r="BK45" i="43"/>
  <c r="BJ45" i="43"/>
  <c r="BH45" i="43"/>
  <c r="BF45" i="43"/>
  <c r="BD45" i="43"/>
  <c r="BB45" i="43"/>
  <c r="AZ45" i="43"/>
  <c r="AX45" i="43"/>
  <c r="AV45" i="43"/>
  <c r="AT45" i="43"/>
  <c r="AR45" i="43"/>
  <c r="AP45" i="43"/>
  <c r="AN45" i="43"/>
  <c r="AL45" i="43"/>
  <c r="AJ45" i="43"/>
  <c r="AH45" i="43"/>
  <c r="AF45" i="43"/>
  <c r="AD45" i="43"/>
  <c r="AB45" i="43"/>
  <c r="BV44" i="43"/>
  <c r="BK44" i="43"/>
  <c r="G44" i="43" s="1"/>
  <c r="BJ44" i="43"/>
  <c r="BH44" i="43"/>
  <c r="BF44" i="43"/>
  <c r="BD44" i="43"/>
  <c r="AZ44" i="43"/>
  <c r="AX44" i="43"/>
  <c r="AV44" i="43"/>
  <c r="AR44" i="43"/>
  <c r="AP44" i="43"/>
  <c r="AN44" i="43"/>
  <c r="AL44" i="43"/>
  <c r="AJ44" i="43"/>
  <c r="AH44" i="43"/>
  <c r="AF44" i="43"/>
  <c r="AD44" i="43"/>
  <c r="AB44" i="43"/>
  <c r="BW43" i="43"/>
  <c r="BL43" i="43"/>
  <c r="BK43" i="43"/>
  <c r="BJ43" i="43"/>
  <c r="BH43" i="43"/>
  <c r="BF43" i="43"/>
  <c r="BD43" i="43"/>
  <c r="AZ43" i="43"/>
  <c r="AX43" i="43"/>
  <c r="AV43" i="43"/>
  <c r="AP43" i="43"/>
  <c r="AL43" i="43"/>
  <c r="AJ43" i="43"/>
  <c r="AH43" i="43"/>
  <c r="AF43" i="43"/>
  <c r="AD43" i="43"/>
  <c r="AB43" i="43"/>
  <c r="BU42" i="43"/>
  <c r="BT42" i="43"/>
  <c r="BR42" i="43"/>
  <c r="BO42" i="43"/>
  <c r="BN42" i="43"/>
  <c r="BM42" i="43"/>
  <c r="BI42" i="43"/>
  <c r="BG42" i="43"/>
  <c r="BE42" i="43"/>
  <c r="BC42" i="43"/>
  <c r="BA42" i="43"/>
  <c r="AY42" i="43"/>
  <c r="AW42" i="43"/>
  <c r="AU42" i="43"/>
  <c r="AS42" i="43"/>
  <c r="AQ42" i="43"/>
  <c r="AO42" i="43"/>
  <c r="AM42" i="43"/>
  <c r="AK42" i="43"/>
  <c r="AI42" i="43"/>
  <c r="AG42" i="43"/>
  <c r="AE42" i="43"/>
  <c r="AC42" i="43"/>
  <c r="AA42" i="43"/>
  <c r="R42" i="43"/>
  <c r="P42" i="43"/>
  <c r="N42" i="43"/>
  <c r="L42" i="43"/>
  <c r="BV41" i="43"/>
  <c r="BK41" i="43"/>
  <c r="G41" i="43" s="1"/>
  <c r="BJ41" i="43"/>
  <c r="BH41" i="43"/>
  <c r="BF41" i="43"/>
  <c r="BD41" i="43"/>
  <c r="BB41" i="43"/>
  <c r="AZ41" i="43"/>
  <c r="AX41" i="43"/>
  <c r="AT41" i="43"/>
  <c r="AR41" i="43"/>
  <c r="AP41" i="43"/>
  <c r="AN41" i="43"/>
  <c r="AL41" i="43"/>
  <c r="AH41" i="43"/>
  <c r="AF41" i="43"/>
  <c r="AD41" i="43"/>
  <c r="AB41" i="43"/>
  <c r="BK40" i="43"/>
  <c r="G40" i="43" s="1"/>
  <c r="E79" i="51" s="1"/>
  <c r="BH40" i="43"/>
  <c r="BF40" i="43"/>
  <c r="BD40" i="43"/>
  <c r="BB40" i="43"/>
  <c r="AZ40" i="43"/>
  <c r="AX40" i="43"/>
  <c r="AV40" i="43"/>
  <c r="AT40" i="43"/>
  <c r="AR40" i="43"/>
  <c r="AP40" i="43"/>
  <c r="AN40" i="43"/>
  <c r="AL40" i="43"/>
  <c r="AJ40" i="43"/>
  <c r="AH40" i="43"/>
  <c r="AF40" i="43"/>
  <c r="AD40" i="43"/>
  <c r="AB40" i="43"/>
  <c r="Z40" i="43"/>
  <c r="Y40" i="43"/>
  <c r="X40" i="43"/>
  <c r="W40" i="43"/>
  <c r="BK39" i="43"/>
  <c r="G39" i="43" s="1"/>
  <c r="BF39" i="43"/>
  <c r="BD39" i="43"/>
  <c r="AZ39" i="43"/>
  <c r="AX39" i="43"/>
  <c r="AV39" i="43"/>
  <c r="AT39" i="43"/>
  <c r="AR39" i="43"/>
  <c r="AP39" i="43"/>
  <c r="AN39" i="43"/>
  <c r="AJ39" i="43"/>
  <c r="AH39" i="43"/>
  <c r="AF39" i="43"/>
  <c r="AD39" i="43"/>
  <c r="AB39" i="43"/>
  <c r="Z39" i="43"/>
  <c r="Y39" i="43"/>
  <c r="X39" i="43"/>
  <c r="W39" i="43"/>
  <c r="BV38" i="43"/>
  <c r="BK38" i="43"/>
  <c r="G38" i="43" s="1"/>
  <c r="BJ38" i="43"/>
  <c r="BH38" i="43"/>
  <c r="BF38" i="43"/>
  <c r="BD38" i="43"/>
  <c r="BB38" i="43"/>
  <c r="AZ38" i="43"/>
  <c r="AX38" i="43"/>
  <c r="AV38" i="43"/>
  <c r="AT38" i="43"/>
  <c r="AR38" i="43"/>
  <c r="AP38" i="43"/>
  <c r="AN38" i="43"/>
  <c r="AL38" i="43"/>
  <c r="AJ38" i="43"/>
  <c r="AH38" i="43"/>
  <c r="AF38" i="43"/>
  <c r="AD38" i="43"/>
  <c r="AB38" i="43"/>
  <c r="Y38" i="43"/>
  <c r="X38" i="43"/>
  <c r="W38" i="43"/>
  <c r="BK37" i="43"/>
  <c r="G37" i="43" s="1"/>
  <c r="BH37" i="43"/>
  <c r="BF37" i="43"/>
  <c r="BD37" i="43"/>
  <c r="BB37" i="43"/>
  <c r="AZ37" i="43"/>
  <c r="AX37" i="43"/>
  <c r="AV37" i="43"/>
  <c r="AT37" i="43"/>
  <c r="AR37" i="43"/>
  <c r="AP37" i="43"/>
  <c r="AN37" i="43"/>
  <c r="AL37" i="43"/>
  <c r="AJ37" i="43"/>
  <c r="AH37" i="43"/>
  <c r="AF37" i="43"/>
  <c r="AD37" i="43"/>
  <c r="AB37" i="43"/>
  <c r="Z37" i="43"/>
  <c r="Y37" i="43"/>
  <c r="X37" i="43"/>
  <c r="W37" i="43"/>
  <c r="BK36" i="43"/>
  <c r="G36" i="43" s="1"/>
  <c r="V36" i="43" s="1"/>
  <c r="Z36" i="43" s="1"/>
  <c r="BJ36" i="43"/>
  <c r="BH36" i="43"/>
  <c r="BF36" i="43"/>
  <c r="BD36" i="43"/>
  <c r="BB36" i="43"/>
  <c r="AZ36" i="43"/>
  <c r="AX36" i="43"/>
  <c r="AV36" i="43"/>
  <c r="AT36" i="43"/>
  <c r="AR36" i="43"/>
  <c r="AP36" i="43"/>
  <c r="AN36" i="43"/>
  <c r="AL36" i="43"/>
  <c r="AJ36" i="43"/>
  <c r="AH36" i="43"/>
  <c r="AF36" i="43"/>
  <c r="AD36" i="43"/>
  <c r="AB36" i="43"/>
  <c r="BK35" i="43"/>
  <c r="G35" i="43" s="1"/>
  <c r="BH35" i="43"/>
  <c r="BF35" i="43"/>
  <c r="BD35" i="43"/>
  <c r="BB35" i="43"/>
  <c r="AZ35" i="43"/>
  <c r="AX35" i="43"/>
  <c r="AV35" i="43"/>
  <c r="AT35" i="43"/>
  <c r="AR35" i="43"/>
  <c r="AP35" i="43"/>
  <c r="AN35" i="43"/>
  <c r="AL35" i="43"/>
  <c r="AJ35" i="43"/>
  <c r="AH35" i="43"/>
  <c r="AF35" i="43"/>
  <c r="AD35" i="43"/>
  <c r="AB35" i="43"/>
  <c r="BK34" i="43"/>
  <c r="G34" i="43" s="1"/>
  <c r="BH34" i="43"/>
  <c r="BF34" i="43"/>
  <c r="BD34" i="43"/>
  <c r="BB34" i="43"/>
  <c r="AZ34" i="43"/>
  <c r="AX34" i="43"/>
  <c r="AV34" i="43"/>
  <c r="AT34" i="43"/>
  <c r="AR34" i="43"/>
  <c r="AP34" i="43"/>
  <c r="AN34" i="43"/>
  <c r="AL34" i="43"/>
  <c r="AJ34" i="43"/>
  <c r="AH34" i="43"/>
  <c r="AF34" i="43"/>
  <c r="AD34" i="43"/>
  <c r="AB34" i="43"/>
  <c r="BK33" i="43"/>
  <c r="G33" i="43" s="1"/>
  <c r="E77" i="51" s="1"/>
  <c r="BH33" i="43"/>
  <c r="BF33" i="43"/>
  <c r="BD33" i="43"/>
  <c r="BB33" i="43"/>
  <c r="AZ33" i="43"/>
  <c r="AX33" i="43"/>
  <c r="AV33" i="43"/>
  <c r="AT33" i="43"/>
  <c r="AR33" i="43"/>
  <c r="AP33" i="43"/>
  <c r="AN33" i="43"/>
  <c r="AL33" i="43"/>
  <c r="AJ33" i="43"/>
  <c r="AH33" i="43"/>
  <c r="AF33" i="43"/>
  <c r="AD33" i="43"/>
  <c r="AB33" i="43"/>
  <c r="BK32" i="43"/>
  <c r="G32" i="43" s="1"/>
  <c r="H32" i="43" s="1"/>
  <c r="BH32" i="43"/>
  <c r="BF32" i="43"/>
  <c r="BD32" i="43"/>
  <c r="BB32" i="43"/>
  <c r="AZ32" i="43"/>
  <c r="AX32" i="43"/>
  <c r="AV32" i="43"/>
  <c r="AT32" i="43"/>
  <c r="AR32" i="43"/>
  <c r="AP32" i="43"/>
  <c r="AL32" i="43"/>
  <c r="AJ32" i="43"/>
  <c r="AH32" i="43"/>
  <c r="AF32" i="43"/>
  <c r="AD32" i="43"/>
  <c r="AB32" i="43"/>
  <c r="BK31" i="43"/>
  <c r="G31" i="43" s="1"/>
  <c r="BH31" i="43"/>
  <c r="BF31" i="43"/>
  <c r="BD31" i="43"/>
  <c r="BB31" i="43"/>
  <c r="AZ31" i="43"/>
  <c r="AX31" i="43"/>
  <c r="AV31" i="43"/>
  <c r="AT31" i="43"/>
  <c r="AR31" i="43"/>
  <c r="AP31" i="43"/>
  <c r="AN31" i="43"/>
  <c r="AL31" i="43"/>
  <c r="AJ31" i="43"/>
  <c r="AH31" i="43"/>
  <c r="AF31" i="43"/>
  <c r="AD31" i="43"/>
  <c r="AB31" i="43"/>
  <c r="BS30" i="43"/>
  <c r="BW30" i="43" s="1"/>
  <c r="BK30" i="43"/>
  <c r="G30" i="43" s="1"/>
  <c r="BF30" i="43"/>
  <c r="AV30" i="43"/>
  <c r="AT30" i="43"/>
  <c r="AL30" i="43"/>
  <c r="AH30" i="43"/>
  <c r="AF30" i="43"/>
  <c r="AD30" i="43"/>
  <c r="BK28" i="43"/>
  <c r="G28" i="43" s="1"/>
  <c r="BH28" i="43"/>
  <c r="BF28" i="43"/>
  <c r="BD28" i="43"/>
  <c r="BB28" i="43"/>
  <c r="AZ28" i="43"/>
  <c r="AX28" i="43"/>
  <c r="AV28" i="43"/>
  <c r="AT28" i="43"/>
  <c r="AR28" i="43"/>
  <c r="AP28" i="43"/>
  <c r="AL28" i="43"/>
  <c r="AJ28" i="43"/>
  <c r="AH28" i="43"/>
  <c r="AF28" i="43"/>
  <c r="AD28" i="43"/>
  <c r="AB28" i="43"/>
  <c r="BK27" i="43"/>
  <c r="G27" i="43" s="1"/>
  <c r="BJ27" i="43"/>
  <c r="BH27" i="43"/>
  <c r="BF27" i="43"/>
  <c r="BD27" i="43"/>
  <c r="BB27" i="43"/>
  <c r="AZ27" i="43"/>
  <c r="AX27" i="43"/>
  <c r="AV27" i="43"/>
  <c r="AT27" i="43"/>
  <c r="AR27" i="43"/>
  <c r="AP27" i="43"/>
  <c r="AL27" i="43"/>
  <c r="AJ27" i="43"/>
  <c r="AH27" i="43"/>
  <c r="AF27" i="43"/>
  <c r="AD27" i="43"/>
  <c r="AB27" i="43"/>
  <c r="BK26" i="43"/>
  <c r="G26" i="43" s="1"/>
  <c r="BH26" i="43"/>
  <c r="BF26" i="43"/>
  <c r="BD26" i="43"/>
  <c r="BB26" i="43"/>
  <c r="AZ26" i="43"/>
  <c r="AX26" i="43"/>
  <c r="AV26" i="43"/>
  <c r="AT26" i="43"/>
  <c r="AR26" i="43"/>
  <c r="AP26" i="43"/>
  <c r="AN26" i="43"/>
  <c r="AL26" i="43"/>
  <c r="AJ26" i="43"/>
  <c r="AH26" i="43"/>
  <c r="AF26" i="43"/>
  <c r="AD26" i="43"/>
  <c r="AB26" i="43"/>
  <c r="BK25" i="43"/>
  <c r="G25" i="43" s="1"/>
  <c r="BH25" i="43"/>
  <c r="BF25" i="43"/>
  <c r="BD25" i="43"/>
  <c r="BB25" i="43"/>
  <c r="AZ25" i="43"/>
  <c r="AX25" i="43"/>
  <c r="AV25" i="43"/>
  <c r="AT25" i="43"/>
  <c r="AR25" i="43"/>
  <c r="AP25" i="43"/>
  <c r="AN25" i="43"/>
  <c r="AL25" i="43"/>
  <c r="AJ25" i="43"/>
  <c r="AH25" i="43"/>
  <c r="AF25" i="43"/>
  <c r="AD25" i="43"/>
  <c r="AB25" i="43"/>
  <c r="BV24" i="43"/>
  <c r="BK24" i="43"/>
  <c r="G24" i="43" s="1"/>
  <c r="S24" i="43" s="1"/>
  <c r="W24" i="43" s="1"/>
  <c r="BJ24" i="43"/>
  <c r="BH24" i="43"/>
  <c r="BF24" i="43"/>
  <c r="BD24" i="43"/>
  <c r="BB24" i="43"/>
  <c r="AZ24" i="43"/>
  <c r="AX24" i="43"/>
  <c r="AV24" i="43"/>
  <c r="AT24" i="43"/>
  <c r="AR24" i="43"/>
  <c r="AP24" i="43"/>
  <c r="AN24" i="43"/>
  <c r="AL24" i="43"/>
  <c r="AJ24" i="43"/>
  <c r="AH24" i="43"/>
  <c r="AF24" i="43"/>
  <c r="AD24" i="43"/>
  <c r="AB24" i="43"/>
  <c r="BW23" i="43"/>
  <c r="BJ23" i="43"/>
  <c r="BH23" i="43"/>
  <c r="BF23" i="43"/>
  <c r="BD23" i="43"/>
  <c r="AZ23" i="43"/>
  <c r="AX23" i="43"/>
  <c r="AV23" i="43"/>
  <c r="AP23" i="43"/>
  <c r="AL23" i="43"/>
  <c r="AJ23" i="43"/>
  <c r="AH23" i="43"/>
  <c r="AF23" i="43"/>
  <c r="AD23" i="43"/>
  <c r="AB23" i="43"/>
  <c r="BU22" i="43"/>
  <c r="BT22" i="43"/>
  <c r="BR22" i="43"/>
  <c r="BP22" i="43"/>
  <c r="BO22" i="43"/>
  <c r="BN22" i="43"/>
  <c r="BM22" i="43"/>
  <c r="BI22" i="43"/>
  <c r="BG22" i="43"/>
  <c r="BE22" i="43"/>
  <c r="BC22" i="43"/>
  <c r="BA22" i="43"/>
  <c r="AY22" i="43"/>
  <c r="AW22" i="43"/>
  <c r="AU22" i="43"/>
  <c r="AS22" i="43"/>
  <c r="AQ22" i="43"/>
  <c r="AO22" i="43"/>
  <c r="AM22" i="43"/>
  <c r="AK22" i="43"/>
  <c r="AI22" i="43"/>
  <c r="AG22" i="43"/>
  <c r="AE22" i="43"/>
  <c r="AC22" i="43"/>
  <c r="AA22" i="43"/>
  <c r="R22" i="43"/>
  <c r="P22" i="43"/>
  <c r="O22" i="43"/>
  <c r="N22" i="43"/>
  <c r="L22" i="43"/>
  <c r="K22" i="43"/>
  <c r="BV21" i="43"/>
  <c r="BK21" i="43"/>
  <c r="G21" i="43" s="1"/>
  <c r="V21" i="43" s="1"/>
  <c r="Z21" i="43" s="1"/>
  <c r="BJ21" i="43"/>
  <c r="BH21" i="43"/>
  <c r="BF21" i="43"/>
  <c r="BD21" i="43"/>
  <c r="BB21" i="43"/>
  <c r="AZ21" i="43"/>
  <c r="AX21" i="43"/>
  <c r="AV21" i="43"/>
  <c r="AT21" i="43"/>
  <c r="AR21" i="43"/>
  <c r="AP21" i="43"/>
  <c r="AN21" i="43"/>
  <c r="AL21" i="43"/>
  <c r="AJ21" i="43"/>
  <c r="AH21" i="43"/>
  <c r="AF21" i="43"/>
  <c r="AD21" i="43"/>
  <c r="AB21" i="43"/>
  <c r="BK20" i="43"/>
  <c r="G20" i="43" s="1"/>
  <c r="BH20" i="43"/>
  <c r="BF20" i="43"/>
  <c r="BD20" i="43"/>
  <c r="BB20" i="43"/>
  <c r="AZ20" i="43"/>
  <c r="AX20" i="43"/>
  <c r="AV20" i="43"/>
  <c r="AT20" i="43"/>
  <c r="AR20" i="43"/>
  <c r="AP20" i="43"/>
  <c r="AN20" i="43"/>
  <c r="AL20" i="43"/>
  <c r="AJ20" i="43"/>
  <c r="AH20" i="43"/>
  <c r="AF20" i="43"/>
  <c r="AD20" i="43"/>
  <c r="AB20" i="43"/>
  <c r="Z20" i="43"/>
  <c r="Y20" i="43"/>
  <c r="BK19" i="43"/>
  <c r="G19" i="43" s="1"/>
  <c r="BH19" i="43"/>
  <c r="BF19" i="43"/>
  <c r="BD19" i="43"/>
  <c r="BB19" i="43"/>
  <c r="AZ19" i="43"/>
  <c r="AX19" i="43"/>
  <c r="AV19" i="43"/>
  <c r="AT19" i="43"/>
  <c r="AR19" i="43"/>
  <c r="AP19" i="43"/>
  <c r="AN19" i="43"/>
  <c r="AL19" i="43"/>
  <c r="AJ19" i="43"/>
  <c r="AH19" i="43"/>
  <c r="AF19" i="43"/>
  <c r="AD19" i="43"/>
  <c r="AB19" i="43"/>
  <c r="BV18" i="43"/>
  <c r="BK18" i="43"/>
  <c r="G18" i="43" s="1"/>
  <c r="BJ18" i="43"/>
  <c r="BH18" i="43"/>
  <c r="BF18" i="43"/>
  <c r="BD18" i="43"/>
  <c r="BB18" i="43"/>
  <c r="AZ18" i="43"/>
  <c r="AV18" i="43"/>
  <c r="AT18" i="43"/>
  <c r="AR18" i="43"/>
  <c r="AP18" i="43"/>
  <c r="AN18" i="43"/>
  <c r="AL18" i="43"/>
  <c r="AJ18" i="43"/>
  <c r="AH18" i="43"/>
  <c r="AF18" i="43"/>
  <c r="AB18" i="43"/>
  <c r="BV17" i="43"/>
  <c r="BK17" i="43"/>
  <c r="G17" i="43" s="1"/>
  <c r="U17" i="43" s="1"/>
  <c r="BJ17" i="43"/>
  <c r="BH17" i="43"/>
  <c r="BF17" i="43"/>
  <c r="BD17" i="43"/>
  <c r="AZ17" i="43"/>
  <c r="AV17" i="43"/>
  <c r="AT17" i="43"/>
  <c r="AR17" i="43"/>
  <c r="AP17" i="43"/>
  <c r="AN17" i="43"/>
  <c r="AL17" i="43"/>
  <c r="AJ17" i="43"/>
  <c r="AH17" i="43"/>
  <c r="AF17" i="43"/>
  <c r="AB17" i="43"/>
  <c r="BW16" i="43"/>
  <c r="BK16" i="43"/>
  <c r="BJ16" i="43"/>
  <c r="BH16" i="43"/>
  <c r="BF16" i="43"/>
  <c r="BD16" i="43"/>
  <c r="AZ16" i="43"/>
  <c r="AX16" i="43"/>
  <c r="AV16" i="43"/>
  <c r="AP16" i="43"/>
  <c r="AN16" i="43"/>
  <c r="AL16" i="43"/>
  <c r="AJ16" i="43"/>
  <c r="AH16" i="43"/>
  <c r="AF16" i="43"/>
  <c r="AD16" i="43"/>
  <c r="AB16" i="43"/>
  <c r="BW15" i="43"/>
  <c r="BK15" i="43"/>
  <c r="BJ15" i="43"/>
  <c r="BH15" i="43"/>
  <c r="BF15" i="43"/>
  <c r="BD15" i="43"/>
  <c r="AZ15" i="43"/>
  <c r="AX15" i="43"/>
  <c r="AV15" i="43"/>
  <c r="AP15" i="43"/>
  <c r="AL15" i="43"/>
  <c r="AJ15" i="43"/>
  <c r="AH15" i="43"/>
  <c r="AF15" i="43"/>
  <c r="AD15" i="43"/>
  <c r="AB15" i="43"/>
  <c r="BU14" i="43"/>
  <c r="BT14" i="43"/>
  <c r="BR14" i="43"/>
  <c r="BQ14" i="43"/>
  <c r="BO14" i="43"/>
  <c r="BN14" i="43"/>
  <c r="BM14" i="43"/>
  <c r="BI14" i="43"/>
  <c r="BG14" i="43"/>
  <c r="BE14" i="43"/>
  <c r="BC14" i="43"/>
  <c r="BA14" i="43"/>
  <c r="AY14" i="43"/>
  <c r="AW14" i="43"/>
  <c r="AU14" i="43"/>
  <c r="AS14" i="43"/>
  <c r="AQ14" i="43"/>
  <c r="AO14" i="43"/>
  <c r="AM14" i="43"/>
  <c r="AK14" i="43"/>
  <c r="AI14" i="43"/>
  <c r="AG14" i="43"/>
  <c r="AE14" i="43"/>
  <c r="AC14" i="43"/>
  <c r="AA14" i="43"/>
  <c r="R14" i="43"/>
  <c r="Q14" i="43"/>
  <c r="P14" i="43"/>
  <c r="O14" i="43"/>
  <c r="N14" i="43"/>
  <c r="M14" i="43"/>
  <c r="L14" i="43"/>
  <c r="K14" i="43"/>
  <c r="BV13" i="43"/>
  <c r="BK13" i="43"/>
  <c r="G13" i="43" s="1"/>
  <c r="U13" i="43" s="1"/>
  <c r="BJ13" i="43"/>
  <c r="BH13" i="43"/>
  <c r="BF13" i="43"/>
  <c r="BD13" i="43"/>
  <c r="BB13" i="43"/>
  <c r="AZ13" i="43"/>
  <c r="AX13" i="43"/>
  <c r="AV13" i="43"/>
  <c r="AP13" i="43"/>
  <c r="AN13" i="43"/>
  <c r="AL13" i="43"/>
  <c r="AJ13" i="43"/>
  <c r="AH13" i="43"/>
  <c r="AF13" i="43"/>
  <c r="AD13" i="43"/>
  <c r="AB13" i="43"/>
  <c r="BK12" i="43"/>
  <c r="G12" i="43" s="1"/>
  <c r="BH12" i="43"/>
  <c r="BF12" i="43"/>
  <c r="BD12" i="43"/>
  <c r="BB12" i="43"/>
  <c r="AZ12" i="43"/>
  <c r="AX12" i="43"/>
  <c r="AV12" i="43"/>
  <c r="AT12" i="43"/>
  <c r="AR12" i="43"/>
  <c r="AP12" i="43"/>
  <c r="AN12" i="43"/>
  <c r="AL12" i="43"/>
  <c r="AJ12" i="43"/>
  <c r="AH12" i="43"/>
  <c r="AF12" i="43"/>
  <c r="AD12" i="43"/>
  <c r="AB12" i="43"/>
  <c r="BV11" i="43"/>
  <c r="BV14" i="43" s="1"/>
  <c r="BK11" i="43"/>
  <c r="G11" i="43" s="1"/>
  <c r="U11" i="43" s="1"/>
  <c r="BJ11" i="43"/>
  <c r="BJ14" i="43" s="1"/>
  <c r="BH11" i="43"/>
  <c r="BF11" i="43"/>
  <c r="BD11" i="43"/>
  <c r="BB11" i="43"/>
  <c r="AZ11" i="43"/>
  <c r="AX11" i="43"/>
  <c r="AV11" i="43"/>
  <c r="AT11" i="43"/>
  <c r="AR11" i="43"/>
  <c r="AP11" i="43"/>
  <c r="AN11" i="43"/>
  <c r="AL11" i="43"/>
  <c r="AJ11" i="43"/>
  <c r="AH11" i="43"/>
  <c r="AF11" i="43"/>
  <c r="AD11" i="43"/>
  <c r="AB11" i="43"/>
  <c r="BW10" i="43"/>
  <c r="BH4" i="43"/>
  <c r="BG4" i="43"/>
  <c r="BF4" i="43"/>
  <c r="BE4" i="43"/>
  <c r="BD4" i="43"/>
  <c r="BC4" i="43"/>
  <c r="BB4" i="43"/>
  <c r="BA4" i="43"/>
  <c r="AZ4" i="43"/>
  <c r="AY4" i="43"/>
  <c r="AX4" i="43"/>
  <c r="AW4" i="43"/>
  <c r="AV4" i="43"/>
  <c r="AU4" i="43"/>
  <c r="AT4" i="43"/>
  <c r="AS4" i="43"/>
  <c r="AR4" i="43"/>
  <c r="AQ4" i="43"/>
  <c r="AP4" i="43"/>
  <c r="AO4" i="43"/>
  <c r="AN4" i="43"/>
  <c r="AM4" i="43"/>
  <c r="AL4" i="43"/>
  <c r="AK4" i="43"/>
  <c r="AJ4" i="43"/>
  <c r="AI4" i="43"/>
  <c r="AH4" i="43"/>
  <c r="AG4" i="43"/>
  <c r="AF4" i="43"/>
  <c r="AE4" i="43"/>
  <c r="AD4" i="43"/>
  <c r="AC4" i="43"/>
  <c r="AB4" i="43"/>
  <c r="BV91" i="44"/>
  <c r="BK91" i="44"/>
  <c r="G91" i="44" s="1"/>
  <c r="E66" i="51" s="1"/>
  <c r="BJ91" i="44"/>
  <c r="BH91" i="44"/>
  <c r="BF91" i="44"/>
  <c r="BB91" i="44"/>
  <c r="AZ91" i="44"/>
  <c r="AX91" i="44"/>
  <c r="AV91" i="44"/>
  <c r="AT91" i="44"/>
  <c r="AR91" i="44"/>
  <c r="AN91" i="44"/>
  <c r="AL91" i="44"/>
  <c r="AJ91" i="44"/>
  <c r="AH91" i="44"/>
  <c r="AF91" i="44"/>
  <c r="AD91" i="44"/>
  <c r="AB91" i="44"/>
  <c r="X91" i="44"/>
  <c r="W91" i="44"/>
  <c r="BV89" i="44"/>
  <c r="BU89" i="44"/>
  <c r="BT89" i="44"/>
  <c r="BR89" i="44"/>
  <c r="F29" i="52" s="1"/>
  <c r="BP89" i="44"/>
  <c r="BO89" i="44"/>
  <c r="C29" i="52" s="1"/>
  <c r="BI89" i="44"/>
  <c r="BG89" i="44"/>
  <c r="BE89" i="44"/>
  <c r="BC89" i="44"/>
  <c r="BA89" i="44"/>
  <c r="AY89" i="44"/>
  <c r="AW89" i="44"/>
  <c r="AU89" i="44"/>
  <c r="AS89" i="44"/>
  <c r="AQ89" i="44"/>
  <c r="AO89" i="44"/>
  <c r="AM89" i="44"/>
  <c r="AK89" i="44"/>
  <c r="AI89" i="44"/>
  <c r="AG89" i="44"/>
  <c r="AE89" i="44"/>
  <c r="AC89" i="44"/>
  <c r="AA89" i="44"/>
  <c r="R89" i="44"/>
  <c r="P89" i="44"/>
  <c r="O89" i="44"/>
  <c r="N89" i="44"/>
  <c r="M89" i="44"/>
  <c r="L89" i="44"/>
  <c r="K89" i="44"/>
  <c r="BK88" i="44"/>
  <c r="G88" i="44" s="1"/>
  <c r="U88" i="44" s="1"/>
  <c r="Y88" i="44" s="1"/>
  <c r="BJ88" i="44"/>
  <c r="BF88" i="44"/>
  <c r="BD88" i="44"/>
  <c r="BB88" i="44"/>
  <c r="AX88" i="44"/>
  <c r="AL88" i="44"/>
  <c r="AD88" i="44"/>
  <c r="W88" i="44"/>
  <c r="BW87" i="44"/>
  <c r="BK87" i="44"/>
  <c r="G87" i="44" s="1"/>
  <c r="H87" i="44" s="1"/>
  <c r="I87" i="44" s="1"/>
  <c r="BJ87" i="44"/>
  <c r="BF87" i="44"/>
  <c r="BD87" i="44"/>
  <c r="BB87" i="44"/>
  <c r="AX87" i="44"/>
  <c r="AL87" i="44"/>
  <c r="AH87" i="44"/>
  <c r="AF87" i="44"/>
  <c r="AD87" i="44"/>
  <c r="BK86" i="44"/>
  <c r="G86" i="44" s="1"/>
  <c r="BJ86" i="44"/>
  <c r="BH86" i="44"/>
  <c r="BF86" i="44"/>
  <c r="BD86" i="44"/>
  <c r="BB86" i="44"/>
  <c r="AZ86" i="44"/>
  <c r="AX86" i="44"/>
  <c r="AV86" i="44"/>
  <c r="AT86" i="44"/>
  <c r="AR86" i="44"/>
  <c r="AP86" i="44"/>
  <c r="AN86" i="44"/>
  <c r="AL86" i="44"/>
  <c r="AJ86" i="44"/>
  <c r="AH86" i="44"/>
  <c r="AF86" i="44"/>
  <c r="AD86" i="44"/>
  <c r="AB86" i="44"/>
  <c r="BK85" i="44"/>
  <c r="G85" i="44" s="1"/>
  <c r="BJ85" i="44"/>
  <c r="BH85" i="44"/>
  <c r="BF85" i="44"/>
  <c r="BD85" i="44"/>
  <c r="BB85" i="44"/>
  <c r="AZ85" i="44"/>
  <c r="AX85" i="44"/>
  <c r="AV85" i="44"/>
  <c r="AR85" i="44"/>
  <c r="AN85" i="44"/>
  <c r="AL85" i="44"/>
  <c r="AJ85" i="44"/>
  <c r="AH85" i="44"/>
  <c r="AF85" i="44"/>
  <c r="AD85" i="44"/>
  <c r="AB85" i="44"/>
  <c r="W85" i="44"/>
  <c r="BK84" i="44"/>
  <c r="G84" i="44" s="1"/>
  <c r="BJ84" i="44"/>
  <c r="BH84" i="44"/>
  <c r="BF84" i="44"/>
  <c r="BD84" i="44"/>
  <c r="BB84" i="44"/>
  <c r="AZ84" i="44"/>
  <c r="AX84" i="44"/>
  <c r="AV84" i="44"/>
  <c r="AT84" i="44"/>
  <c r="AR84" i="44"/>
  <c r="AP84" i="44"/>
  <c r="AN84" i="44"/>
  <c r="AL84" i="44"/>
  <c r="AJ84" i="44"/>
  <c r="AH84" i="44"/>
  <c r="AF84" i="44"/>
  <c r="AD84" i="44"/>
  <c r="AB84" i="44"/>
  <c r="Z84" i="44"/>
  <c r="X84" i="44"/>
  <c r="W84" i="44"/>
  <c r="BK83" i="44"/>
  <c r="BJ83" i="44"/>
  <c r="BH83" i="44"/>
  <c r="BF83" i="44"/>
  <c r="BD83" i="44"/>
  <c r="BB83" i="44"/>
  <c r="AZ83" i="44"/>
  <c r="AX83" i="44"/>
  <c r="AV83" i="44"/>
  <c r="AT83" i="44"/>
  <c r="AR83" i="44"/>
  <c r="AP83" i="44"/>
  <c r="AN83" i="44"/>
  <c r="AL83" i="44"/>
  <c r="AJ83" i="44"/>
  <c r="AH83" i="44"/>
  <c r="AF83" i="44"/>
  <c r="AD83" i="44"/>
  <c r="AB83" i="44"/>
  <c r="BV82" i="44"/>
  <c r="BU82" i="44"/>
  <c r="BT82" i="44"/>
  <c r="BR82" i="44"/>
  <c r="F28" i="52" s="1"/>
  <c r="BP82" i="44"/>
  <c r="D28" i="52" s="1"/>
  <c r="BO82" i="44"/>
  <c r="C28" i="52" s="1"/>
  <c r="BI82" i="44"/>
  <c r="BG82" i="44"/>
  <c r="BE82" i="44"/>
  <c r="BC82" i="44"/>
  <c r="BA82" i="44"/>
  <c r="AY82" i="44"/>
  <c r="AW82" i="44"/>
  <c r="AU82" i="44"/>
  <c r="AS82" i="44"/>
  <c r="AQ82" i="44"/>
  <c r="AO82" i="44"/>
  <c r="AM82" i="44"/>
  <c r="AK82" i="44"/>
  <c r="AI82" i="44"/>
  <c r="AG82" i="44"/>
  <c r="AE82" i="44"/>
  <c r="AC82" i="44"/>
  <c r="AA82" i="44"/>
  <c r="R82" i="44"/>
  <c r="P82" i="44"/>
  <c r="O82" i="44"/>
  <c r="N82" i="44"/>
  <c r="M82" i="44"/>
  <c r="L82" i="44"/>
  <c r="K82" i="44"/>
  <c r="BK81" i="44"/>
  <c r="G81" i="44" s="1"/>
  <c r="U81" i="44" s="1"/>
  <c r="Y81" i="44" s="1"/>
  <c r="BJ81" i="44"/>
  <c r="BH81" i="44"/>
  <c r="BF81" i="44"/>
  <c r="BD81" i="44"/>
  <c r="BB81" i="44"/>
  <c r="AZ81" i="44"/>
  <c r="AX81" i="44"/>
  <c r="AV81" i="44"/>
  <c r="AT81" i="44"/>
  <c r="AR81" i="44"/>
  <c r="AP81" i="44"/>
  <c r="AN81" i="44"/>
  <c r="AL81" i="44"/>
  <c r="AJ81" i="44"/>
  <c r="AH81" i="44"/>
  <c r="AF81" i="44"/>
  <c r="AD81" i="44"/>
  <c r="AB81" i="44"/>
  <c r="Z81" i="44"/>
  <c r="W81" i="44"/>
  <c r="BK80" i="44"/>
  <c r="G80" i="44" s="1"/>
  <c r="H80" i="44" s="1"/>
  <c r="J80" i="44" s="1"/>
  <c r="BJ80" i="44"/>
  <c r="BH80" i="44"/>
  <c r="BF80" i="44"/>
  <c r="BD80" i="44"/>
  <c r="BB80" i="44"/>
  <c r="AZ80" i="44"/>
  <c r="AX80" i="44"/>
  <c r="AV80" i="44"/>
  <c r="AT80" i="44"/>
  <c r="AR80" i="44"/>
  <c r="AP80" i="44"/>
  <c r="AN80" i="44"/>
  <c r="AL80" i="44"/>
  <c r="AJ80" i="44"/>
  <c r="AH80" i="44"/>
  <c r="AF80" i="44"/>
  <c r="AD80" i="44"/>
  <c r="AB80" i="44"/>
  <c r="X80" i="44"/>
  <c r="W80" i="44"/>
  <c r="BK79" i="44"/>
  <c r="G79" i="44" s="1"/>
  <c r="H79" i="44" s="1"/>
  <c r="BJ79" i="44"/>
  <c r="BH79" i="44"/>
  <c r="BF79" i="44"/>
  <c r="BD79" i="44"/>
  <c r="BB79" i="44"/>
  <c r="AZ79" i="44"/>
  <c r="AX79" i="44"/>
  <c r="AV79" i="44"/>
  <c r="AT79" i="44"/>
  <c r="AR79" i="44"/>
  <c r="AP79" i="44"/>
  <c r="AN79" i="44"/>
  <c r="AL79" i="44"/>
  <c r="AJ79" i="44"/>
  <c r="AH79" i="44"/>
  <c r="AF79" i="44"/>
  <c r="AD79" i="44"/>
  <c r="AB79" i="44"/>
  <c r="X79" i="44"/>
  <c r="W79" i="44"/>
  <c r="BK78" i="44"/>
  <c r="G78" i="44" s="1"/>
  <c r="U78" i="44" s="1"/>
  <c r="Y78" i="44" s="1"/>
  <c r="BJ78" i="44"/>
  <c r="BH78" i="44"/>
  <c r="BF78" i="44"/>
  <c r="BD78" i="44"/>
  <c r="BB78" i="44"/>
  <c r="AZ78" i="44"/>
  <c r="AX78" i="44"/>
  <c r="AV78" i="44"/>
  <c r="AT78" i="44"/>
  <c r="AR78" i="44"/>
  <c r="AP78" i="44"/>
  <c r="AN78" i="44"/>
  <c r="AL78" i="44"/>
  <c r="AJ78" i="44"/>
  <c r="AH78" i="44"/>
  <c r="AF78" i="44"/>
  <c r="AD78" i="44"/>
  <c r="AB78" i="44"/>
  <c r="Z78" i="44"/>
  <c r="W78" i="44"/>
  <c r="BK77" i="44"/>
  <c r="G77" i="44" s="1"/>
  <c r="BJ77" i="44"/>
  <c r="BH77" i="44"/>
  <c r="BF77" i="44"/>
  <c r="BD77" i="44"/>
  <c r="BB77" i="44"/>
  <c r="AZ77" i="44"/>
  <c r="AX77" i="44"/>
  <c r="AV77" i="44"/>
  <c r="AT77" i="44"/>
  <c r="AR77" i="44"/>
  <c r="AP77" i="44"/>
  <c r="AN77" i="44"/>
  <c r="AL77" i="44"/>
  <c r="AJ77" i="44"/>
  <c r="AH77" i="44"/>
  <c r="AF77" i="44"/>
  <c r="AD77" i="44"/>
  <c r="AB77" i="44"/>
  <c r="Z77" i="44"/>
  <c r="X77" i="44"/>
  <c r="W77" i="44"/>
  <c r="BK76" i="44"/>
  <c r="G76" i="44" s="1"/>
  <c r="H76" i="44" s="1"/>
  <c r="BJ76" i="44"/>
  <c r="BH76" i="44"/>
  <c r="BF76" i="44"/>
  <c r="BD76" i="44"/>
  <c r="BB76" i="44"/>
  <c r="AZ76" i="44"/>
  <c r="AX76" i="44"/>
  <c r="AV76" i="44"/>
  <c r="AT76" i="44"/>
  <c r="AR76" i="44"/>
  <c r="AP76" i="44"/>
  <c r="AN76" i="44"/>
  <c r="AL76" i="44"/>
  <c r="AJ76" i="44"/>
  <c r="AH76" i="44"/>
  <c r="AF76" i="44"/>
  <c r="AD76" i="44"/>
  <c r="AB76" i="44"/>
  <c r="Z76" i="44"/>
  <c r="X76" i="44"/>
  <c r="W76" i="44"/>
  <c r="BK75" i="44"/>
  <c r="G75" i="44" s="1"/>
  <c r="H75" i="44" s="1"/>
  <c r="BJ75" i="44"/>
  <c r="BH75" i="44"/>
  <c r="BF75" i="44"/>
  <c r="BD75" i="44"/>
  <c r="BB75" i="44"/>
  <c r="AZ75" i="44"/>
  <c r="AX75" i="44"/>
  <c r="AV75" i="44"/>
  <c r="AT75" i="44"/>
  <c r="AR75" i="44"/>
  <c r="AP75" i="44"/>
  <c r="AN75" i="44"/>
  <c r="AL75" i="44"/>
  <c r="AJ75" i="44"/>
  <c r="AH75" i="44"/>
  <c r="AF75" i="44"/>
  <c r="AD75" i="44"/>
  <c r="AB75" i="44"/>
  <c r="Y75" i="44"/>
  <c r="W75" i="44"/>
  <c r="BK74" i="44"/>
  <c r="G74" i="44" s="1"/>
  <c r="H74" i="44" s="1"/>
  <c r="BJ74" i="44"/>
  <c r="BH74" i="44"/>
  <c r="BF74" i="44"/>
  <c r="BD74" i="44"/>
  <c r="BB74" i="44"/>
  <c r="AZ74" i="44"/>
  <c r="AX74" i="44"/>
  <c r="AV74" i="44"/>
  <c r="AT74" i="44"/>
  <c r="AR74" i="44"/>
  <c r="AP74" i="44"/>
  <c r="AN74" i="44"/>
  <c r="AL74" i="44"/>
  <c r="AJ74" i="44"/>
  <c r="AH74" i="44"/>
  <c r="AF74" i="44"/>
  <c r="AD74" i="44"/>
  <c r="AB74" i="44"/>
  <c r="Z74" i="44"/>
  <c r="X74" i="44"/>
  <c r="W74" i="44"/>
  <c r="BK73" i="44"/>
  <c r="G73" i="44" s="1"/>
  <c r="U73" i="44" s="1"/>
  <c r="Y73" i="44" s="1"/>
  <c r="BJ73" i="44"/>
  <c r="BH73" i="44"/>
  <c r="BF73" i="44"/>
  <c r="BD73" i="44"/>
  <c r="BB73" i="44"/>
  <c r="AZ73" i="44"/>
  <c r="AX73" i="44"/>
  <c r="AV73" i="44"/>
  <c r="AT73" i="44"/>
  <c r="AR73" i="44"/>
  <c r="AP73" i="44"/>
  <c r="AN73" i="44"/>
  <c r="AL73" i="44"/>
  <c r="AJ73" i="44"/>
  <c r="AH73" i="44"/>
  <c r="AF73" i="44"/>
  <c r="AD73" i="44"/>
  <c r="AB73" i="44"/>
  <c r="Z73" i="44"/>
  <c r="X73" i="44"/>
  <c r="W73" i="44"/>
  <c r="BK72" i="44"/>
  <c r="G72" i="44" s="1"/>
  <c r="BJ72" i="44"/>
  <c r="BH72" i="44"/>
  <c r="BF72" i="44"/>
  <c r="BD72" i="44"/>
  <c r="BB72" i="44"/>
  <c r="AZ72" i="44"/>
  <c r="AX72" i="44"/>
  <c r="AV72" i="44"/>
  <c r="AT72" i="44"/>
  <c r="AR72" i="44"/>
  <c r="AP72" i="44"/>
  <c r="AN72" i="44"/>
  <c r="AL72" i="44"/>
  <c r="AJ72" i="44"/>
  <c r="AH72" i="44"/>
  <c r="AF72" i="44"/>
  <c r="AD72" i="44"/>
  <c r="AB72" i="44"/>
  <c r="Z72" i="44"/>
  <c r="X72" i="44"/>
  <c r="W72" i="44"/>
  <c r="BK71" i="44"/>
  <c r="G71" i="44" s="1"/>
  <c r="BJ71" i="44"/>
  <c r="BH71" i="44"/>
  <c r="BF71" i="44"/>
  <c r="BD71" i="44"/>
  <c r="BB71" i="44"/>
  <c r="AZ71" i="44"/>
  <c r="AX71" i="44"/>
  <c r="AV71" i="44"/>
  <c r="AT71" i="44"/>
  <c r="AR71" i="44"/>
  <c r="AP71" i="44"/>
  <c r="AN71" i="44"/>
  <c r="AL71" i="44"/>
  <c r="AJ71" i="44"/>
  <c r="AH71" i="44"/>
  <c r="AF71" i="44"/>
  <c r="AD71" i="44"/>
  <c r="AB71" i="44"/>
  <c r="Z71" i="44"/>
  <c r="Y71" i="44"/>
  <c r="BK70" i="44"/>
  <c r="G70" i="44" s="1"/>
  <c r="BJ70" i="44"/>
  <c r="BH70" i="44"/>
  <c r="BF70" i="44"/>
  <c r="BD70" i="44"/>
  <c r="BB70" i="44"/>
  <c r="AZ70" i="44"/>
  <c r="AX70" i="44"/>
  <c r="AV70" i="44"/>
  <c r="AT70" i="44"/>
  <c r="AR70" i="44"/>
  <c r="AP70" i="44"/>
  <c r="AN70" i="44"/>
  <c r="AL70" i="44"/>
  <c r="AJ70" i="44"/>
  <c r="AH70" i="44"/>
  <c r="AF70" i="44"/>
  <c r="AD70" i="44"/>
  <c r="AB70" i="44"/>
  <c r="Y70" i="44"/>
  <c r="W70" i="44"/>
  <c r="BK69" i="44"/>
  <c r="G69" i="44" s="1"/>
  <c r="U69" i="44" s="1"/>
  <c r="Y69" i="44" s="1"/>
  <c r="BJ69" i="44"/>
  <c r="BH69" i="44"/>
  <c r="BF69" i="44"/>
  <c r="BD69" i="44"/>
  <c r="BB69" i="44"/>
  <c r="AZ69" i="44"/>
  <c r="AX69" i="44"/>
  <c r="AV69" i="44"/>
  <c r="AT69" i="44"/>
  <c r="AR69" i="44"/>
  <c r="AP69" i="44"/>
  <c r="AN69" i="44"/>
  <c r="AL69" i="44"/>
  <c r="AJ69" i="44"/>
  <c r="AH69" i="44"/>
  <c r="AF69" i="44"/>
  <c r="AD69" i="44"/>
  <c r="AB69" i="44"/>
  <c r="Z69" i="44"/>
  <c r="X69" i="44"/>
  <c r="W69" i="44"/>
  <c r="BK68" i="44"/>
  <c r="G68" i="44" s="1"/>
  <c r="H68" i="44" s="1"/>
  <c r="BJ68" i="44"/>
  <c r="BH68" i="44"/>
  <c r="BF68" i="44"/>
  <c r="BD68" i="44"/>
  <c r="BB68" i="44"/>
  <c r="AZ68" i="44"/>
  <c r="AX68" i="44"/>
  <c r="AV68" i="44"/>
  <c r="AT68" i="44"/>
  <c r="AR68" i="44"/>
  <c r="AP68" i="44"/>
  <c r="AN68" i="44"/>
  <c r="AL68" i="44"/>
  <c r="AJ68" i="44"/>
  <c r="AH68" i="44"/>
  <c r="AF68" i="44"/>
  <c r="AD68" i="44"/>
  <c r="AB68" i="44"/>
  <c r="Z68" i="44"/>
  <c r="X68" i="44"/>
  <c r="W68" i="44"/>
  <c r="BK67" i="44"/>
  <c r="G67" i="44" s="1"/>
  <c r="BJ67" i="44"/>
  <c r="BH67" i="44"/>
  <c r="BF67" i="44"/>
  <c r="BD67" i="44"/>
  <c r="BB67" i="44"/>
  <c r="AZ67" i="44"/>
  <c r="AX67" i="44"/>
  <c r="AV67" i="44"/>
  <c r="AT67" i="44"/>
  <c r="AR67" i="44"/>
  <c r="AP67" i="44"/>
  <c r="AN67" i="44"/>
  <c r="AL67" i="44"/>
  <c r="AJ67" i="44"/>
  <c r="AH67" i="44"/>
  <c r="AF67" i="44"/>
  <c r="AD67" i="44"/>
  <c r="AB67" i="44"/>
  <c r="Z67" i="44"/>
  <c r="BK66" i="44"/>
  <c r="G66" i="44" s="1"/>
  <c r="H66" i="44" s="1"/>
  <c r="BJ66" i="44"/>
  <c r="BH66" i="44"/>
  <c r="BF66" i="44"/>
  <c r="BD66" i="44"/>
  <c r="BB66" i="44"/>
  <c r="AZ66" i="44"/>
  <c r="AX66" i="44"/>
  <c r="AV66" i="44"/>
  <c r="AT66" i="44"/>
  <c r="AR66" i="44"/>
  <c r="AP66" i="44"/>
  <c r="AN66" i="44"/>
  <c r="AL66" i="44"/>
  <c r="AJ66" i="44"/>
  <c r="AH66" i="44"/>
  <c r="AF66" i="44"/>
  <c r="AD66" i="44"/>
  <c r="AB66" i="44"/>
  <c r="Z66" i="44"/>
  <c r="W66" i="44"/>
  <c r="BJ65" i="44"/>
  <c r="BH65" i="44"/>
  <c r="BF65" i="44"/>
  <c r="BD65" i="44"/>
  <c r="BB65" i="44"/>
  <c r="AZ65" i="44"/>
  <c r="AX65" i="44"/>
  <c r="AV65" i="44"/>
  <c r="AT65" i="44"/>
  <c r="AR65" i="44"/>
  <c r="AP65" i="44"/>
  <c r="AN65" i="44"/>
  <c r="AL65" i="44"/>
  <c r="AJ65" i="44"/>
  <c r="AH65" i="44"/>
  <c r="AF65" i="44"/>
  <c r="AD65" i="44"/>
  <c r="AB65" i="44"/>
  <c r="BV64" i="44"/>
  <c r="BU64" i="44"/>
  <c r="BT64" i="44"/>
  <c r="BR64" i="44"/>
  <c r="F27" i="52" s="1"/>
  <c r="BP64" i="44"/>
  <c r="D27" i="52" s="1"/>
  <c r="BO64" i="44"/>
  <c r="C27" i="52" s="1"/>
  <c r="BI64" i="44"/>
  <c r="BG64" i="44"/>
  <c r="BE64" i="44"/>
  <c r="BC64" i="44"/>
  <c r="BA64" i="44"/>
  <c r="AY64" i="44"/>
  <c r="AW64" i="44"/>
  <c r="AU64" i="44"/>
  <c r="AS64" i="44"/>
  <c r="AQ64" i="44"/>
  <c r="AO64" i="44"/>
  <c r="AM64" i="44"/>
  <c r="AK64" i="44"/>
  <c r="AE64" i="44"/>
  <c r="AC64" i="44"/>
  <c r="AA64" i="44"/>
  <c r="V64" i="44"/>
  <c r="R64" i="44"/>
  <c r="P64" i="44"/>
  <c r="O64" i="44"/>
  <c r="N64" i="44"/>
  <c r="M64" i="44"/>
  <c r="L64" i="44"/>
  <c r="K64" i="44"/>
  <c r="BK63" i="44"/>
  <c r="G63" i="44" s="1"/>
  <c r="BJ63" i="44"/>
  <c r="BH63" i="44"/>
  <c r="BF63" i="44"/>
  <c r="BD63" i="44"/>
  <c r="BB63" i="44"/>
  <c r="AZ63" i="44"/>
  <c r="AX63" i="44"/>
  <c r="AV63" i="44"/>
  <c r="AT63" i="44"/>
  <c r="AR63" i="44"/>
  <c r="AP63" i="44"/>
  <c r="AN63" i="44"/>
  <c r="AL63" i="44"/>
  <c r="AJ63" i="44"/>
  <c r="AH63" i="44"/>
  <c r="AF63" i="44"/>
  <c r="AD63" i="44"/>
  <c r="AB63" i="44"/>
  <c r="Z63" i="44"/>
  <c r="Y63" i="44"/>
  <c r="X63" i="44"/>
  <c r="W63" i="44"/>
  <c r="BK62" i="44"/>
  <c r="G62" i="44" s="1"/>
  <c r="H62" i="44" s="1"/>
  <c r="BJ62" i="44"/>
  <c r="BH62" i="44"/>
  <c r="BF62" i="44"/>
  <c r="BD62" i="44"/>
  <c r="BB62" i="44"/>
  <c r="AZ62" i="44"/>
  <c r="AX62" i="44"/>
  <c r="AV62" i="44"/>
  <c r="AT62" i="44"/>
  <c r="AR62" i="44"/>
  <c r="AP62" i="44"/>
  <c r="AN62" i="44"/>
  <c r="AL62" i="44"/>
  <c r="AJ62" i="44"/>
  <c r="AH62" i="44"/>
  <c r="AF62" i="44"/>
  <c r="AD62" i="44"/>
  <c r="AB62" i="44"/>
  <c r="Z62" i="44"/>
  <c r="Y62" i="44"/>
  <c r="X62" i="44"/>
  <c r="W62" i="44"/>
  <c r="BK61" i="44"/>
  <c r="G61" i="44" s="1"/>
  <c r="H61" i="44" s="1"/>
  <c r="BJ61" i="44"/>
  <c r="BH61" i="44"/>
  <c r="BF61" i="44"/>
  <c r="BD61" i="44"/>
  <c r="BB61" i="44"/>
  <c r="AZ61" i="44"/>
  <c r="AX61" i="44"/>
  <c r="AV61" i="44"/>
  <c r="AT61" i="44"/>
  <c r="AR61" i="44"/>
  <c r="AP61" i="44"/>
  <c r="AN61" i="44"/>
  <c r="AL61" i="44"/>
  <c r="AJ61" i="44"/>
  <c r="AH61" i="44"/>
  <c r="AF61" i="44"/>
  <c r="AD61" i="44"/>
  <c r="AB61" i="44"/>
  <c r="Z61" i="44"/>
  <c r="Y61" i="44"/>
  <c r="X61" i="44"/>
  <c r="W61" i="44"/>
  <c r="BK60" i="44"/>
  <c r="G60" i="44" s="1"/>
  <c r="H60" i="44" s="1"/>
  <c r="BJ60" i="44"/>
  <c r="BH60" i="44"/>
  <c r="BF60" i="44"/>
  <c r="BD60" i="44"/>
  <c r="BB60" i="44"/>
  <c r="AZ60" i="44"/>
  <c r="AX60" i="44"/>
  <c r="AV60" i="44"/>
  <c r="AT60" i="44"/>
  <c r="AR60" i="44"/>
  <c r="AP60" i="44"/>
  <c r="AN60" i="44"/>
  <c r="AL60" i="44"/>
  <c r="AJ60" i="44"/>
  <c r="AH60" i="44"/>
  <c r="AF60" i="44"/>
  <c r="AD60" i="44"/>
  <c r="AB60" i="44"/>
  <c r="Z60" i="44"/>
  <c r="Y60" i="44"/>
  <c r="X60" i="44"/>
  <c r="W60" i="44"/>
  <c r="BK59" i="44"/>
  <c r="G59" i="44" s="1"/>
  <c r="S59" i="44" s="1"/>
  <c r="BJ59" i="44"/>
  <c r="BH59" i="44"/>
  <c r="BF59" i="44"/>
  <c r="BD59" i="44"/>
  <c r="BB59" i="44"/>
  <c r="AZ59" i="44"/>
  <c r="AX59" i="44"/>
  <c r="AV59" i="44"/>
  <c r="AT59" i="44"/>
  <c r="AR59" i="44"/>
  <c r="AP59" i="44"/>
  <c r="AN59" i="44"/>
  <c r="AL59" i="44"/>
  <c r="AJ59" i="44"/>
  <c r="AH59" i="44"/>
  <c r="AF59" i="44"/>
  <c r="AD59" i="44"/>
  <c r="AB59" i="44"/>
  <c r="Z59" i="44"/>
  <c r="Y59" i="44"/>
  <c r="BK58" i="44"/>
  <c r="G58" i="44" s="1"/>
  <c r="BJ58" i="44"/>
  <c r="BH58" i="44"/>
  <c r="BF58" i="44"/>
  <c r="BD58" i="44"/>
  <c r="BB58" i="44"/>
  <c r="AZ58" i="44"/>
  <c r="AX58" i="44"/>
  <c r="AV58" i="44"/>
  <c r="AT58" i="44"/>
  <c r="AR58" i="44"/>
  <c r="AP58" i="44"/>
  <c r="AN58" i="44"/>
  <c r="AL58" i="44"/>
  <c r="AJ58" i="44"/>
  <c r="AH58" i="44"/>
  <c r="AF58" i="44"/>
  <c r="AD58" i="44"/>
  <c r="AB58" i="44"/>
  <c r="Z58" i="44"/>
  <c r="Y58" i="44"/>
  <c r="BK57" i="44"/>
  <c r="G57" i="44" s="1"/>
  <c r="U57" i="44" s="1"/>
  <c r="BJ57" i="44"/>
  <c r="BH57" i="44"/>
  <c r="BF57" i="44"/>
  <c r="BD57" i="44"/>
  <c r="BB57" i="44"/>
  <c r="AZ57" i="44"/>
  <c r="AX57" i="44"/>
  <c r="AV57" i="44"/>
  <c r="AT57" i="44"/>
  <c r="AR57" i="44"/>
  <c r="AP57" i="44"/>
  <c r="AN57" i="44"/>
  <c r="AL57" i="44"/>
  <c r="AJ57" i="44"/>
  <c r="AH57" i="44"/>
  <c r="AF57" i="44"/>
  <c r="AD57" i="44"/>
  <c r="AB57" i="44"/>
  <c r="Z57" i="44"/>
  <c r="X57" i="44"/>
  <c r="W57" i="44"/>
  <c r="BK56" i="44"/>
  <c r="G56" i="44" s="1"/>
  <c r="BJ56" i="44"/>
  <c r="BH56" i="44"/>
  <c r="BF56" i="44"/>
  <c r="BD56" i="44"/>
  <c r="BB56" i="44"/>
  <c r="AZ56" i="44"/>
  <c r="AX56" i="44"/>
  <c r="AV56" i="44"/>
  <c r="AT56" i="44"/>
  <c r="AR56" i="44"/>
  <c r="AP56" i="44"/>
  <c r="AN56" i="44"/>
  <c r="AL56" i="44"/>
  <c r="AJ56" i="44"/>
  <c r="AH56" i="44"/>
  <c r="AF56" i="44"/>
  <c r="AD56" i="44"/>
  <c r="AB56" i="44"/>
  <c r="Z56" i="44"/>
  <c r="X56" i="44"/>
  <c r="W56" i="44"/>
  <c r="BK55" i="44"/>
  <c r="G55" i="44" s="1"/>
  <c r="BJ55" i="44"/>
  <c r="BH55" i="44"/>
  <c r="BF55" i="44"/>
  <c r="BD55" i="44"/>
  <c r="BB55" i="44"/>
  <c r="AZ55" i="44"/>
  <c r="AX55" i="44"/>
  <c r="AV55" i="44"/>
  <c r="AT55" i="44"/>
  <c r="AR55" i="44"/>
  <c r="AP55" i="44"/>
  <c r="AN55" i="44"/>
  <c r="AL55" i="44"/>
  <c r="AJ55" i="44"/>
  <c r="AH55" i="44"/>
  <c r="AF55" i="44"/>
  <c r="AD55" i="44"/>
  <c r="AB55" i="44"/>
  <c r="X55" i="44"/>
  <c r="W55" i="44"/>
  <c r="BK54" i="44"/>
  <c r="G54" i="44" s="1"/>
  <c r="U54" i="44" s="1"/>
  <c r="BJ54" i="44"/>
  <c r="BH54" i="44"/>
  <c r="BF54" i="44"/>
  <c r="BD54" i="44"/>
  <c r="BB54" i="44"/>
  <c r="AZ54" i="44"/>
  <c r="AX54" i="44"/>
  <c r="AV54" i="44"/>
  <c r="AT54" i="44"/>
  <c r="AR54" i="44"/>
  <c r="AP54" i="44"/>
  <c r="AN54" i="44"/>
  <c r="AL54" i="44"/>
  <c r="AJ54" i="44"/>
  <c r="AH54" i="44"/>
  <c r="AF54" i="44"/>
  <c r="AD54" i="44"/>
  <c r="AB54" i="44"/>
  <c r="Z54" i="44"/>
  <c r="X54" i="44"/>
  <c r="W54" i="44"/>
  <c r="BK53" i="44"/>
  <c r="G53" i="44" s="1"/>
  <c r="U53" i="44" s="1"/>
  <c r="Y53" i="44" s="1"/>
  <c r="BJ53" i="44"/>
  <c r="BH53" i="44"/>
  <c r="BF53" i="44"/>
  <c r="BD53" i="44"/>
  <c r="BB53" i="44"/>
  <c r="AZ53" i="44"/>
  <c r="AX53" i="44"/>
  <c r="AV53" i="44"/>
  <c r="AT53" i="44"/>
  <c r="AR53" i="44"/>
  <c r="AP53" i="44"/>
  <c r="AN53" i="44"/>
  <c r="AL53" i="44"/>
  <c r="AJ53" i="44"/>
  <c r="AH53" i="44"/>
  <c r="AF53" i="44"/>
  <c r="AD53" i="44"/>
  <c r="AB53" i="44"/>
  <c r="Z53" i="44"/>
  <c r="X53" i="44"/>
  <c r="W53" i="44"/>
  <c r="BK52" i="44"/>
  <c r="G52" i="44" s="1"/>
  <c r="BJ52" i="44"/>
  <c r="BH52" i="44"/>
  <c r="BF52" i="44"/>
  <c r="BD52" i="44"/>
  <c r="BB52" i="44"/>
  <c r="AZ52" i="44"/>
  <c r="AX52" i="44"/>
  <c r="AV52" i="44"/>
  <c r="AT52" i="44"/>
  <c r="AR52" i="44"/>
  <c r="AP52" i="44"/>
  <c r="AN52" i="44"/>
  <c r="AL52" i="44"/>
  <c r="AJ52" i="44"/>
  <c r="AH52" i="44"/>
  <c r="AF52" i="44"/>
  <c r="AD52" i="44"/>
  <c r="AB52" i="44"/>
  <c r="Z52" i="44"/>
  <c r="X52" i="44"/>
  <c r="W52" i="44"/>
  <c r="BK51" i="44"/>
  <c r="G51" i="44" s="1"/>
  <c r="U51" i="44" s="1"/>
  <c r="BJ51" i="44"/>
  <c r="BH51" i="44"/>
  <c r="BF51" i="44"/>
  <c r="BD51" i="44"/>
  <c r="BB51" i="44"/>
  <c r="AZ51" i="44"/>
  <c r="AX51" i="44"/>
  <c r="AV51" i="44"/>
  <c r="AT51" i="44"/>
  <c r="AR51" i="44"/>
  <c r="AP51" i="44"/>
  <c r="AN51" i="44"/>
  <c r="AL51" i="44"/>
  <c r="AJ51" i="44"/>
  <c r="AH51" i="44"/>
  <c r="AF51" i="44"/>
  <c r="AD51" i="44"/>
  <c r="AB51" i="44"/>
  <c r="Z51" i="44"/>
  <c r="X51" i="44"/>
  <c r="W51" i="44"/>
  <c r="BK50" i="44"/>
  <c r="G50" i="44" s="1"/>
  <c r="U50" i="44" s="1"/>
  <c r="BJ50" i="44"/>
  <c r="BH50" i="44"/>
  <c r="BF50" i="44"/>
  <c r="BD50" i="44"/>
  <c r="BB50" i="44"/>
  <c r="AZ50" i="44"/>
  <c r="AX50" i="44"/>
  <c r="AV50" i="44"/>
  <c r="AT50" i="44"/>
  <c r="AR50" i="44"/>
  <c r="AP50" i="44"/>
  <c r="AN50" i="44"/>
  <c r="AL50" i="44"/>
  <c r="AJ50" i="44"/>
  <c r="AH50" i="44"/>
  <c r="AF50" i="44"/>
  <c r="AD50" i="44"/>
  <c r="AB50" i="44"/>
  <c r="Z50" i="44"/>
  <c r="X50" i="44"/>
  <c r="W50" i="44"/>
  <c r="BK49" i="44"/>
  <c r="G49" i="44" s="1"/>
  <c r="BJ49" i="44"/>
  <c r="BH49" i="44"/>
  <c r="BF49" i="44"/>
  <c r="BD49" i="44"/>
  <c r="BB49" i="44"/>
  <c r="AZ49" i="44"/>
  <c r="AX49" i="44"/>
  <c r="AV49" i="44"/>
  <c r="AT49" i="44"/>
  <c r="AR49" i="44"/>
  <c r="AP49" i="44"/>
  <c r="AN49" i="44"/>
  <c r="AL49" i="44"/>
  <c r="AJ49" i="44"/>
  <c r="AH49" i="44"/>
  <c r="AF49" i="44"/>
  <c r="AD49" i="44"/>
  <c r="AB49" i="44"/>
  <c r="Z49" i="44"/>
  <c r="X49" i="44"/>
  <c r="W49" i="44"/>
  <c r="BK48" i="44"/>
  <c r="G48" i="44" s="1"/>
  <c r="BJ48" i="44"/>
  <c r="BH48" i="44"/>
  <c r="BF48" i="44"/>
  <c r="BD48" i="44"/>
  <c r="BB48" i="44"/>
  <c r="AZ48" i="44"/>
  <c r="AX48" i="44"/>
  <c r="AV48" i="44"/>
  <c r="AT48" i="44"/>
  <c r="AR48" i="44"/>
  <c r="AP48" i="44"/>
  <c r="AN48" i="44"/>
  <c r="AL48" i="44"/>
  <c r="AJ48" i="44"/>
  <c r="AH48" i="44"/>
  <c r="AF48" i="44"/>
  <c r="AD48" i="44"/>
  <c r="AB48" i="44"/>
  <c r="Z48" i="44"/>
  <c r="W48" i="44"/>
  <c r="BK47" i="44"/>
  <c r="G47" i="44" s="1"/>
  <c r="H47" i="44" s="1"/>
  <c r="BQ47" i="44" s="1"/>
  <c r="BS47" i="44" s="1"/>
  <c r="BW47" i="44" s="1"/>
  <c r="BJ47" i="44"/>
  <c r="BH47" i="44"/>
  <c r="BF47" i="44"/>
  <c r="BD47" i="44"/>
  <c r="BB47" i="44"/>
  <c r="AZ47" i="44"/>
  <c r="AX47" i="44"/>
  <c r="AV47" i="44"/>
  <c r="AT47" i="44"/>
  <c r="AR47" i="44"/>
  <c r="AP47" i="44"/>
  <c r="AN47" i="44"/>
  <c r="AL47" i="44"/>
  <c r="AJ47" i="44"/>
  <c r="AH47" i="44"/>
  <c r="AF47" i="44"/>
  <c r="AD47" i="44"/>
  <c r="AB47" i="44"/>
  <c r="Z47" i="44"/>
  <c r="W47" i="44"/>
  <c r="BK46" i="44"/>
  <c r="G46" i="44" s="1"/>
  <c r="BJ46" i="44"/>
  <c r="BH46" i="44"/>
  <c r="BF46" i="44"/>
  <c r="BD46" i="44"/>
  <c r="BB46" i="44"/>
  <c r="AZ46" i="44"/>
  <c r="AX46" i="44"/>
  <c r="AV46" i="44"/>
  <c r="AT46" i="44"/>
  <c r="AR46" i="44"/>
  <c r="AP46" i="44"/>
  <c r="AN46" i="44"/>
  <c r="AL46" i="44"/>
  <c r="AJ46" i="44"/>
  <c r="AH46" i="44"/>
  <c r="AF46" i="44"/>
  <c r="AD46" i="44"/>
  <c r="AB46" i="44"/>
  <c r="Z46" i="44"/>
  <c r="Y46" i="44"/>
  <c r="BK45" i="44"/>
  <c r="G45" i="44" s="1"/>
  <c r="BJ45" i="44"/>
  <c r="BH45" i="44"/>
  <c r="BF45" i="44"/>
  <c r="BD45" i="44"/>
  <c r="BB45" i="44"/>
  <c r="AZ45" i="44"/>
  <c r="AX45" i="44"/>
  <c r="AV45" i="44"/>
  <c r="AT45" i="44"/>
  <c r="AR45" i="44"/>
  <c r="AP45" i="44"/>
  <c r="AN45" i="44"/>
  <c r="AL45" i="44"/>
  <c r="AJ45" i="44"/>
  <c r="AH45" i="44"/>
  <c r="AF45" i="44"/>
  <c r="AD45" i="44"/>
  <c r="AB45" i="44"/>
  <c r="Z45" i="44"/>
  <c r="W45" i="44"/>
  <c r="BK44" i="44"/>
  <c r="G44" i="44" s="1"/>
  <c r="H44" i="44" s="1"/>
  <c r="BJ44" i="44"/>
  <c r="BH44" i="44"/>
  <c r="BF44" i="44"/>
  <c r="BD44" i="44"/>
  <c r="BB44" i="44"/>
  <c r="AZ44" i="44"/>
  <c r="AX44" i="44"/>
  <c r="AV44" i="44"/>
  <c r="AT44" i="44"/>
  <c r="AR44" i="44"/>
  <c r="AP44" i="44"/>
  <c r="AN44" i="44"/>
  <c r="AL44" i="44"/>
  <c r="AJ44" i="44"/>
  <c r="AH44" i="44"/>
  <c r="AF44" i="44"/>
  <c r="AD44" i="44"/>
  <c r="AB44" i="44"/>
  <c r="Z44" i="44"/>
  <c r="BK43" i="44"/>
  <c r="G43" i="44" s="1"/>
  <c r="U43" i="44" s="1"/>
  <c r="Y43" i="44" s="1"/>
  <c r="BJ43" i="44"/>
  <c r="BH43" i="44"/>
  <c r="BF43" i="44"/>
  <c r="BD43" i="44"/>
  <c r="BB43" i="44"/>
  <c r="AZ43" i="44"/>
  <c r="AX43" i="44"/>
  <c r="AV43" i="44"/>
  <c r="AT43" i="44"/>
  <c r="AR43" i="44"/>
  <c r="AP43" i="44"/>
  <c r="AN43" i="44"/>
  <c r="AL43" i="44"/>
  <c r="AJ43" i="44"/>
  <c r="AH43" i="44"/>
  <c r="AF43" i="44"/>
  <c r="AD43" i="44"/>
  <c r="AB43" i="44"/>
  <c r="Z43" i="44"/>
  <c r="W43" i="44"/>
  <c r="BK42" i="44"/>
  <c r="BJ42" i="44"/>
  <c r="BH42" i="44"/>
  <c r="BF42" i="44"/>
  <c r="BD42" i="44"/>
  <c r="BB42" i="44"/>
  <c r="AZ42" i="44"/>
  <c r="AX42" i="44"/>
  <c r="AV42" i="44"/>
  <c r="AT42" i="44"/>
  <c r="AR42" i="44"/>
  <c r="AP42" i="44"/>
  <c r="AL42" i="44"/>
  <c r="AJ42" i="44"/>
  <c r="AH42" i="44"/>
  <c r="AF42" i="44"/>
  <c r="AD42" i="44"/>
  <c r="AB42" i="44"/>
  <c r="Z42" i="44"/>
  <c r="BV41" i="44"/>
  <c r="BO41" i="44"/>
  <c r="BS41" i="44" s="1"/>
  <c r="BV40" i="44"/>
  <c r="BU40" i="44"/>
  <c r="BT40" i="44"/>
  <c r="BR40" i="44"/>
  <c r="F26" i="52" s="1"/>
  <c r="BP40" i="44"/>
  <c r="D26" i="52" s="1"/>
  <c r="BO40" i="44"/>
  <c r="C26" i="52" s="1"/>
  <c r="BN40" i="44"/>
  <c r="BM40" i="44"/>
  <c r="BI40" i="44"/>
  <c r="BG40" i="44"/>
  <c r="BE40" i="44"/>
  <c r="BC40" i="44"/>
  <c r="BA40" i="44"/>
  <c r="AY40" i="44"/>
  <c r="AW40" i="44"/>
  <c r="AU40" i="44"/>
  <c r="AS40" i="44"/>
  <c r="AQ40" i="44"/>
  <c r="AO40" i="44"/>
  <c r="AM40" i="44"/>
  <c r="AK40" i="44"/>
  <c r="AI40" i="44"/>
  <c r="AG40" i="44"/>
  <c r="AE40" i="44"/>
  <c r="AC40" i="44"/>
  <c r="AA40" i="44"/>
  <c r="V40" i="44"/>
  <c r="R40" i="44"/>
  <c r="P40" i="44"/>
  <c r="O40" i="44"/>
  <c r="N40" i="44"/>
  <c r="M40" i="44"/>
  <c r="L40" i="44"/>
  <c r="K40" i="44"/>
  <c r="BK39" i="44"/>
  <c r="G39" i="44" s="1"/>
  <c r="BJ39" i="44"/>
  <c r="BH39" i="44"/>
  <c r="BF39" i="44"/>
  <c r="BD39" i="44"/>
  <c r="BB39" i="44"/>
  <c r="AZ39" i="44"/>
  <c r="AX39" i="44"/>
  <c r="AV39" i="44"/>
  <c r="AR39" i="44"/>
  <c r="AP39" i="44"/>
  <c r="AN39" i="44"/>
  <c r="AL39" i="44"/>
  <c r="AJ39" i="44"/>
  <c r="AH39" i="44"/>
  <c r="AF39" i="44"/>
  <c r="AD39" i="44"/>
  <c r="AB39" i="44"/>
  <c r="Z39" i="44"/>
  <c r="BK38" i="44"/>
  <c r="G38" i="44" s="1"/>
  <c r="U38" i="44" s="1"/>
  <c r="Y38" i="44" s="1"/>
  <c r="BJ38" i="44"/>
  <c r="BH38" i="44"/>
  <c r="BF38" i="44"/>
  <c r="BD38" i="44"/>
  <c r="BB38" i="44"/>
  <c r="AZ38" i="44"/>
  <c r="AX38" i="44"/>
  <c r="AV38" i="44"/>
  <c r="AR38" i="44"/>
  <c r="AP38" i="44"/>
  <c r="AN38" i="44"/>
  <c r="AL38" i="44"/>
  <c r="AJ38" i="44"/>
  <c r="AH38" i="44"/>
  <c r="AF38" i="44"/>
  <c r="AD38" i="44"/>
  <c r="AB38" i="44"/>
  <c r="Z38" i="44"/>
  <c r="BK37" i="44"/>
  <c r="G37" i="44" s="1"/>
  <c r="BH37" i="44"/>
  <c r="AX37" i="44"/>
  <c r="Z37" i="44"/>
  <c r="BK36" i="44"/>
  <c r="G36" i="44" s="1"/>
  <c r="U36" i="44" s="1"/>
  <c r="Y36" i="44" s="1"/>
  <c r="BJ36" i="44"/>
  <c r="BH36" i="44"/>
  <c r="BF36" i="44"/>
  <c r="BD36" i="44"/>
  <c r="BB36" i="44"/>
  <c r="AZ36" i="44"/>
  <c r="AX36" i="44"/>
  <c r="AV36" i="44"/>
  <c r="AT36" i="44"/>
  <c r="AR36" i="44"/>
  <c r="AP36" i="44"/>
  <c r="AN36" i="44"/>
  <c r="AL36" i="44"/>
  <c r="AJ36" i="44"/>
  <c r="AH36" i="44"/>
  <c r="AF36" i="44"/>
  <c r="AD36" i="44"/>
  <c r="AB36" i="44"/>
  <c r="Z36" i="44"/>
  <c r="BK35" i="44"/>
  <c r="G35" i="44" s="1"/>
  <c r="U35" i="44" s="1"/>
  <c r="BJ35" i="44"/>
  <c r="BH35" i="44"/>
  <c r="BF35" i="44"/>
  <c r="BD35" i="44"/>
  <c r="BB35" i="44"/>
  <c r="AZ35" i="44"/>
  <c r="AX35" i="44"/>
  <c r="AV35" i="44"/>
  <c r="AT35" i="44"/>
  <c r="AR35" i="44"/>
  <c r="AP35" i="44"/>
  <c r="AN35" i="44"/>
  <c r="AL35" i="44"/>
  <c r="AJ35" i="44"/>
  <c r="AH35" i="44"/>
  <c r="AF35" i="44"/>
  <c r="AD35" i="44"/>
  <c r="AB35" i="44"/>
  <c r="Z35" i="44"/>
  <c r="BV34" i="44"/>
  <c r="BO34" i="44"/>
  <c r="BS34" i="44" s="1"/>
  <c r="BR33" i="44"/>
  <c r="BI33" i="44"/>
  <c r="BG33" i="44"/>
  <c r="BC33" i="44"/>
  <c r="BA33" i="44"/>
  <c r="AY33" i="44"/>
  <c r="AU33" i="44"/>
  <c r="AS33" i="44"/>
  <c r="AQ33" i="44"/>
  <c r="AO33" i="44"/>
  <c r="AK33" i="44"/>
  <c r="AI33" i="44"/>
  <c r="AE33" i="44"/>
  <c r="AC33" i="44"/>
  <c r="AA33" i="44"/>
  <c r="R33" i="44"/>
  <c r="P33" i="44"/>
  <c r="O33" i="44"/>
  <c r="N33" i="44"/>
  <c r="L33" i="44"/>
  <c r="K33" i="44"/>
  <c r="BJ32" i="44"/>
  <c r="BH32" i="44"/>
  <c r="BF32" i="44"/>
  <c r="BD32" i="44"/>
  <c r="BB32" i="44"/>
  <c r="AZ32" i="44"/>
  <c r="AX32" i="44"/>
  <c r="AV32" i="44"/>
  <c r="AT32" i="44"/>
  <c r="AR32" i="44"/>
  <c r="AP32" i="44"/>
  <c r="AN32" i="44"/>
  <c r="AM33" i="44"/>
  <c r="AL32" i="44"/>
  <c r="AJ32" i="44"/>
  <c r="AF32" i="44"/>
  <c r="AD32" i="44"/>
  <c r="AB32" i="44"/>
  <c r="BV31" i="44"/>
  <c r="BJ31" i="44"/>
  <c r="BH31" i="44"/>
  <c r="BE31" i="44"/>
  <c r="BE33" i="44" s="1"/>
  <c r="BD31" i="44"/>
  <c r="BB31" i="44"/>
  <c r="AZ31" i="44"/>
  <c r="AX31" i="44"/>
  <c r="AW33" i="44"/>
  <c r="AV31" i="44"/>
  <c r="AR31" i="44"/>
  <c r="AP31" i="44"/>
  <c r="AN31" i="44"/>
  <c r="AL31" i="44"/>
  <c r="AJ31" i="44"/>
  <c r="AH31" i="44"/>
  <c r="AF31" i="44"/>
  <c r="AD31" i="44"/>
  <c r="AB31" i="44"/>
  <c r="BV30" i="44"/>
  <c r="BS30" i="44"/>
  <c r="BK30" i="44"/>
  <c r="G30" i="44" s="1"/>
  <c r="H30" i="44" s="1"/>
  <c r="BJ30" i="44"/>
  <c r="BH30" i="44"/>
  <c r="BF30" i="44"/>
  <c r="BD30" i="44"/>
  <c r="BB30" i="44"/>
  <c r="AZ30" i="44"/>
  <c r="AX30" i="44"/>
  <c r="AV30" i="44"/>
  <c r="AT30" i="44"/>
  <c r="AR30" i="44"/>
  <c r="AP30" i="44"/>
  <c r="AN30" i="44"/>
  <c r="AL30" i="44"/>
  <c r="AJ30" i="44"/>
  <c r="AH30" i="44"/>
  <c r="AF30" i="44"/>
  <c r="AD30" i="44"/>
  <c r="AB30" i="44"/>
  <c r="Z30" i="44"/>
  <c r="Y30" i="44"/>
  <c r="W30" i="44"/>
  <c r="BS29" i="44"/>
  <c r="BK29" i="44"/>
  <c r="G29" i="44" s="1"/>
  <c r="H29" i="44" s="1"/>
  <c r="M29" i="44" s="1"/>
  <c r="BH29" i="44"/>
  <c r="BF29" i="44"/>
  <c r="BD29" i="44"/>
  <c r="BB29" i="44"/>
  <c r="AZ29" i="44"/>
  <c r="AX29" i="44"/>
  <c r="AV29" i="44"/>
  <c r="AT29" i="44"/>
  <c r="AR29" i="44"/>
  <c r="AP29" i="44"/>
  <c r="AN29" i="44"/>
  <c r="AL29" i="44"/>
  <c r="AJ29" i="44"/>
  <c r="AH29" i="44"/>
  <c r="AF29" i="44"/>
  <c r="AD29" i="44"/>
  <c r="AB29" i="44"/>
  <c r="Z29" i="44"/>
  <c r="Y29" i="44"/>
  <c r="X29" i="44"/>
  <c r="W29" i="44"/>
  <c r="BK28" i="44"/>
  <c r="G28" i="44" s="1"/>
  <c r="BJ28" i="44"/>
  <c r="BH28" i="44"/>
  <c r="BF28" i="44"/>
  <c r="BD28" i="44"/>
  <c r="BB28" i="44"/>
  <c r="AZ28" i="44"/>
  <c r="AX28" i="44"/>
  <c r="AV28" i="44"/>
  <c r="AT28" i="44"/>
  <c r="AR28" i="44"/>
  <c r="AP28" i="44"/>
  <c r="AN28" i="44"/>
  <c r="AL28" i="44"/>
  <c r="AJ28" i="44"/>
  <c r="AH28" i="44"/>
  <c r="AF28" i="44"/>
  <c r="AD28" i="44"/>
  <c r="AB28" i="44"/>
  <c r="Z28" i="44"/>
  <c r="Y28" i="44"/>
  <c r="X28" i="44"/>
  <c r="W28" i="44"/>
  <c r="BS27" i="44"/>
  <c r="BK27" i="44"/>
  <c r="G27" i="44" s="1"/>
  <c r="BJ27" i="44"/>
  <c r="BH27" i="44"/>
  <c r="BF27" i="44"/>
  <c r="BD27" i="44"/>
  <c r="BB27" i="44"/>
  <c r="AZ27" i="44"/>
  <c r="AX27" i="44"/>
  <c r="AV27" i="44"/>
  <c r="AT27" i="44"/>
  <c r="AR27" i="44"/>
  <c r="AP27" i="44"/>
  <c r="AN27" i="44"/>
  <c r="AL27" i="44"/>
  <c r="AJ27" i="44"/>
  <c r="AH27" i="44"/>
  <c r="AF27" i="44"/>
  <c r="AD27" i="44"/>
  <c r="AB27" i="44"/>
  <c r="Z27" i="44"/>
  <c r="Y27" i="44"/>
  <c r="X27" i="44"/>
  <c r="W27" i="44"/>
  <c r="BS26" i="44"/>
  <c r="BK26" i="44"/>
  <c r="G26" i="44" s="1"/>
  <c r="BJ26" i="44"/>
  <c r="BH26" i="44"/>
  <c r="BF26" i="44"/>
  <c r="BD26" i="44"/>
  <c r="BB26" i="44"/>
  <c r="AZ26" i="44"/>
  <c r="AX26" i="44"/>
  <c r="AV26" i="44"/>
  <c r="AT26" i="44"/>
  <c r="AR26" i="44"/>
  <c r="AP26" i="44"/>
  <c r="AN26" i="44"/>
  <c r="AL26" i="44"/>
  <c r="AJ26" i="44"/>
  <c r="AH26" i="44"/>
  <c r="AF26" i="44"/>
  <c r="AD26" i="44"/>
  <c r="AB26" i="44"/>
  <c r="Z26" i="44"/>
  <c r="Y26" i="44"/>
  <c r="X26" i="44"/>
  <c r="W26" i="44"/>
  <c r="BS25" i="44"/>
  <c r="BK25" i="44"/>
  <c r="G25" i="44" s="1"/>
  <c r="BJ25" i="44"/>
  <c r="BH25" i="44"/>
  <c r="BF25" i="44"/>
  <c r="BD25" i="44"/>
  <c r="BB25" i="44"/>
  <c r="AZ25" i="44"/>
  <c r="AX25" i="44"/>
  <c r="AV25" i="44"/>
  <c r="AT25" i="44"/>
  <c r="AR25" i="44"/>
  <c r="AP25" i="44"/>
  <c r="AN25" i="44"/>
  <c r="AL25" i="44"/>
  <c r="AJ25" i="44"/>
  <c r="AH25" i="44"/>
  <c r="AF25" i="44"/>
  <c r="AD25" i="44"/>
  <c r="AB25" i="44"/>
  <c r="Z25" i="44"/>
  <c r="Y25" i="44"/>
  <c r="X25" i="44"/>
  <c r="W25" i="44"/>
  <c r="BS24" i="44"/>
  <c r="BK24" i="44"/>
  <c r="G24" i="44" s="1"/>
  <c r="BJ24" i="44"/>
  <c r="BH24" i="44"/>
  <c r="BF24" i="44"/>
  <c r="BD24" i="44"/>
  <c r="BB24" i="44"/>
  <c r="AZ24" i="44"/>
  <c r="AX24" i="44"/>
  <c r="AV24" i="44"/>
  <c r="AT24" i="44"/>
  <c r="AR24" i="44"/>
  <c r="AP24" i="44"/>
  <c r="AN24" i="44"/>
  <c r="AL24" i="44"/>
  <c r="AJ24" i="44"/>
  <c r="AH24" i="44"/>
  <c r="AF24" i="44"/>
  <c r="AD24" i="44"/>
  <c r="AB24" i="44"/>
  <c r="Z24" i="44"/>
  <c r="Y24" i="44"/>
  <c r="X24" i="44"/>
  <c r="W24" i="44"/>
  <c r="BS23" i="44"/>
  <c r="BK23" i="44"/>
  <c r="G23" i="44" s="1"/>
  <c r="BJ23" i="44"/>
  <c r="BH23" i="44"/>
  <c r="BF23" i="44"/>
  <c r="BD23" i="44"/>
  <c r="BB23" i="44"/>
  <c r="AZ23" i="44"/>
  <c r="AX23" i="44"/>
  <c r="AV23" i="44"/>
  <c r="AT23" i="44"/>
  <c r="AR23" i="44"/>
  <c r="AP23" i="44"/>
  <c r="AN23" i="44"/>
  <c r="AL23" i="44"/>
  <c r="AJ23" i="44"/>
  <c r="AH23" i="44"/>
  <c r="AF23" i="44"/>
  <c r="AD23" i="44"/>
  <c r="AB23" i="44"/>
  <c r="Y23" i="44"/>
  <c r="X23" i="44"/>
  <c r="W23" i="44"/>
  <c r="BS22" i="44"/>
  <c r="BK22" i="44"/>
  <c r="G22" i="44" s="1"/>
  <c r="AR22" i="44"/>
  <c r="BJ22" i="44"/>
  <c r="BV21" i="44"/>
  <c r="BK21" i="44"/>
  <c r="G21" i="44" s="1"/>
  <c r="BJ21" i="44"/>
  <c r="BH21" i="44"/>
  <c r="BF21" i="44"/>
  <c r="BD21" i="44"/>
  <c r="BB21" i="44"/>
  <c r="AZ21" i="44"/>
  <c r="AX21" i="44"/>
  <c r="AV21" i="44"/>
  <c r="AT21" i="44"/>
  <c r="AR21" i="44"/>
  <c r="AP21" i="44"/>
  <c r="AN21" i="44"/>
  <c r="AL21" i="44"/>
  <c r="AJ21" i="44"/>
  <c r="AH21" i="44"/>
  <c r="AF21" i="44"/>
  <c r="AD21" i="44"/>
  <c r="AB21" i="44"/>
  <c r="Z21" i="44"/>
  <c r="Y21" i="44"/>
  <c r="X21" i="44"/>
  <c r="W21" i="44"/>
  <c r="BV20" i="44"/>
  <c r="G23" i="52" s="1"/>
  <c r="BK20" i="44"/>
  <c r="G20" i="44" s="1"/>
  <c r="BJ20" i="44"/>
  <c r="BH20" i="44"/>
  <c r="BD20" i="44"/>
  <c r="BB20" i="44"/>
  <c r="AX20" i="44"/>
  <c r="AV20" i="44"/>
  <c r="AP20" i="44"/>
  <c r="AL20" i="44"/>
  <c r="AH20" i="44"/>
  <c r="AB20" i="44"/>
  <c r="BV19" i="44"/>
  <c r="BK19" i="44"/>
  <c r="BJ19" i="44"/>
  <c r="BH19" i="44"/>
  <c r="BF19" i="44"/>
  <c r="BD19" i="44"/>
  <c r="BB19" i="44"/>
  <c r="AZ19" i="44"/>
  <c r="AX19" i="44"/>
  <c r="AV19" i="44"/>
  <c r="AT19" i="44"/>
  <c r="AR19" i="44"/>
  <c r="AP19" i="44"/>
  <c r="AN19" i="44"/>
  <c r="AL19" i="44"/>
  <c r="AJ19" i="44"/>
  <c r="AH19" i="44"/>
  <c r="AF19" i="44"/>
  <c r="AD19" i="44"/>
  <c r="AB19" i="44"/>
  <c r="Z19" i="44"/>
  <c r="Y19" i="44"/>
  <c r="W19" i="44"/>
  <c r="BW18" i="44"/>
  <c r="BJ18" i="44"/>
  <c r="BH18" i="44"/>
  <c r="BF18" i="44"/>
  <c r="BD18" i="44"/>
  <c r="BB18" i="44"/>
  <c r="AZ18" i="44"/>
  <c r="AX18" i="44"/>
  <c r="AV18" i="44"/>
  <c r="AT18" i="44"/>
  <c r="AR18" i="44"/>
  <c r="AP18" i="44"/>
  <c r="AN18" i="44"/>
  <c r="AL18" i="44"/>
  <c r="AJ18" i="44"/>
  <c r="AH18" i="44"/>
  <c r="AF18" i="44"/>
  <c r="AD18" i="44"/>
  <c r="AB18" i="44"/>
  <c r="BW17" i="44"/>
  <c r="BJ17" i="44"/>
  <c r="BH17" i="44"/>
  <c r="BF17" i="44"/>
  <c r="BD17" i="44"/>
  <c r="BB17" i="44"/>
  <c r="AZ17" i="44"/>
  <c r="AX17" i="44"/>
  <c r="AV17" i="44"/>
  <c r="AT17" i="44"/>
  <c r="AR17" i="44"/>
  <c r="AP17" i="44"/>
  <c r="AN17" i="44"/>
  <c r="AL17" i="44"/>
  <c r="AJ17" i="44"/>
  <c r="AH17" i="44"/>
  <c r="AF17" i="44"/>
  <c r="AD17" i="44"/>
  <c r="AB17" i="44"/>
  <c r="BV15" i="44"/>
  <c r="BK15" i="44"/>
  <c r="G15" i="44" s="1"/>
  <c r="E57" i="51" s="1"/>
  <c r="BJ15" i="44"/>
  <c r="BH15" i="44"/>
  <c r="BF15" i="44"/>
  <c r="BD15" i="44"/>
  <c r="BB15" i="44"/>
  <c r="AZ15" i="44"/>
  <c r="AX15" i="44"/>
  <c r="AV15" i="44"/>
  <c r="AT15" i="44"/>
  <c r="AR15" i="44"/>
  <c r="AP15" i="44"/>
  <c r="AN15" i="44"/>
  <c r="AL15" i="44"/>
  <c r="AJ15" i="44"/>
  <c r="AH15" i="44"/>
  <c r="AF15" i="44"/>
  <c r="AD15" i="44"/>
  <c r="AB15" i="44"/>
  <c r="Z15" i="44"/>
  <c r="Y15" i="44"/>
  <c r="W15" i="44"/>
  <c r="BW14" i="44"/>
  <c r="BK14" i="44"/>
  <c r="BJ14" i="44"/>
  <c r="BH14" i="44"/>
  <c r="BF14" i="44"/>
  <c r="BD14" i="44"/>
  <c r="BB14" i="44"/>
  <c r="AZ14" i="44"/>
  <c r="AX14" i="44"/>
  <c r="AV14" i="44"/>
  <c r="AT14" i="44"/>
  <c r="AR14" i="44"/>
  <c r="AP14" i="44"/>
  <c r="AN14" i="44"/>
  <c r="AL14" i="44"/>
  <c r="AJ14" i="44"/>
  <c r="AH14" i="44"/>
  <c r="AF14" i="44"/>
  <c r="AD14" i="44"/>
  <c r="AB14" i="44"/>
  <c r="BU13" i="44"/>
  <c r="BU16" i="44" s="1"/>
  <c r="BT13" i="44"/>
  <c r="BT16" i="44" s="1"/>
  <c r="BR13" i="44"/>
  <c r="BR16" i="44" s="1"/>
  <c r="F21" i="52" s="1"/>
  <c r="BO13" i="44"/>
  <c r="BO16" i="44" s="1"/>
  <c r="C21" i="52" s="1"/>
  <c r="BI13" i="44"/>
  <c r="BI16" i="44" s="1"/>
  <c r="BG13" i="44"/>
  <c r="BG16" i="44" s="1"/>
  <c r="BE13" i="44"/>
  <c r="BE16" i="44" s="1"/>
  <c r="BC13" i="44"/>
  <c r="BC16" i="44" s="1"/>
  <c r="BA13" i="44"/>
  <c r="BA16" i="44" s="1"/>
  <c r="AY13" i="44"/>
  <c r="AY16" i="44" s="1"/>
  <c r="AW13" i="44"/>
  <c r="AW16" i="44" s="1"/>
  <c r="AU13" i="44"/>
  <c r="AU16" i="44" s="1"/>
  <c r="AS13" i="44"/>
  <c r="AS16" i="44" s="1"/>
  <c r="AQ13" i="44"/>
  <c r="AQ16" i="44" s="1"/>
  <c r="AO13" i="44"/>
  <c r="AO16" i="44" s="1"/>
  <c r="AM13" i="44"/>
  <c r="AM16" i="44" s="1"/>
  <c r="AK13" i="44"/>
  <c r="AK16" i="44" s="1"/>
  <c r="AI13" i="44"/>
  <c r="AI16" i="44" s="1"/>
  <c r="AG13" i="44"/>
  <c r="AG16" i="44" s="1"/>
  <c r="AE13" i="44"/>
  <c r="AE16" i="44" s="1"/>
  <c r="AC13" i="44"/>
  <c r="AC16" i="44" s="1"/>
  <c r="AA13" i="44"/>
  <c r="AA16" i="44" s="1"/>
  <c r="R13" i="44"/>
  <c r="R16" i="44" s="1"/>
  <c r="Q13" i="44"/>
  <c r="P13" i="44"/>
  <c r="P16" i="44" s="1"/>
  <c r="O13" i="44"/>
  <c r="O16" i="44" s="1"/>
  <c r="M13" i="44"/>
  <c r="M16" i="44" s="1"/>
  <c r="L13" i="44"/>
  <c r="L16" i="44" s="1"/>
  <c r="K13" i="44"/>
  <c r="K16" i="44" s="1"/>
  <c r="J13" i="44"/>
  <c r="I13" i="44"/>
  <c r="I16" i="44" s="1"/>
  <c r="BK12" i="44"/>
  <c r="BK13" i="44" s="1"/>
  <c r="BJ12" i="44"/>
  <c r="BJ13" i="44" s="1"/>
  <c r="BH12" i="44"/>
  <c r="BH13" i="44" s="1"/>
  <c r="BF12" i="44"/>
  <c r="BF13" i="44" s="1"/>
  <c r="BD12" i="44"/>
  <c r="BD13" i="44" s="1"/>
  <c r="BB12" i="44"/>
  <c r="BB13" i="44" s="1"/>
  <c r="AZ12" i="44"/>
  <c r="AZ13" i="44" s="1"/>
  <c r="AX12" i="44"/>
  <c r="AX13" i="44" s="1"/>
  <c r="AV12" i="44"/>
  <c r="AV13" i="44" s="1"/>
  <c r="AT12" i="44"/>
  <c r="AT13" i="44" s="1"/>
  <c r="AR12" i="44"/>
  <c r="AR13" i="44" s="1"/>
  <c r="AP12" i="44"/>
  <c r="AP13" i="44" s="1"/>
  <c r="AN12" i="44"/>
  <c r="AN13" i="44" s="1"/>
  <c r="AL12" i="44"/>
  <c r="AL13" i="44" s="1"/>
  <c r="AJ12" i="44"/>
  <c r="AJ13" i="44" s="1"/>
  <c r="AH12" i="44"/>
  <c r="AH13" i="44" s="1"/>
  <c r="AF12" i="44"/>
  <c r="AF13" i="44" s="1"/>
  <c r="AD12" i="44"/>
  <c r="AD13" i="44" s="1"/>
  <c r="AB12" i="44"/>
  <c r="AB13" i="44" s="1"/>
  <c r="BV11" i="44"/>
  <c r="BV13" i="44" s="1"/>
  <c r="BP11" i="44"/>
  <c r="BP13" i="44" s="1"/>
  <c r="BV10" i="44"/>
  <c r="BS10" i="44"/>
  <c r="BW9" i="44"/>
  <c r="BH4" i="44"/>
  <c r="BG4" i="44"/>
  <c r="BF4" i="44"/>
  <c r="BE4" i="44"/>
  <c r="BD4" i="44"/>
  <c r="BC4" i="44"/>
  <c r="BB4" i="44"/>
  <c r="BA4" i="44"/>
  <c r="AZ4" i="44"/>
  <c r="AY4" i="44"/>
  <c r="AX4" i="44"/>
  <c r="AW4" i="44"/>
  <c r="AV4" i="44"/>
  <c r="AU4" i="44"/>
  <c r="AT4" i="44"/>
  <c r="AS4" i="44"/>
  <c r="AR4" i="44"/>
  <c r="AQ4" i="44"/>
  <c r="AP4" i="44"/>
  <c r="AO4" i="44"/>
  <c r="AN4" i="44"/>
  <c r="AM4" i="44"/>
  <c r="AL4" i="44"/>
  <c r="AK4" i="44"/>
  <c r="AJ4" i="44"/>
  <c r="AI4" i="44"/>
  <c r="AH4" i="44"/>
  <c r="AG4" i="44"/>
  <c r="AF4" i="44"/>
  <c r="AE4" i="44"/>
  <c r="AD4" i="44"/>
  <c r="AC4" i="44"/>
  <c r="AB4" i="44"/>
  <c r="BJ101" i="45"/>
  <c r="F101" i="45" s="1"/>
  <c r="E48" i="51" s="1"/>
  <c r="BI101" i="45"/>
  <c r="BG101" i="45"/>
  <c r="BE101" i="45"/>
  <c r="BC101" i="45"/>
  <c r="BA101" i="45"/>
  <c r="AY101" i="45"/>
  <c r="AW101" i="45"/>
  <c r="AU101" i="45"/>
  <c r="AS101" i="45"/>
  <c r="AQ101" i="45"/>
  <c r="AO101" i="45"/>
  <c r="AM101" i="45"/>
  <c r="AK101" i="45"/>
  <c r="AI101" i="45"/>
  <c r="AG101" i="45"/>
  <c r="AE101" i="45"/>
  <c r="AC101" i="45"/>
  <c r="AA101" i="45"/>
  <c r="Y101" i="45"/>
  <c r="BJ100" i="45"/>
  <c r="F100" i="45" s="1"/>
  <c r="BI100" i="45"/>
  <c r="BG100" i="45"/>
  <c r="BE100" i="45"/>
  <c r="BC100" i="45"/>
  <c r="BA100" i="45"/>
  <c r="AY100" i="45"/>
  <c r="AW100" i="45"/>
  <c r="AU100" i="45"/>
  <c r="AS100" i="45"/>
  <c r="AQ100" i="45"/>
  <c r="AO100" i="45"/>
  <c r="AM100" i="45"/>
  <c r="AK100" i="45"/>
  <c r="AI100" i="45"/>
  <c r="AG100" i="45"/>
  <c r="AE100" i="45"/>
  <c r="AC100" i="45"/>
  <c r="AA100" i="45"/>
  <c r="Y100" i="45"/>
  <c r="BJ99" i="45"/>
  <c r="F99" i="45" s="1"/>
  <c r="BI99" i="45"/>
  <c r="BG99" i="45"/>
  <c r="BE99" i="45"/>
  <c r="BC99" i="45"/>
  <c r="BA99" i="45"/>
  <c r="AY99" i="45"/>
  <c r="AW99" i="45"/>
  <c r="AU99" i="45"/>
  <c r="AS99" i="45"/>
  <c r="AQ99" i="45"/>
  <c r="AO99" i="45"/>
  <c r="AM99" i="45"/>
  <c r="AK99" i="45"/>
  <c r="AI99" i="45"/>
  <c r="AG99" i="45"/>
  <c r="AE99" i="45"/>
  <c r="AC99" i="45"/>
  <c r="AA99" i="45"/>
  <c r="Y99" i="45"/>
  <c r="BJ98" i="45"/>
  <c r="F98" i="45" s="1"/>
  <c r="R98" i="45" s="1"/>
  <c r="V98" i="45" s="1"/>
  <c r="BI98" i="45"/>
  <c r="BG98" i="45"/>
  <c r="BE98" i="45"/>
  <c r="BC98" i="45"/>
  <c r="BA98" i="45"/>
  <c r="AY98" i="45"/>
  <c r="AW98" i="45"/>
  <c r="AU98" i="45"/>
  <c r="AS98" i="45"/>
  <c r="AQ98" i="45"/>
  <c r="AO98" i="45"/>
  <c r="AM98" i="45"/>
  <c r="AK98" i="45"/>
  <c r="AI98" i="45"/>
  <c r="AG98" i="45"/>
  <c r="AE98" i="45"/>
  <c r="AC98" i="45"/>
  <c r="AA98" i="45"/>
  <c r="Y98" i="45"/>
  <c r="X98" i="45"/>
  <c r="BJ97" i="45"/>
  <c r="F97" i="45" s="1"/>
  <c r="G97" i="45" s="1"/>
  <c r="J97" i="45" s="1"/>
  <c r="BG97" i="45"/>
  <c r="BE97" i="45"/>
  <c r="BC97" i="45"/>
  <c r="BA97" i="45"/>
  <c r="AY97" i="45"/>
  <c r="AW97" i="45"/>
  <c r="AU97" i="45"/>
  <c r="AS97" i="45"/>
  <c r="AQ97" i="45"/>
  <c r="AO97" i="45"/>
  <c r="AM97" i="45"/>
  <c r="AK97" i="45"/>
  <c r="AI97" i="45"/>
  <c r="AG97" i="45"/>
  <c r="AE97" i="45"/>
  <c r="AC97" i="45"/>
  <c r="AA97" i="45"/>
  <c r="BJ96" i="45"/>
  <c r="F96" i="45" s="1"/>
  <c r="R96" i="45" s="1"/>
  <c r="V96" i="45" s="1"/>
  <c r="BG96" i="45"/>
  <c r="BE96" i="45"/>
  <c r="BC96" i="45"/>
  <c r="BA96" i="45"/>
  <c r="AY96" i="45"/>
  <c r="AW96" i="45"/>
  <c r="AU96" i="45"/>
  <c r="AS96" i="45"/>
  <c r="AQ96" i="45"/>
  <c r="AO96" i="45"/>
  <c r="AM96" i="45"/>
  <c r="AK96" i="45"/>
  <c r="AI96" i="45"/>
  <c r="AG96" i="45"/>
  <c r="AE96" i="45"/>
  <c r="AC96" i="45"/>
  <c r="AA96" i="45"/>
  <c r="BJ95" i="45"/>
  <c r="F95" i="45" s="1"/>
  <c r="T95" i="45" s="1"/>
  <c r="X95" i="45" s="1"/>
  <c r="BI95" i="45"/>
  <c r="BG95" i="45"/>
  <c r="BE95" i="45"/>
  <c r="BC95" i="45"/>
  <c r="BA95" i="45"/>
  <c r="AY95" i="45"/>
  <c r="AW95" i="45"/>
  <c r="AU95" i="45"/>
  <c r="AS95" i="45"/>
  <c r="AQ95" i="45"/>
  <c r="AO95" i="45"/>
  <c r="AM95" i="45"/>
  <c r="AK95" i="45"/>
  <c r="AI95" i="45"/>
  <c r="AG95" i="45"/>
  <c r="AE95" i="45"/>
  <c r="AC95" i="45"/>
  <c r="AA95" i="45"/>
  <c r="Y95" i="45"/>
  <c r="BJ94" i="45"/>
  <c r="F94" i="45" s="1"/>
  <c r="G94" i="45" s="1"/>
  <c r="J94" i="45" s="1"/>
  <c r="BC94" i="45"/>
  <c r="BA94" i="45"/>
  <c r="AW94" i="45"/>
  <c r="AS94" i="45"/>
  <c r="AI94" i="45"/>
  <c r="AG94" i="45"/>
  <c r="BJ93" i="45"/>
  <c r="F93" i="45" s="1"/>
  <c r="BI93" i="45"/>
  <c r="BG93" i="45"/>
  <c r="BE93" i="45"/>
  <c r="BC93" i="45"/>
  <c r="BA93" i="45"/>
  <c r="AY93" i="45"/>
  <c r="AW93" i="45"/>
  <c r="AU93" i="45"/>
  <c r="AS93" i="45"/>
  <c r="AQ93" i="45"/>
  <c r="AO93" i="45"/>
  <c r="AM93" i="45"/>
  <c r="AK93" i="45"/>
  <c r="AI93" i="45"/>
  <c r="AG93" i="45"/>
  <c r="AE93" i="45"/>
  <c r="AC93" i="45"/>
  <c r="AA93" i="45"/>
  <c r="Y93" i="45"/>
  <c r="BJ92" i="45"/>
  <c r="F92" i="45" s="1"/>
  <c r="S92" i="45" s="1"/>
  <c r="W92" i="45" s="1"/>
  <c r="BI92" i="45"/>
  <c r="BG92" i="45"/>
  <c r="BE92" i="45"/>
  <c r="BC92" i="45"/>
  <c r="BA92" i="45"/>
  <c r="AY92" i="45"/>
  <c r="AW92" i="45"/>
  <c r="AU92" i="45"/>
  <c r="AS92" i="45"/>
  <c r="AQ92" i="45"/>
  <c r="AO92" i="45"/>
  <c r="AM92" i="45"/>
  <c r="AK92" i="45"/>
  <c r="AI92" i="45"/>
  <c r="AG92" i="45"/>
  <c r="AE92" i="45"/>
  <c r="AC92" i="45"/>
  <c r="AA92" i="45"/>
  <c r="Y92" i="45"/>
  <c r="X92" i="45"/>
  <c r="BJ91" i="45"/>
  <c r="F91" i="45" s="1"/>
  <c r="BI91" i="45"/>
  <c r="BG91" i="45"/>
  <c r="BE91" i="45"/>
  <c r="BC91" i="45"/>
  <c r="BA91" i="45"/>
  <c r="AY91" i="45"/>
  <c r="AW91" i="45"/>
  <c r="AU91" i="45"/>
  <c r="AS91" i="45"/>
  <c r="AQ91" i="45"/>
  <c r="AO91" i="45"/>
  <c r="AM91" i="45"/>
  <c r="AK91" i="45"/>
  <c r="AI91" i="45"/>
  <c r="AG91" i="45"/>
  <c r="AE91" i="45"/>
  <c r="AC91" i="45"/>
  <c r="AA91" i="45"/>
  <c r="BJ90" i="45"/>
  <c r="F90" i="45" s="1"/>
  <c r="T90" i="45" s="1"/>
  <c r="BI90" i="45"/>
  <c r="BG90" i="45"/>
  <c r="BE90" i="45"/>
  <c r="BC90" i="45"/>
  <c r="BA90" i="45"/>
  <c r="AY90" i="45"/>
  <c r="AW90" i="45"/>
  <c r="AU90" i="45"/>
  <c r="AS90" i="45"/>
  <c r="AQ90" i="45"/>
  <c r="AO90" i="45"/>
  <c r="AM90" i="45"/>
  <c r="AK90" i="45"/>
  <c r="AI90" i="45"/>
  <c r="AG90" i="45"/>
  <c r="AE90" i="45"/>
  <c r="AC90" i="45"/>
  <c r="AA90" i="45"/>
  <c r="BJ89" i="45"/>
  <c r="F89" i="45" s="1"/>
  <c r="BI89" i="45"/>
  <c r="AW89" i="45"/>
  <c r="BJ88" i="45"/>
  <c r="F88" i="45" s="1"/>
  <c r="R88" i="45" s="1"/>
  <c r="BI88" i="45"/>
  <c r="BG88" i="45"/>
  <c r="BE88" i="45"/>
  <c r="BC88" i="45"/>
  <c r="BA88" i="45"/>
  <c r="AY88" i="45"/>
  <c r="AW88" i="45"/>
  <c r="AU88" i="45"/>
  <c r="AQ88" i="45"/>
  <c r="AO88" i="45"/>
  <c r="AM88" i="45"/>
  <c r="AK88" i="45"/>
  <c r="AI88" i="45"/>
  <c r="AG88" i="45"/>
  <c r="AE88" i="45"/>
  <c r="AC88" i="45"/>
  <c r="AA88" i="45"/>
  <c r="Y88" i="45"/>
  <c r="X88" i="45"/>
  <c r="BJ87" i="45"/>
  <c r="F87" i="45" s="1"/>
  <c r="R87" i="45" s="1"/>
  <c r="BI87" i="45"/>
  <c r="BG87" i="45"/>
  <c r="BE87" i="45"/>
  <c r="BC87" i="45"/>
  <c r="BA87" i="45"/>
  <c r="AY87" i="45"/>
  <c r="AW87" i="45"/>
  <c r="AU87" i="45"/>
  <c r="AS87" i="45"/>
  <c r="AQ87" i="45"/>
  <c r="AO87" i="45"/>
  <c r="AM87" i="45"/>
  <c r="AK87" i="45"/>
  <c r="AI87" i="45"/>
  <c r="AG87" i="45"/>
  <c r="AE87" i="45"/>
  <c r="AC87" i="45"/>
  <c r="AA87" i="45"/>
  <c r="Y87" i="45"/>
  <c r="X87" i="45"/>
  <c r="BJ86" i="45"/>
  <c r="F86" i="45" s="1"/>
  <c r="BI86" i="45"/>
  <c r="BG86" i="45"/>
  <c r="BE86" i="45"/>
  <c r="BC86" i="45"/>
  <c r="BA86" i="45"/>
  <c r="AY86" i="45"/>
  <c r="AW86" i="45"/>
  <c r="AU86" i="45"/>
  <c r="AS86" i="45"/>
  <c r="AQ86" i="45"/>
  <c r="AM86" i="45"/>
  <c r="AK86" i="45"/>
  <c r="AI86" i="45"/>
  <c r="AG86" i="45"/>
  <c r="AE86" i="45"/>
  <c r="AC86" i="45"/>
  <c r="AA86" i="45"/>
  <c r="Y86" i="45"/>
  <c r="X86" i="45"/>
  <c r="BJ85" i="45"/>
  <c r="F85" i="45" s="1"/>
  <c r="BI85" i="45"/>
  <c r="BG85" i="45"/>
  <c r="BE85" i="45"/>
  <c r="BC85" i="45"/>
  <c r="BA85" i="45"/>
  <c r="AY85" i="45"/>
  <c r="AW85" i="45"/>
  <c r="AU85" i="45"/>
  <c r="AS85" i="45"/>
  <c r="AQ85" i="45"/>
  <c r="AO85" i="45"/>
  <c r="AM85" i="45"/>
  <c r="AK85" i="45"/>
  <c r="AI85" i="45"/>
  <c r="AG85" i="45"/>
  <c r="AE85" i="45"/>
  <c r="AC85" i="45"/>
  <c r="AA85" i="45"/>
  <c r="Y85" i="45"/>
  <c r="X85" i="45"/>
  <c r="BJ84" i="45"/>
  <c r="F84" i="45" s="1"/>
  <c r="S84" i="45" s="1"/>
  <c r="BI84" i="45"/>
  <c r="BG84" i="45"/>
  <c r="BE84" i="45"/>
  <c r="BC84" i="45"/>
  <c r="BA84" i="45"/>
  <c r="AY84" i="45"/>
  <c r="AW84" i="45"/>
  <c r="AU84" i="45"/>
  <c r="AS84" i="45"/>
  <c r="AO84" i="45"/>
  <c r="AM84" i="45"/>
  <c r="AK84" i="45"/>
  <c r="AI84" i="45"/>
  <c r="AG84" i="45"/>
  <c r="AE84" i="45"/>
  <c r="AC84" i="45"/>
  <c r="AA84" i="45"/>
  <c r="Y84" i="45"/>
  <c r="X84" i="45"/>
  <c r="BJ83" i="45"/>
  <c r="F83" i="45" s="1"/>
  <c r="BI83" i="45"/>
  <c r="BG83" i="45"/>
  <c r="BE83" i="45"/>
  <c r="BC83" i="45"/>
  <c r="BA83" i="45"/>
  <c r="AY83" i="45"/>
  <c r="AW83" i="45"/>
  <c r="AU83" i="45"/>
  <c r="AQ83" i="45"/>
  <c r="AO83" i="45"/>
  <c r="AM83" i="45"/>
  <c r="AK83" i="45"/>
  <c r="AI83" i="45"/>
  <c r="AG83" i="45"/>
  <c r="AE83" i="45"/>
  <c r="AC83" i="45"/>
  <c r="Y83" i="45"/>
  <c r="BJ82" i="45"/>
  <c r="F82" i="45" s="1"/>
  <c r="BI82" i="45"/>
  <c r="BG82" i="45"/>
  <c r="BE82" i="45"/>
  <c r="BC82" i="45"/>
  <c r="BA82" i="45"/>
  <c r="AY82" i="45"/>
  <c r="AW82" i="45"/>
  <c r="AU82" i="45"/>
  <c r="AS82" i="45"/>
  <c r="AQ82" i="45"/>
  <c r="AO82" i="45"/>
  <c r="AM82" i="45"/>
  <c r="AK82" i="45"/>
  <c r="AI82" i="45"/>
  <c r="AG82" i="45"/>
  <c r="AE82" i="45"/>
  <c r="AC82" i="45"/>
  <c r="AA82" i="45"/>
  <c r="Y82" i="45"/>
  <c r="X82" i="45"/>
  <c r="BJ81" i="45"/>
  <c r="F81" i="45" s="1"/>
  <c r="BI81" i="45"/>
  <c r="BG81" i="45"/>
  <c r="BE81" i="45"/>
  <c r="BC81" i="45"/>
  <c r="BA81" i="45"/>
  <c r="AY81" i="45"/>
  <c r="AW81" i="45"/>
  <c r="AU81" i="45"/>
  <c r="AS81" i="45"/>
  <c r="AO81" i="45"/>
  <c r="AM81" i="45"/>
  <c r="AK81" i="45"/>
  <c r="AI81" i="45"/>
  <c r="AG81" i="45"/>
  <c r="AE81" i="45"/>
  <c r="AC81" i="45"/>
  <c r="AA81" i="45"/>
  <c r="Y81" i="45"/>
  <c r="X81" i="45"/>
  <c r="BJ80" i="45"/>
  <c r="BI80" i="45"/>
  <c r="BG80" i="45"/>
  <c r="BE80" i="45"/>
  <c r="BC80" i="45"/>
  <c r="BA80" i="45"/>
  <c r="AY80" i="45"/>
  <c r="AW80" i="45"/>
  <c r="AO80" i="45"/>
  <c r="AM80" i="45"/>
  <c r="AK80" i="45"/>
  <c r="AI80" i="45"/>
  <c r="AG80" i="45"/>
  <c r="AE80" i="45"/>
  <c r="AC80" i="45"/>
  <c r="AA80" i="45"/>
  <c r="Y80" i="45"/>
  <c r="AI79" i="45"/>
  <c r="AG79" i="45"/>
  <c r="AE79" i="45"/>
  <c r="AC79" i="45"/>
  <c r="AA79" i="45"/>
  <c r="BU78" i="45"/>
  <c r="BT78" i="45"/>
  <c r="BS78" i="45"/>
  <c r="BQ78" i="45"/>
  <c r="BM78" i="45"/>
  <c r="BL78" i="45"/>
  <c r="BH78" i="45"/>
  <c r="BF78" i="45"/>
  <c r="BD78" i="45"/>
  <c r="BB78" i="45"/>
  <c r="AZ78" i="45"/>
  <c r="AX78" i="45"/>
  <c r="AV78" i="45"/>
  <c r="AT78" i="45"/>
  <c r="AR78" i="45"/>
  <c r="AP78" i="45"/>
  <c r="AN78" i="45"/>
  <c r="AL78" i="45"/>
  <c r="AJ78" i="45"/>
  <c r="AH78" i="45"/>
  <c r="AF78" i="45"/>
  <c r="AD78" i="45"/>
  <c r="AB78" i="45"/>
  <c r="Z78" i="45"/>
  <c r="P78" i="45"/>
  <c r="O78" i="45"/>
  <c r="N78" i="45"/>
  <c r="K78" i="45"/>
  <c r="I78" i="45"/>
  <c r="H78" i="45"/>
  <c r="BJ77" i="45"/>
  <c r="F77" i="45" s="1"/>
  <c r="U77" i="45" s="1"/>
  <c r="Y77" i="45" s="1"/>
  <c r="BI77" i="45"/>
  <c r="BG77" i="45"/>
  <c r="BE77" i="45"/>
  <c r="BC77" i="45"/>
  <c r="BA77" i="45"/>
  <c r="AY77" i="45"/>
  <c r="AW77" i="45"/>
  <c r="AU77" i="45"/>
  <c r="AS77" i="45"/>
  <c r="AQ77" i="45"/>
  <c r="AO77" i="45"/>
  <c r="AM77" i="45"/>
  <c r="AK77" i="45"/>
  <c r="AI77" i="45"/>
  <c r="AG77" i="45"/>
  <c r="AE77" i="45"/>
  <c r="AC77" i="45"/>
  <c r="AA77" i="45"/>
  <c r="BJ76" i="45"/>
  <c r="F76" i="45" s="1"/>
  <c r="S76" i="45" s="1"/>
  <c r="W76" i="45" s="1"/>
  <c r="BI76" i="45"/>
  <c r="BG76" i="45"/>
  <c r="BE76" i="45"/>
  <c r="BC76" i="45"/>
  <c r="BA76" i="45"/>
  <c r="AY76" i="45"/>
  <c r="AW76" i="45"/>
  <c r="AU76" i="45"/>
  <c r="AS76" i="45"/>
  <c r="AQ76" i="45"/>
  <c r="AO76" i="45"/>
  <c r="AM76" i="45"/>
  <c r="AK76" i="45"/>
  <c r="AI76" i="45"/>
  <c r="AG76" i="45"/>
  <c r="AE76" i="45"/>
  <c r="AC76" i="45"/>
  <c r="AA76" i="45"/>
  <c r="BJ75" i="45"/>
  <c r="F75" i="45" s="1"/>
  <c r="BI75" i="45"/>
  <c r="BG75" i="45"/>
  <c r="BE75" i="45"/>
  <c r="BC75" i="45"/>
  <c r="BA75" i="45"/>
  <c r="AY75" i="45"/>
  <c r="AW75" i="45"/>
  <c r="AU75" i="45"/>
  <c r="AS75" i="45"/>
  <c r="AQ75" i="45"/>
  <c r="AO75" i="45"/>
  <c r="AM75" i="45"/>
  <c r="AK75" i="45"/>
  <c r="AI75" i="45"/>
  <c r="AG75" i="45"/>
  <c r="AE75" i="45"/>
  <c r="AC75" i="45"/>
  <c r="AA75" i="45"/>
  <c r="BJ74" i="45"/>
  <c r="F74" i="45" s="1"/>
  <c r="U74" i="45" s="1"/>
  <c r="Y74" i="45" s="1"/>
  <c r="BI74" i="45"/>
  <c r="BG74" i="45"/>
  <c r="BE74" i="45"/>
  <c r="BC74" i="45"/>
  <c r="BA74" i="45"/>
  <c r="AY74" i="45"/>
  <c r="AW74" i="45"/>
  <c r="AU74" i="45"/>
  <c r="AS74" i="45"/>
  <c r="AQ74" i="45"/>
  <c r="AO74" i="45"/>
  <c r="AM74" i="45"/>
  <c r="AK74" i="45"/>
  <c r="AI74" i="45"/>
  <c r="AG74" i="45"/>
  <c r="AE74" i="45"/>
  <c r="AC74" i="45"/>
  <c r="AA74" i="45"/>
  <c r="BJ73" i="45"/>
  <c r="F73" i="45" s="1"/>
  <c r="BI73" i="45"/>
  <c r="BG73" i="45"/>
  <c r="BE73" i="45"/>
  <c r="BC73" i="45"/>
  <c r="BA73" i="45"/>
  <c r="AY73" i="45"/>
  <c r="AW73" i="45"/>
  <c r="AU73" i="45"/>
  <c r="AS73" i="45"/>
  <c r="AQ73" i="45"/>
  <c r="AO73" i="45"/>
  <c r="AM73" i="45"/>
  <c r="AK73" i="45"/>
  <c r="AI73" i="45"/>
  <c r="AG73" i="45"/>
  <c r="AE73" i="45"/>
  <c r="AC73" i="45"/>
  <c r="AA73" i="45"/>
  <c r="BJ72" i="45"/>
  <c r="F72" i="45" s="1"/>
  <c r="S72" i="45" s="1"/>
  <c r="W72" i="45" s="1"/>
  <c r="BI72" i="45"/>
  <c r="BG72" i="45"/>
  <c r="BE72" i="45"/>
  <c r="BC72" i="45"/>
  <c r="BA72" i="45"/>
  <c r="AY72" i="45"/>
  <c r="AW72" i="45"/>
  <c r="AU72" i="45"/>
  <c r="AS72" i="45"/>
  <c r="AQ72" i="45"/>
  <c r="AO72" i="45"/>
  <c r="AM72" i="45"/>
  <c r="AK72" i="45"/>
  <c r="AI72" i="45"/>
  <c r="AG72" i="45"/>
  <c r="AE72" i="45"/>
  <c r="AC72" i="45"/>
  <c r="AA72" i="45"/>
  <c r="BJ71" i="45"/>
  <c r="F71" i="45" s="1"/>
  <c r="BI71" i="45"/>
  <c r="BG71" i="45"/>
  <c r="BE71" i="45"/>
  <c r="BC71" i="45"/>
  <c r="BA71" i="45"/>
  <c r="AY71" i="45"/>
  <c r="AW71" i="45"/>
  <c r="AU71" i="45"/>
  <c r="AS71" i="45"/>
  <c r="AQ71" i="45"/>
  <c r="AO71" i="45"/>
  <c r="AM71" i="45"/>
  <c r="AK71" i="45"/>
  <c r="AI71" i="45"/>
  <c r="AG71" i="45"/>
  <c r="AE71" i="45"/>
  <c r="AC71" i="45"/>
  <c r="AA71" i="45"/>
  <c r="BJ70" i="45"/>
  <c r="F70" i="45" s="1"/>
  <c r="BI70" i="45"/>
  <c r="BG70" i="45"/>
  <c r="BE70" i="45"/>
  <c r="BC70" i="45"/>
  <c r="BA70" i="45"/>
  <c r="AY70" i="45"/>
  <c r="AW70" i="45"/>
  <c r="AU70" i="45"/>
  <c r="AS70" i="45"/>
  <c r="AQ70" i="45"/>
  <c r="AO70" i="45"/>
  <c r="AM70" i="45"/>
  <c r="AK70" i="45"/>
  <c r="AI70" i="45"/>
  <c r="AG70" i="45"/>
  <c r="AE70" i="45"/>
  <c r="AC70" i="45"/>
  <c r="AA70" i="45"/>
  <c r="BJ69" i="45"/>
  <c r="F69" i="45" s="1"/>
  <c r="S69" i="45" s="1"/>
  <c r="W69" i="45" s="1"/>
  <c r="BI69" i="45"/>
  <c r="BG69" i="45"/>
  <c r="BE69" i="45"/>
  <c r="BC69" i="45"/>
  <c r="BA69" i="45"/>
  <c r="AY69" i="45"/>
  <c r="AW69" i="45"/>
  <c r="AU69" i="45"/>
  <c r="AS69" i="45"/>
  <c r="AQ69" i="45"/>
  <c r="AO69" i="45"/>
  <c r="AM69" i="45"/>
  <c r="AK69" i="45"/>
  <c r="AI69" i="45"/>
  <c r="AG69" i="45"/>
  <c r="AE69" i="45"/>
  <c r="AC69" i="45"/>
  <c r="AA69" i="45"/>
  <c r="BJ68" i="45"/>
  <c r="F68" i="45" s="1"/>
  <c r="BI68" i="45"/>
  <c r="BG68" i="45"/>
  <c r="BE68" i="45"/>
  <c r="BC68" i="45"/>
  <c r="BA68" i="45"/>
  <c r="AY68" i="45"/>
  <c r="AW68" i="45"/>
  <c r="AU68" i="45"/>
  <c r="AS68" i="45"/>
  <c r="AQ68" i="45"/>
  <c r="AO68" i="45"/>
  <c r="AM68" i="45"/>
  <c r="AK68" i="45"/>
  <c r="AI68" i="45"/>
  <c r="AG68" i="45"/>
  <c r="AE68" i="45"/>
  <c r="AC68" i="45"/>
  <c r="AA68" i="45"/>
  <c r="BJ67" i="45"/>
  <c r="F67" i="45" s="1"/>
  <c r="BI67" i="45"/>
  <c r="BG67" i="45"/>
  <c r="BE67" i="45"/>
  <c r="BC67" i="45"/>
  <c r="BA67" i="45"/>
  <c r="AY67" i="45"/>
  <c r="AW67" i="45"/>
  <c r="AU67" i="45"/>
  <c r="AS67" i="45"/>
  <c r="AO67" i="45"/>
  <c r="AM67" i="45"/>
  <c r="AK67" i="45"/>
  <c r="AI67" i="45"/>
  <c r="AE67" i="45"/>
  <c r="AC67" i="45"/>
  <c r="BJ66" i="45"/>
  <c r="F66" i="45" s="1"/>
  <c r="BI66" i="45"/>
  <c r="BG66" i="45"/>
  <c r="BE66" i="45"/>
  <c r="BC66" i="45"/>
  <c r="BA66" i="45"/>
  <c r="AY66" i="45"/>
  <c r="AW66" i="45"/>
  <c r="AU66" i="45"/>
  <c r="AS66" i="45"/>
  <c r="AQ66" i="45"/>
  <c r="AO66" i="45"/>
  <c r="AM66" i="45"/>
  <c r="AK66" i="45"/>
  <c r="AI66" i="45"/>
  <c r="AG66" i="45"/>
  <c r="AE66" i="45"/>
  <c r="AC66" i="45"/>
  <c r="AA66" i="45"/>
  <c r="BJ65" i="45"/>
  <c r="F65" i="45" s="1"/>
  <c r="BI65" i="45"/>
  <c r="BG65" i="45"/>
  <c r="BE65" i="45"/>
  <c r="BC65" i="45"/>
  <c r="BA65" i="45"/>
  <c r="AY65" i="45"/>
  <c r="AW65" i="45"/>
  <c r="AU65" i="45"/>
  <c r="AS65" i="45"/>
  <c r="AQ65" i="45"/>
  <c r="AO65" i="45"/>
  <c r="AM65" i="45"/>
  <c r="AK65" i="45"/>
  <c r="AI65" i="45"/>
  <c r="AG65" i="45"/>
  <c r="AE65" i="45"/>
  <c r="AC65" i="45"/>
  <c r="AA65" i="45"/>
  <c r="BJ64" i="45"/>
  <c r="F64" i="45" s="1"/>
  <c r="R64" i="45" s="1"/>
  <c r="V64" i="45" s="1"/>
  <c r="BI64" i="45"/>
  <c r="BG64" i="45"/>
  <c r="BE64" i="45"/>
  <c r="BC64" i="45"/>
  <c r="BA64" i="45"/>
  <c r="AY64" i="45"/>
  <c r="AW64" i="45"/>
  <c r="AU64" i="45"/>
  <c r="AS64" i="45"/>
  <c r="AQ64" i="45"/>
  <c r="AO64" i="45"/>
  <c r="AM64" i="45"/>
  <c r="AK64" i="45"/>
  <c r="AI64" i="45"/>
  <c r="AG64" i="45"/>
  <c r="AE64" i="45"/>
  <c r="AC64" i="45"/>
  <c r="AA64" i="45"/>
  <c r="BJ63" i="45"/>
  <c r="F63" i="45" s="1"/>
  <c r="BI63" i="45"/>
  <c r="BG63" i="45"/>
  <c r="BE63" i="45"/>
  <c r="BC63" i="45"/>
  <c r="BA63" i="45"/>
  <c r="AY63" i="45"/>
  <c r="AW63" i="45"/>
  <c r="AU63" i="45"/>
  <c r="AS63" i="45"/>
  <c r="AQ63" i="45"/>
  <c r="AO63" i="45"/>
  <c r="AM63" i="45"/>
  <c r="AK63" i="45"/>
  <c r="AI63" i="45"/>
  <c r="AG63" i="45"/>
  <c r="AE63" i="45"/>
  <c r="AC63" i="45"/>
  <c r="AA63" i="45"/>
  <c r="BJ62" i="45"/>
  <c r="F62" i="45" s="1"/>
  <c r="BI62" i="45"/>
  <c r="BG62" i="45"/>
  <c r="BE62" i="45"/>
  <c r="BC62" i="45"/>
  <c r="BA62" i="45"/>
  <c r="AY62" i="45"/>
  <c r="AW62" i="45"/>
  <c r="AU62" i="45"/>
  <c r="AS62" i="45"/>
  <c r="AQ62" i="45"/>
  <c r="AO62" i="45"/>
  <c r="AM62" i="45"/>
  <c r="AK62" i="45"/>
  <c r="AI62" i="45"/>
  <c r="AG62" i="45"/>
  <c r="AE62" i="45"/>
  <c r="AC62" i="45"/>
  <c r="AA62" i="45"/>
  <c r="BJ61" i="45"/>
  <c r="F61" i="45" s="1"/>
  <c r="R61" i="45" s="1"/>
  <c r="V61" i="45" s="1"/>
  <c r="BI61" i="45"/>
  <c r="BG61" i="45"/>
  <c r="BE61" i="45"/>
  <c r="BC61" i="45"/>
  <c r="BA61" i="45"/>
  <c r="AY61" i="45"/>
  <c r="AW61" i="45"/>
  <c r="AU61" i="45"/>
  <c r="AS61" i="45"/>
  <c r="AQ61" i="45"/>
  <c r="AO61" i="45"/>
  <c r="AM61" i="45"/>
  <c r="AK61" i="45"/>
  <c r="AI61" i="45"/>
  <c r="AG61" i="45"/>
  <c r="AE61" i="45"/>
  <c r="AC61" i="45"/>
  <c r="AA61" i="45"/>
  <c r="L61" i="45"/>
  <c r="BJ60" i="45"/>
  <c r="F60" i="45" s="1"/>
  <c r="BI60" i="45"/>
  <c r="BG60" i="45"/>
  <c r="BE60" i="45"/>
  <c r="BC60" i="45"/>
  <c r="BA60" i="45"/>
  <c r="AY60" i="45"/>
  <c r="AW60" i="45"/>
  <c r="AU60" i="45"/>
  <c r="AS60" i="45"/>
  <c r="AQ60" i="45"/>
  <c r="AO60" i="45"/>
  <c r="AM60" i="45"/>
  <c r="AK60" i="45"/>
  <c r="AI60" i="45"/>
  <c r="AG60" i="45"/>
  <c r="AE60" i="45"/>
  <c r="AC60" i="45"/>
  <c r="AA60" i="45"/>
  <c r="BJ59" i="45"/>
  <c r="BI59" i="45"/>
  <c r="BG59" i="45"/>
  <c r="BE59" i="45"/>
  <c r="BC59" i="45"/>
  <c r="BA59" i="45"/>
  <c r="AY59" i="45"/>
  <c r="AW59" i="45"/>
  <c r="AU59" i="45"/>
  <c r="AQ59" i="45"/>
  <c r="AO59" i="45"/>
  <c r="AM59" i="45"/>
  <c r="AK59" i="45"/>
  <c r="AI59" i="45"/>
  <c r="AG59" i="45"/>
  <c r="AE59" i="45"/>
  <c r="AC59" i="45"/>
  <c r="AA59" i="45"/>
  <c r="F59" i="45"/>
  <c r="BJ58" i="45"/>
  <c r="F58" i="45" s="1"/>
  <c r="BI58" i="45"/>
  <c r="BG58" i="45"/>
  <c r="BE58" i="45"/>
  <c r="BC58" i="45"/>
  <c r="BA58" i="45"/>
  <c r="AY58" i="45"/>
  <c r="AW58" i="45"/>
  <c r="AU58" i="45"/>
  <c r="AS58" i="45"/>
  <c r="AQ58" i="45"/>
  <c r="AO58" i="45"/>
  <c r="AM58" i="45"/>
  <c r="AK58" i="45"/>
  <c r="AI58" i="45"/>
  <c r="AG58" i="45"/>
  <c r="AE58" i="45"/>
  <c r="AC58" i="45"/>
  <c r="AA58" i="45"/>
  <c r="BJ57" i="45"/>
  <c r="F57" i="45" s="1"/>
  <c r="BI57" i="45"/>
  <c r="BG57" i="45"/>
  <c r="BE57" i="45"/>
  <c r="BC57" i="45"/>
  <c r="BA57" i="45"/>
  <c r="AY57" i="45"/>
  <c r="AW57" i="45"/>
  <c r="AU57" i="45"/>
  <c r="AS57" i="45"/>
  <c r="AQ57" i="45"/>
  <c r="AO57" i="45"/>
  <c r="AM57" i="45"/>
  <c r="AI57" i="45"/>
  <c r="AG57" i="45"/>
  <c r="AE57" i="45"/>
  <c r="AC57" i="45"/>
  <c r="AA57" i="45"/>
  <c r="BJ56" i="45"/>
  <c r="F56" i="45" s="1"/>
  <c r="BI56" i="45"/>
  <c r="BG56" i="45"/>
  <c r="BE56" i="45"/>
  <c r="BC56" i="45"/>
  <c r="BA56" i="45"/>
  <c r="AY56" i="45"/>
  <c r="AW56" i="45"/>
  <c r="AU56" i="45"/>
  <c r="AS56" i="45"/>
  <c r="AQ56" i="45"/>
  <c r="AO56" i="45"/>
  <c r="AM56" i="45"/>
  <c r="AK56" i="45"/>
  <c r="AI56" i="45"/>
  <c r="AG56" i="45"/>
  <c r="AE56" i="45"/>
  <c r="AC56" i="45"/>
  <c r="AA56" i="45"/>
  <c r="BU55" i="45"/>
  <c r="BN55" i="45"/>
  <c r="BR55" i="45" s="1"/>
  <c r="BJ55" i="45"/>
  <c r="BI55" i="45"/>
  <c r="BG55" i="45"/>
  <c r="BE55" i="45"/>
  <c r="BC55" i="45"/>
  <c r="BA55" i="45"/>
  <c r="AY55" i="45"/>
  <c r="AW55" i="45"/>
  <c r="AU55" i="45"/>
  <c r="AS55" i="45"/>
  <c r="AQ55" i="45"/>
  <c r="AO55" i="45"/>
  <c r="AM55" i="45"/>
  <c r="AK55" i="45"/>
  <c r="AI55" i="45"/>
  <c r="AG55" i="45"/>
  <c r="AE55" i="45"/>
  <c r="AC55" i="45"/>
  <c r="AA55" i="45"/>
  <c r="BU54" i="45"/>
  <c r="BT54" i="45"/>
  <c r="BS54" i="45"/>
  <c r="BQ54" i="45"/>
  <c r="BP54" i="45"/>
  <c r="BO54" i="45"/>
  <c r="BM54" i="45"/>
  <c r="BL54" i="45"/>
  <c r="BH54" i="45"/>
  <c r="BF54" i="45"/>
  <c r="BD54" i="45"/>
  <c r="BB54" i="45"/>
  <c r="AZ54" i="45"/>
  <c r="AX54" i="45"/>
  <c r="AV54" i="45"/>
  <c r="AT54" i="45"/>
  <c r="AR54" i="45"/>
  <c r="AP54" i="45"/>
  <c r="AN54" i="45"/>
  <c r="AL54" i="45"/>
  <c r="AJ54" i="45"/>
  <c r="AH54" i="45"/>
  <c r="AF54" i="45"/>
  <c r="AD54" i="45"/>
  <c r="AB54" i="45"/>
  <c r="Z54" i="45"/>
  <c r="Q54" i="45"/>
  <c r="P54" i="45"/>
  <c r="O54" i="45"/>
  <c r="N54" i="45"/>
  <c r="L54" i="45"/>
  <c r="K54" i="45"/>
  <c r="J54" i="45"/>
  <c r="I54" i="45"/>
  <c r="H54" i="45"/>
  <c r="BJ53" i="45"/>
  <c r="F53" i="45" s="1"/>
  <c r="R53" i="45" s="1"/>
  <c r="V53" i="45" s="1"/>
  <c r="BI53" i="45"/>
  <c r="BG53" i="45"/>
  <c r="BE53" i="45"/>
  <c r="BC53" i="45"/>
  <c r="BA53" i="45"/>
  <c r="AY53" i="45"/>
  <c r="AW53" i="45"/>
  <c r="AS53" i="45"/>
  <c r="AO53" i="45"/>
  <c r="AK53" i="45"/>
  <c r="AI53" i="45"/>
  <c r="AG53" i="45"/>
  <c r="AE53" i="45"/>
  <c r="AC53" i="45"/>
  <c r="AA53" i="45"/>
  <c r="BJ52" i="45"/>
  <c r="F52" i="45" s="1"/>
  <c r="S52" i="45" s="1"/>
  <c r="BI52" i="45"/>
  <c r="BG52" i="45"/>
  <c r="BE52" i="45"/>
  <c r="BC52" i="45"/>
  <c r="BA52" i="45"/>
  <c r="AY52" i="45"/>
  <c r="AW52" i="45"/>
  <c r="AS52" i="45"/>
  <c r="AO52" i="45"/>
  <c r="AK52" i="45"/>
  <c r="AI52" i="45"/>
  <c r="AG52" i="45"/>
  <c r="AE52" i="45"/>
  <c r="AC52" i="45"/>
  <c r="AA52" i="45"/>
  <c r="BJ51" i="45"/>
  <c r="F51" i="45" s="1"/>
  <c r="S51" i="45" s="1"/>
  <c r="BI51" i="45"/>
  <c r="BG51" i="45"/>
  <c r="BE51" i="45"/>
  <c r="BC51" i="45"/>
  <c r="BA51" i="45"/>
  <c r="AY51" i="45"/>
  <c r="AW51" i="45"/>
  <c r="AS51" i="45"/>
  <c r="AK51" i="45"/>
  <c r="AI51" i="45"/>
  <c r="AG51" i="45"/>
  <c r="AE51" i="45"/>
  <c r="AC51" i="45"/>
  <c r="AA51" i="45"/>
  <c r="BJ50" i="45"/>
  <c r="F50" i="45" s="1"/>
  <c r="BI50" i="45"/>
  <c r="BG50" i="45"/>
  <c r="BE50" i="45"/>
  <c r="BC50" i="45"/>
  <c r="BA50" i="45"/>
  <c r="AY50" i="45"/>
  <c r="AW50" i="45"/>
  <c r="AS50" i="45"/>
  <c r="AO50" i="45"/>
  <c r="AK50" i="45"/>
  <c r="AI50" i="45"/>
  <c r="AG50" i="45"/>
  <c r="AE50" i="45"/>
  <c r="AC50" i="45"/>
  <c r="AA50" i="45"/>
  <c r="BJ49" i="45"/>
  <c r="F49" i="45" s="1"/>
  <c r="BI49" i="45"/>
  <c r="BG49" i="45"/>
  <c r="BE49" i="45"/>
  <c r="BC49" i="45"/>
  <c r="BA49" i="45"/>
  <c r="AY49" i="45"/>
  <c r="AW49" i="45"/>
  <c r="AU49" i="45"/>
  <c r="AS49" i="45"/>
  <c r="AQ49" i="45"/>
  <c r="AO49" i="45"/>
  <c r="AK49" i="45"/>
  <c r="AI49" i="45"/>
  <c r="AG49" i="45"/>
  <c r="AE49" i="45"/>
  <c r="AC49" i="45"/>
  <c r="BJ48" i="45"/>
  <c r="F48" i="45" s="1"/>
  <c r="S48" i="45" s="1"/>
  <c r="BI48" i="45"/>
  <c r="BG48" i="45"/>
  <c r="BE48" i="45"/>
  <c r="BC48" i="45"/>
  <c r="BA48" i="45"/>
  <c r="AY48" i="45"/>
  <c r="AW48" i="45"/>
  <c r="AU48" i="45"/>
  <c r="AS48" i="45"/>
  <c r="AQ48" i="45"/>
  <c r="AO48" i="45"/>
  <c r="AK48" i="45"/>
  <c r="AI48" i="45"/>
  <c r="AG48" i="45"/>
  <c r="AE48" i="45"/>
  <c r="AC48" i="45"/>
  <c r="BJ47" i="45"/>
  <c r="F47" i="45" s="1"/>
  <c r="BI47" i="45"/>
  <c r="BG47" i="45"/>
  <c r="BE47" i="45"/>
  <c r="BC47" i="45"/>
  <c r="BA47" i="45"/>
  <c r="AY47" i="45"/>
  <c r="AW47" i="45"/>
  <c r="AU47" i="45"/>
  <c r="AS47" i="45"/>
  <c r="AQ47" i="45"/>
  <c r="AO47" i="45"/>
  <c r="AM47" i="45"/>
  <c r="AK47" i="45"/>
  <c r="AI47" i="45"/>
  <c r="AG47" i="45"/>
  <c r="AE47" i="45"/>
  <c r="AC47" i="45"/>
  <c r="AA47" i="45"/>
  <c r="BJ46" i="45"/>
  <c r="F46" i="45" s="1"/>
  <c r="BI46" i="45"/>
  <c r="BG46" i="45"/>
  <c r="BE46" i="45"/>
  <c r="BC46" i="45"/>
  <c r="BA46" i="45"/>
  <c r="AY46" i="45"/>
  <c r="AW46" i="45"/>
  <c r="AU46" i="45"/>
  <c r="AS46" i="45"/>
  <c r="AQ46" i="45"/>
  <c r="AO46" i="45"/>
  <c r="AM46" i="45"/>
  <c r="AK46" i="45"/>
  <c r="AI46" i="45"/>
  <c r="AG46" i="45"/>
  <c r="AE46" i="45"/>
  <c r="AC46" i="45"/>
  <c r="AA46" i="45"/>
  <c r="BJ45" i="45"/>
  <c r="F45" i="45" s="1"/>
  <c r="S45" i="45" s="1"/>
  <c r="W45" i="45" s="1"/>
  <c r="BI45" i="45"/>
  <c r="BG45" i="45"/>
  <c r="BE45" i="45"/>
  <c r="BC45" i="45"/>
  <c r="BA45" i="45"/>
  <c r="AY45" i="45"/>
  <c r="AW45" i="45"/>
  <c r="AU45" i="45"/>
  <c r="AS45" i="45"/>
  <c r="AQ45" i="45"/>
  <c r="AO45" i="45"/>
  <c r="AM45" i="45"/>
  <c r="AK45" i="45"/>
  <c r="AI45" i="45"/>
  <c r="AG45" i="45"/>
  <c r="AE45" i="45"/>
  <c r="AC45" i="45"/>
  <c r="AA45" i="45"/>
  <c r="BJ44" i="45"/>
  <c r="F44" i="45" s="1"/>
  <c r="BI44" i="45"/>
  <c r="BG44" i="45"/>
  <c r="BE44" i="45"/>
  <c r="BC44" i="45"/>
  <c r="BA44" i="45"/>
  <c r="AY44" i="45"/>
  <c r="AW44" i="45"/>
  <c r="AU44" i="45"/>
  <c r="AS44" i="45"/>
  <c r="AQ44" i="45"/>
  <c r="AO44" i="45"/>
  <c r="AM44" i="45"/>
  <c r="AK44" i="45"/>
  <c r="AI44" i="45"/>
  <c r="AG44" i="45"/>
  <c r="AE44" i="45"/>
  <c r="AC44" i="45"/>
  <c r="AA44" i="45"/>
  <c r="BJ43" i="45"/>
  <c r="BI43" i="45"/>
  <c r="BG43" i="45"/>
  <c r="BE43" i="45"/>
  <c r="BC43" i="45"/>
  <c r="BA43" i="45"/>
  <c r="AY43" i="45"/>
  <c r="AW43" i="45"/>
  <c r="AU43" i="45"/>
  <c r="AS43" i="45"/>
  <c r="AQ43" i="45"/>
  <c r="AO43" i="45"/>
  <c r="AM43" i="45"/>
  <c r="AK43" i="45"/>
  <c r="AI43" i="45"/>
  <c r="AG43" i="45"/>
  <c r="AE43" i="45"/>
  <c r="AC43" i="45"/>
  <c r="AA43" i="45"/>
  <c r="BJ42" i="45"/>
  <c r="F42" i="45" s="1"/>
  <c r="S42" i="45" s="1"/>
  <c r="W42" i="45" s="1"/>
  <c r="BI42" i="45"/>
  <c r="BG42" i="45"/>
  <c r="BE42" i="45"/>
  <c r="BC42" i="45"/>
  <c r="BA42" i="45"/>
  <c r="AY42" i="45"/>
  <c r="AW42" i="45"/>
  <c r="AU42" i="45"/>
  <c r="AS42" i="45"/>
  <c r="AQ42" i="45"/>
  <c r="AO42" i="45"/>
  <c r="AM42" i="45"/>
  <c r="AK42" i="45"/>
  <c r="AI42" i="45"/>
  <c r="AG42" i="45"/>
  <c r="AE42" i="45"/>
  <c r="AC42" i="45"/>
  <c r="AA42" i="45"/>
  <c r="BU41" i="45"/>
  <c r="BT41" i="45"/>
  <c r="BS41" i="45"/>
  <c r="BQ41" i="45"/>
  <c r="BP41" i="45"/>
  <c r="BO41" i="45"/>
  <c r="BM41" i="45"/>
  <c r="BL41" i="45"/>
  <c r="BH41" i="45"/>
  <c r="BF41" i="45"/>
  <c r="BD41" i="45"/>
  <c r="BB41" i="45"/>
  <c r="AZ41" i="45"/>
  <c r="AX41" i="45"/>
  <c r="AV41" i="45"/>
  <c r="AT41" i="45"/>
  <c r="AR41" i="45"/>
  <c r="AP41" i="45"/>
  <c r="AN41" i="45"/>
  <c r="AL41" i="45"/>
  <c r="AJ41" i="45"/>
  <c r="AH41" i="45"/>
  <c r="AF41" i="45"/>
  <c r="AD41" i="45"/>
  <c r="AB41" i="45"/>
  <c r="Z41" i="45"/>
  <c r="Q41" i="45"/>
  <c r="P41" i="45"/>
  <c r="O41" i="45"/>
  <c r="N41" i="45"/>
  <c r="L41" i="45"/>
  <c r="K41" i="45"/>
  <c r="J41" i="45"/>
  <c r="I41" i="45"/>
  <c r="H41" i="45"/>
  <c r="BK40" i="45"/>
  <c r="G40" i="45" s="1"/>
  <c r="BJ40" i="45"/>
  <c r="F40" i="45" s="1"/>
  <c r="BJ39" i="45"/>
  <c r="F39" i="45" s="1"/>
  <c r="U39" i="45" s="1"/>
  <c r="BI39" i="45"/>
  <c r="BG39" i="45"/>
  <c r="BC39" i="45"/>
  <c r="BA39" i="45"/>
  <c r="AY39" i="45"/>
  <c r="AW39" i="45"/>
  <c r="AU39" i="45"/>
  <c r="AU41" i="45" s="1"/>
  <c r="AS39" i="45"/>
  <c r="AS41" i="45" s="1"/>
  <c r="AQ39" i="45"/>
  <c r="AO39" i="45"/>
  <c r="AK39" i="45"/>
  <c r="AI39" i="45"/>
  <c r="AG39" i="45"/>
  <c r="AE39" i="45"/>
  <c r="AC39" i="45"/>
  <c r="AA39" i="45"/>
  <c r="BJ38" i="45"/>
  <c r="BI38" i="45"/>
  <c r="BG38" i="45"/>
  <c r="BE38" i="45"/>
  <c r="BC38" i="45"/>
  <c r="BA38" i="45"/>
  <c r="AY38" i="45"/>
  <c r="AW38" i="45"/>
  <c r="AQ38" i="45"/>
  <c r="AO38" i="45"/>
  <c r="AM38" i="45"/>
  <c r="AM41" i="45" s="1"/>
  <c r="AK38" i="45"/>
  <c r="AK41" i="45" s="1"/>
  <c r="AI38" i="45"/>
  <c r="AG38" i="45"/>
  <c r="AE38" i="45"/>
  <c r="AC38" i="45"/>
  <c r="AC41" i="45" s="1"/>
  <c r="AA38" i="45"/>
  <c r="BU36" i="45"/>
  <c r="BT36" i="45"/>
  <c r="BS36" i="45"/>
  <c r="BQ36" i="45"/>
  <c r="BO36" i="45"/>
  <c r="BM36" i="45"/>
  <c r="BL36" i="45"/>
  <c r="BH36" i="45"/>
  <c r="BF36" i="45"/>
  <c r="BD36" i="45"/>
  <c r="BB36" i="45"/>
  <c r="AZ36" i="45"/>
  <c r="AX36" i="45"/>
  <c r="AV36" i="45"/>
  <c r="AT36" i="45"/>
  <c r="AR36" i="45"/>
  <c r="AP36" i="45"/>
  <c r="AN36" i="45"/>
  <c r="AJ36" i="45"/>
  <c r="AH36" i="45"/>
  <c r="AF36" i="45"/>
  <c r="AD36" i="45"/>
  <c r="AB36" i="45"/>
  <c r="Z36" i="45"/>
  <c r="Q36" i="45"/>
  <c r="O36" i="45"/>
  <c r="N36" i="45"/>
  <c r="K36" i="45"/>
  <c r="J36" i="45"/>
  <c r="BJ35" i="45"/>
  <c r="F35" i="45" s="1"/>
  <c r="BI35" i="45"/>
  <c r="BG35" i="45"/>
  <c r="BE35" i="45"/>
  <c r="BC35" i="45"/>
  <c r="BA35" i="45"/>
  <c r="AY35" i="45"/>
  <c r="AW35" i="45"/>
  <c r="AU35" i="45"/>
  <c r="AS35" i="45"/>
  <c r="AQ35" i="45"/>
  <c r="AO35" i="45"/>
  <c r="AM35" i="45"/>
  <c r="AK35" i="45"/>
  <c r="AI35" i="45"/>
  <c r="AG35" i="45"/>
  <c r="AE35" i="45"/>
  <c r="AC35" i="45"/>
  <c r="AA35" i="45"/>
  <c r="BJ34" i="45"/>
  <c r="F34" i="45" s="1"/>
  <c r="S34" i="45" s="1"/>
  <c r="BI34" i="45"/>
  <c r="BG34" i="45"/>
  <c r="BE34" i="45"/>
  <c r="BC34" i="45"/>
  <c r="BA34" i="45"/>
  <c r="AY34" i="45"/>
  <c r="AW34" i="45"/>
  <c r="AU34" i="45"/>
  <c r="AS34" i="45"/>
  <c r="AQ34" i="45"/>
  <c r="AO34" i="45"/>
  <c r="AM34" i="45"/>
  <c r="AK34" i="45"/>
  <c r="AI34" i="45"/>
  <c r="AG34" i="45"/>
  <c r="AE34" i="45"/>
  <c r="AC34" i="45"/>
  <c r="AA34" i="45"/>
  <c r="BJ33" i="45"/>
  <c r="F33" i="45" s="1"/>
  <c r="BI33" i="45"/>
  <c r="BG33" i="45"/>
  <c r="BE33" i="45"/>
  <c r="BC33" i="45"/>
  <c r="BA33" i="45"/>
  <c r="AY33" i="45"/>
  <c r="AW33" i="45"/>
  <c r="AU33" i="45"/>
  <c r="AS33" i="45"/>
  <c r="AQ33" i="45"/>
  <c r="AO33" i="45"/>
  <c r="AM33" i="45"/>
  <c r="AK33" i="45"/>
  <c r="AI33" i="45"/>
  <c r="AG33" i="45"/>
  <c r="AE33" i="45"/>
  <c r="AC33" i="45"/>
  <c r="AA33" i="45"/>
  <c r="BJ32" i="45"/>
  <c r="F32" i="45" s="1"/>
  <c r="U32" i="45" s="1"/>
  <c r="BI32" i="45"/>
  <c r="BG32" i="45"/>
  <c r="BE32" i="45"/>
  <c r="BC32" i="45"/>
  <c r="BA32" i="45"/>
  <c r="AY32" i="45"/>
  <c r="AW32" i="45"/>
  <c r="AU32" i="45"/>
  <c r="AS32" i="45"/>
  <c r="AQ32" i="45"/>
  <c r="AO32" i="45"/>
  <c r="AM32" i="45"/>
  <c r="AK32" i="45"/>
  <c r="AI32" i="45"/>
  <c r="AG32" i="45"/>
  <c r="AE32" i="45"/>
  <c r="AC32" i="45"/>
  <c r="AA32" i="45"/>
  <c r="BJ31" i="45"/>
  <c r="F31" i="45" s="1"/>
  <c r="R31" i="45" s="1"/>
  <c r="BI31" i="45"/>
  <c r="BG31" i="45"/>
  <c r="BE31" i="45"/>
  <c r="BC31" i="45"/>
  <c r="BA31" i="45"/>
  <c r="AY31" i="45"/>
  <c r="AW31" i="45"/>
  <c r="AU31" i="45"/>
  <c r="AS31" i="45"/>
  <c r="AQ31" i="45"/>
  <c r="AO31" i="45"/>
  <c r="AM31" i="45"/>
  <c r="AK31" i="45"/>
  <c r="AI31" i="45"/>
  <c r="AG31" i="45"/>
  <c r="AE31" i="45"/>
  <c r="AC31" i="45"/>
  <c r="AA31" i="45"/>
  <c r="BJ30" i="45"/>
  <c r="F30" i="45" s="1"/>
  <c r="U30" i="45" s="1"/>
  <c r="BG30" i="45"/>
  <c r="BE30" i="45"/>
  <c r="BC30" i="45"/>
  <c r="BA30" i="45"/>
  <c r="AY30" i="45"/>
  <c r="AW30" i="45"/>
  <c r="AU30" i="45"/>
  <c r="AS30" i="45"/>
  <c r="AQ30" i="45"/>
  <c r="AO30" i="45"/>
  <c r="AM30" i="45"/>
  <c r="AK30" i="45"/>
  <c r="AI30" i="45"/>
  <c r="AG30" i="45"/>
  <c r="AC30" i="45"/>
  <c r="AA30" i="45"/>
  <c r="BJ29" i="45"/>
  <c r="F29" i="45" s="1"/>
  <c r="T29" i="45" s="1"/>
  <c r="BG29" i="45"/>
  <c r="BE29" i="45"/>
  <c r="BC29" i="45"/>
  <c r="BA29" i="45"/>
  <c r="AY29" i="45"/>
  <c r="AW29" i="45"/>
  <c r="AU29" i="45"/>
  <c r="AS29" i="45"/>
  <c r="AQ29" i="45"/>
  <c r="AO29" i="45"/>
  <c r="AM29" i="45"/>
  <c r="AK29" i="45"/>
  <c r="AI29" i="45"/>
  <c r="AG29" i="45"/>
  <c r="AE29" i="45"/>
  <c r="AC29" i="45"/>
  <c r="AA29" i="45"/>
  <c r="BJ28" i="45"/>
  <c r="F28" i="45" s="1"/>
  <c r="U28" i="45" s="1"/>
  <c r="BG28" i="45"/>
  <c r="BE28" i="45"/>
  <c r="BC28" i="45"/>
  <c r="BA28" i="45"/>
  <c r="AY28" i="45"/>
  <c r="AW28" i="45"/>
  <c r="AS28" i="45"/>
  <c r="AO28" i="45"/>
  <c r="AK28" i="45"/>
  <c r="AI28" i="45"/>
  <c r="AG28" i="45"/>
  <c r="AE28" i="45"/>
  <c r="AC28" i="45"/>
  <c r="AA28" i="45"/>
  <c r="BJ27" i="45"/>
  <c r="F27" i="45" s="1"/>
  <c r="R27" i="45" s="1"/>
  <c r="BI27" i="45"/>
  <c r="BI26" i="45"/>
  <c r="BG26" i="45"/>
  <c r="BE26" i="45"/>
  <c r="BC26" i="45"/>
  <c r="BA26" i="45"/>
  <c r="AY26" i="45"/>
  <c r="AU26" i="45"/>
  <c r="AQ26" i="45"/>
  <c r="AO26" i="45"/>
  <c r="AL36" i="45"/>
  <c r="AK26" i="45"/>
  <c r="AI26" i="45"/>
  <c r="AG26" i="45"/>
  <c r="AE26" i="45"/>
  <c r="AC26" i="45"/>
  <c r="AA26" i="45"/>
  <c r="BJ25" i="45"/>
  <c r="F25" i="45" s="1"/>
  <c r="BI25" i="45"/>
  <c r="BG25" i="45"/>
  <c r="BE25" i="45"/>
  <c r="BC25" i="45"/>
  <c r="BA25" i="45"/>
  <c r="AY25" i="45"/>
  <c r="AW25" i="45"/>
  <c r="AU25" i="45"/>
  <c r="AS25" i="45"/>
  <c r="AQ25" i="45"/>
  <c r="AO25" i="45"/>
  <c r="AM25" i="45"/>
  <c r="AK25" i="45"/>
  <c r="AI25" i="45"/>
  <c r="AG25" i="45"/>
  <c r="AE25" i="45"/>
  <c r="AC25" i="45"/>
  <c r="AA25" i="45"/>
  <c r="BU24" i="45"/>
  <c r="BN24" i="45"/>
  <c r="BR24" i="45" s="1"/>
  <c r="BC24" i="45"/>
  <c r="BA24" i="45"/>
  <c r="AY24" i="45"/>
  <c r="AW24" i="45"/>
  <c r="AU24" i="45"/>
  <c r="AS24" i="45"/>
  <c r="AQ24" i="45"/>
  <c r="AO24" i="45"/>
  <c r="AM24" i="45"/>
  <c r="AK24" i="45"/>
  <c r="AI24" i="45"/>
  <c r="AG24" i="45"/>
  <c r="AE24" i="45"/>
  <c r="AC24" i="45"/>
  <c r="AA24" i="45"/>
  <c r="BC23" i="45"/>
  <c r="BA23" i="45"/>
  <c r="AY23" i="45"/>
  <c r="AW23" i="45"/>
  <c r="AU23" i="45"/>
  <c r="AS23" i="45"/>
  <c r="AQ23" i="45"/>
  <c r="AO23" i="45"/>
  <c r="AM23" i="45"/>
  <c r="AK23" i="45"/>
  <c r="AI23" i="45"/>
  <c r="AG23" i="45"/>
  <c r="AE23" i="45"/>
  <c r="AC23" i="45"/>
  <c r="AA23" i="45"/>
  <c r="BT22" i="45"/>
  <c r="BQ22" i="45"/>
  <c r="F8" i="52" s="1"/>
  <c r="BH22" i="45"/>
  <c r="BF22" i="45"/>
  <c r="BD22" i="45"/>
  <c r="BB22" i="45"/>
  <c r="AZ22" i="45"/>
  <c r="AX22" i="45"/>
  <c r="AV22" i="45"/>
  <c r="AT22" i="45"/>
  <c r="AR22" i="45"/>
  <c r="AP22" i="45"/>
  <c r="AN22" i="45"/>
  <c r="AL22" i="45"/>
  <c r="AJ22" i="45"/>
  <c r="AH22" i="45"/>
  <c r="AF22" i="45"/>
  <c r="AD22" i="45"/>
  <c r="AB22" i="45"/>
  <c r="Z22" i="45"/>
  <c r="Q22" i="45"/>
  <c r="P22" i="45"/>
  <c r="O22" i="45"/>
  <c r="N22" i="45"/>
  <c r="M22" i="45"/>
  <c r="L22" i="45"/>
  <c r="K22" i="45"/>
  <c r="J22" i="45"/>
  <c r="BR21" i="45"/>
  <c r="BJ21" i="45"/>
  <c r="F21" i="45" s="1"/>
  <c r="S21" i="45" s="1"/>
  <c r="BI21" i="45"/>
  <c r="BG21" i="45"/>
  <c r="BE21" i="45"/>
  <c r="BC21" i="45"/>
  <c r="BA21" i="45"/>
  <c r="AY21" i="45"/>
  <c r="AW21" i="45"/>
  <c r="AU21" i="45"/>
  <c r="AS21" i="45"/>
  <c r="AQ21" i="45"/>
  <c r="AO21" i="45"/>
  <c r="AK21" i="45"/>
  <c r="AI21" i="45"/>
  <c r="AG21" i="45"/>
  <c r="AE21" i="45"/>
  <c r="AC21" i="45"/>
  <c r="AA21" i="45"/>
  <c r="BJ20" i="45"/>
  <c r="F20" i="45" s="1"/>
  <c r="BI20" i="45"/>
  <c r="BG20" i="45"/>
  <c r="BE20" i="45"/>
  <c r="BC20" i="45"/>
  <c r="BA20" i="45"/>
  <c r="AY20" i="45"/>
  <c r="AW20" i="45"/>
  <c r="AU20" i="45"/>
  <c r="AS20" i="45"/>
  <c r="AQ20" i="45"/>
  <c r="AO20" i="45"/>
  <c r="AM20" i="45"/>
  <c r="AK20" i="45"/>
  <c r="AI20" i="45"/>
  <c r="AG20" i="45"/>
  <c r="AE20" i="45"/>
  <c r="AC20" i="45"/>
  <c r="AA20" i="45"/>
  <c r="BJ19" i="45"/>
  <c r="BI19" i="45"/>
  <c r="BG19" i="45"/>
  <c r="BE19" i="45"/>
  <c r="BC19" i="45"/>
  <c r="BA19" i="45"/>
  <c r="AY19" i="45"/>
  <c r="AW19" i="45"/>
  <c r="AU19" i="45"/>
  <c r="AS19" i="45"/>
  <c r="AQ19" i="45"/>
  <c r="AO19" i="45"/>
  <c r="AM19" i="45"/>
  <c r="AK19" i="45"/>
  <c r="AI19" i="45"/>
  <c r="AG19" i="45"/>
  <c r="AE19" i="45"/>
  <c r="AC19" i="45"/>
  <c r="AA19" i="45"/>
  <c r="BV18" i="45"/>
  <c r="BC18" i="45"/>
  <c r="BA18" i="45"/>
  <c r="AY18" i="45"/>
  <c r="AW18" i="45"/>
  <c r="AU18" i="45"/>
  <c r="AS18" i="45"/>
  <c r="AQ18" i="45"/>
  <c r="AO18" i="45"/>
  <c r="AM18" i="45"/>
  <c r="AK18" i="45"/>
  <c r="AI18" i="45"/>
  <c r="AG18" i="45"/>
  <c r="AE18" i="45"/>
  <c r="AC18" i="45"/>
  <c r="AA18" i="45"/>
  <c r="F7" i="52"/>
  <c r="E7" i="52"/>
  <c r="C7" i="52"/>
  <c r="BM17" i="45"/>
  <c r="BL17" i="45"/>
  <c r="BJ16" i="45"/>
  <c r="F16" i="45" s="1"/>
  <c r="BG16" i="45"/>
  <c r="BE16" i="45"/>
  <c r="BC16" i="45"/>
  <c r="BA16" i="45"/>
  <c r="AY16" i="45"/>
  <c r="AW16" i="45"/>
  <c r="AU16" i="45"/>
  <c r="AS16" i="45"/>
  <c r="AQ16" i="45"/>
  <c r="AO16" i="45"/>
  <c r="AM16" i="45"/>
  <c r="AK16" i="45"/>
  <c r="AI16" i="45"/>
  <c r="AG16" i="45"/>
  <c r="AE16" i="45"/>
  <c r="AC16" i="45"/>
  <c r="AA16" i="45"/>
  <c r="BU15" i="45"/>
  <c r="BJ15" i="45"/>
  <c r="BI15" i="45"/>
  <c r="BG15" i="45"/>
  <c r="BE15" i="45"/>
  <c r="BC15" i="45"/>
  <c r="BA15" i="45"/>
  <c r="AY15" i="45"/>
  <c r="AW15" i="45"/>
  <c r="AU15" i="45"/>
  <c r="AS15" i="45"/>
  <c r="AQ15" i="45"/>
  <c r="AM15" i="45"/>
  <c r="AK15" i="45"/>
  <c r="AI15" i="45"/>
  <c r="AG15" i="45"/>
  <c r="AE15" i="45"/>
  <c r="AC15" i="45"/>
  <c r="AA15" i="45"/>
  <c r="F15" i="45"/>
  <c r="U15" i="45" s="1"/>
  <c r="BU14" i="45"/>
  <c r="BJ14" i="45"/>
  <c r="F14" i="45" s="1"/>
  <c r="BI14" i="45"/>
  <c r="BG14" i="45"/>
  <c r="BE14" i="45"/>
  <c r="BC14" i="45"/>
  <c r="BA14" i="45"/>
  <c r="AY14" i="45"/>
  <c r="AW14" i="45"/>
  <c r="AU14" i="45"/>
  <c r="AS14" i="45"/>
  <c r="AQ14" i="45"/>
  <c r="AO14" i="45"/>
  <c r="AM14" i="45"/>
  <c r="AK14" i="45"/>
  <c r="AI14" i="45"/>
  <c r="AG14" i="45"/>
  <c r="AE14" i="45"/>
  <c r="AC14" i="45"/>
  <c r="AA14" i="45"/>
  <c r="BU13" i="45"/>
  <c r="BJ13" i="45"/>
  <c r="F13" i="45" s="1"/>
  <c r="BI13" i="45"/>
  <c r="BG13" i="45"/>
  <c r="BE13" i="45"/>
  <c r="BC13" i="45"/>
  <c r="BA13" i="45"/>
  <c r="AY13" i="45"/>
  <c r="AW13" i="45"/>
  <c r="AU13" i="45"/>
  <c r="AS13" i="45"/>
  <c r="AQ13" i="45"/>
  <c r="AO13" i="45"/>
  <c r="AM13" i="45"/>
  <c r="AK13" i="45"/>
  <c r="AI13" i="45"/>
  <c r="AG13" i="45"/>
  <c r="AE13" i="45"/>
  <c r="AC13" i="45"/>
  <c r="AA13" i="45"/>
  <c r="BJ12" i="45"/>
  <c r="BG12" i="45"/>
  <c r="BE12" i="45"/>
  <c r="BC12" i="45"/>
  <c r="BC17" i="45" s="1"/>
  <c r="BA12" i="45"/>
  <c r="AY12" i="45"/>
  <c r="AW12" i="45"/>
  <c r="AU12" i="45"/>
  <c r="AS12" i="45"/>
  <c r="AQ12" i="45"/>
  <c r="AQ17" i="45" s="1"/>
  <c r="AO12" i="45"/>
  <c r="AM12" i="45"/>
  <c r="AK12" i="45"/>
  <c r="AI12" i="45"/>
  <c r="AG12" i="45"/>
  <c r="AE12" i="45"/>
  <c r="AC12" i="45"/>
  <c r="AA12" i="45"/>
  <c r="BV11" i="45"/>
  <c r="BV10" i="45"/>
  <c r="BG5" i="45"/>
  <c r="BF5" i="45"/>
  <c r="BE5" i="45"/>
  <c r="BD5" i="45"/>
  <c r="BC5" i="45"/>
  <c r="BB5" i="45"/>
  <c r="BA5" i="45"/>
  <c r="AZ5" i="45"/>
  <c r="AY5" i="45"/>
  <c r="AX5" i="45"/>
  <c r="AW5" i="45"/>
  <c r="AV5" i="45"/>
  <c r="AU5" i="45"/>
  <c r="AT5" i="45"/>
  <c r="AS5" i="45"/>
  <c r="AR5" i="45"/>
  <c r="AQ5" i="45"/>
  <c r="AP5" i="45"/>
  <c r="AO5" i="45"/>
  <c r="AN5" i="45"/>
  <c r="AM5" i="45"/>
  <c r="AL5" i="45"/>
  <c r="AK5" i="45"/>
  <c r="AJ5" i="45"/>
  <c r="AI5" i="45"/>
  <c r="AH5" i="45"/>
  <c r="AG5" i="45"/>
  <c r="AF5" i="45"/>
  <c r="AE5" i="45"/>
  <c r="AD5" i="45"/>
  <c r="AC5" i="45"/>
  <c r="AB5" i="45"/>
  <c r="AA5" i="45"/>
  <c r="BT65" i="46"/>
  <c r="BS65" i="46"/>
  <c r="BR65" i="46"/>
  <c r="BP65" i="46"/>
  <c r="BO65" i="46"/>
  <c r="BL65" i="46"/>
  <c r="BK65" i="46"/>
  <c r="BG65" i="46"/>
  <c r="BE65" i="46"/>
  <c r="BC65" i="46"/>
  <c r="BA65" i="46"/>
  <c r="AY65" i="46"/>
  <c r="AW65" i="46"/>
  <c r="AU65" i="46"/>
  <c r="AS65" i="46"/>
  <c r="AR65" i="46"/>
  <c r="AQ65" i="46"/>
  <c r="AO65" i="46"/>
  <c r="AM65" i="46"/>
  <c r="AK65" i="46"/>
  <c r="AI65" i="46"/>
  <c r="AG65" i="46"/>
  <c r="AE65" i="46"/>
  <c r="AC65" i="46"/>
  <c r="AA65" i="46"/>
  <c r="Y65" i="46"/>
  <c r="P65" i="46"/>
  <c r="O65" i="46"/>
  <c r="N65" i="46"/>
  <c r="M65" i="46"/>
  <c r="L65" i="46"/>
  <c r="K65" i="46"/>
  <c r="J65" i="46"/>
  <c r="I65" i="46"/>
  <c r="BI64" i="46"/>
  <c r="BH64" i="46"/>
  <c r="BH65" i="46" s="1"/>
  <c r="BF64" i="46"/>
  <c r="BF65" i="46" s="1"/>
  <c r="BD64" i="46"/>
  <c r="BD65" i="46" s="1"/>
  <c r="BB64" i="46"/>
  <c r="BB65" i="46" s="1"/>
  <c r="AZ64" i="46"/>
  <c r="AZ65" i="46" s="1"/>
  <c r="AX64" i="46"/>
  <c r="AX65" i="46" s="1"/>
  <c r="AV64" i="46"/>
  <c r="AV65" i="46" s="1"/>
  <c r="AT64" i="46"/>
  <c r="AT65" i="46" s="1"/>
  <c r="AP64" i="46"/>
  <c r="AP65" i="46" s="1"/>
  <c r="AN64" i="46"/>
  <c r="AN65" i="46" s="1"/>
  <c r="AL64" i="46"/>
  <c r="AL65" i="46" s="1"/>
  <c r="AJ64" i="46"/>
  <c r="AJ65" i="46" s="1"/>
  <c r="AH64" i="46"/>
  <c r="AH65" i="46" s="1"/>
  <c r="AF64" i="46"/>
  <c r="AF65" i="46" s="1"/>
  <c r="AD64" i="46"/>
  <c r="AD65" i="46" s="1"/>
  <c r="AB64" i="46"/>
  <c r="AB65" i="46" s="1"/>
  <c r="Z64" i="46"/>
  <c r="Z65" i="46" s="1"/>
  <c r="BS62" i="46"/>
  <c r="BR62" i="46"/>
  <c r="BP62" i="46"/>
  <c r="BN62" i="46"/>
  <c r="BM62" i="46"/>
  <c r="BL62" i="46"/>
  <c r="BK62" i="46"/>
  <c r="BG62" i="46"/>
  <c r="BE62" i="46"/>
  <c r="BC62" i="46"/>
  <c r="BA62" i="46"/>
  <c r="AY62" i="46"/>
  <c r="AW62" i="46"/>
  <c r="AU62" i="46"/>
  <c r="AS62" i="46"/>
  <c r="AQ62" i="46"/>
  <c r="AO62" i="46"/>
  <c r="AM62" i="46"/>
  <c r="AK62" i="46"/>
  <c r="AI62" i="46"/>
  <c r="AG62" i="46"/>
  <c r="AE62" i="46"/>
  <c r="AC62" i="46"/>
  <c r="AA62" i="46"/>
  <c r="Y62" i="46"/>
  <c r="P62" i="46"/>
  <c r="O62" i="46"/>
  <c r="N62" i="46"/>
  <c r="M62" i="46"/>
  <c r="L62" i="46"/>
  <c r="K62" i="46"/>
  <c r="J62" i="46"/>
  <c r="I62" i="46"/>
  <c r="BT61" i="46"/>
  <c r="BI61" i="46"/>
  <c r="E61" i="46" s="1"/>
  <c r="BH61" i="46"/>
  <c r="BF61" i="46"/>
  <c r="BD61" i="46"/>
  <c r="BB61" i="46"/>
  <c r="AZ61" i="46"/>
  <c r="AX61" i="46"/>
  <c r="AV61" i="46"/>
  <c r="AT61" i="46"/>
  <c r="AR61" i="46"/>
  <c r="AP61" i="46"/>
  <c r="AN61" i="46"/>
  <c r="AL61" i="46"/>
  <c r="AJ61" i="46"/>
  <c r="AH61" i="46"/>
  <c r="AF61" i="46"/>
  <c r="AD61" i="46"/>
  <c r="AB61" i="46"/>
  <c r="Z61" i="46"/>
  <c r="BT60" i="46"/>
  <c r="BI60" i="46"/>
  <c r="E60" i="46" s="1"/>
  <c r="T60" i="46" s="1"/>
  <c r="X60" i="46" s="1"/>
  <c r="BH60" i="46"/>
  <c r="BF60" i="46"/>
  <c r="BD60" i="46"/>
  <c r="BB60" i="46"/>
  <c r="AZ60" i="46"/>
  <c r="AX60" i="46"/>
  <c r="AV60" i="46"/>
  <c r="AT60" i="46"/>
  <c r="AR60" i="46"/>
  <c r="AP60" i="46"/>
  <c r="AN60" i="46"/>
  <c r="AL60" i="46"/>
  <c r="AJ60" i="46"/>
  <c r="AH60" i="46"/>
  <c r="AF60" i="46"/>
  <c r="AD60" i="46"/>
  <c r="AB60" i="46"/>
  <c r="Z60" i="46"/>
  <c r="BT59" i="46"/>
  <c r="BI59" i="46"/>
  <c r="E59" i="46" s="1"/>
  <c r="BH59" i="46"/>
  <c r="BF59" i="46"/>
  <c r="BD59" i="46"/>
  <c r="BB59" i="46"/>
  <c r="AZ59" i="46"/>
  <c r="AX59" i="46"/>
  <c r="AV59" i="46"/>
  <c r="AT59" i="46"/>
  <c r="AR59" i="46"/>
  <c r="AP59" i="46"/>
  <c r="AN59" i="46"/>
  <c r="AL59" i="46"/>
  <c r="AJ59" i="46"/>
  <c r="AH59" i="46"/>
  <c r="AF59" i="46"/>
  <c r="AD59" i="46"/>
  <c r="AB59" i="46"/>
  <c r="Z59" i="46"/>
  <c r="BT58" i="46"/>
  <c r="BQ58" i="46"/>
  <c r="BT57" i="46"/>
  <c r="BQ57" i="46"/>
  <c r="BT56" i="46"/>
  <c r="BS56" i="46"/>
  <c r="BR56" i="46"/>
  <c r="BO56" i="46"/>
  <c r="BN56" i="46"/>
  <c r="BM56" i="46"/>
  <c r="BL56" i="46"/>
  <c r="BK56" i="46"/>
  <c r="BG56" i="46"/>
  <c r="BC56" i="46"/>
  <c r="AS56" i="46"/>
  <c r="AM56" i="46"/>
  <c r="AG56" i="46"/>
  <c r="T56" i="46"/>
  <c r="S56" i="46"/>
  <c r="R56" i="46"/>
  <c r="Q56" i="46"/>
  <c r="P56" i="46"/>
  <c r="O56" i="46"/>
  <c r="N56" i="46"/>
  <c r="M56" i="46"/>
  <c r="L56" i="46"/>
  <c r="K56" i="46"/>
  <c r="J56" i="46"/>
  <c r="I56" i="46"/>
  <c r="BI55" i="46"/>
  <c r="E55" i="46" s="1"/>
  <c r="E56" i="46" s="1"/>
  <c r="BH55" i="46"/>
  <c r="BF55" i="46"/>
  <c r="BF56" i="46" s="1"/>
  <c r="BD55" i="46"/>
  <c r="BD56" i="46" s="1"/>
  <c r="BB55" i="46"/>
  <c r="BB56" i="46" s="1"/>
  <c r="AZ55" i="46"/>
  <c r="AZ56" i="46" s="1"/>
  <c r="AX55" i="46"/>
  <c r="AX56" i="46" s="1"/>
  <c r="AV55" i="46"/>
  <c r="AV56" i="46" s="1"/>
  <c r="AT55" i="46"/>
  <c r="AT56" i="46" s="1"/>
  <c r="AR55" i="46"/>
  <c r="AR56" i="46" s="1"/>
  <c r="AP55" i="46"/>
  <c r="AP56" i="46" s="1"/>
  <c r="AN55" i="46"/>
  <c r="AN56" i="46" s="1"/>
  <c r="AL55" i="46"/>
  <c r="AL56" i="46" s="1"/>
  <c r="AJ55" i="46"/>
  <c r="AJ56" i="46" s="1"/>
  <c r="AH55" i="46"/>
  <c r="AH56" i="46" s="1"/>
  <c r="AF55" i="46"/>
  <c r="AF56" i="46" s="1"/>
  <c r="AD55" i="46"/>
  <c r="AD56" i="46" s="1"/>
  <c r="AB55" i="46"/>
  <c r="AB56" i="46" s="1"/>
  <c r="Z55" i="46"/>
  <c r="Z56" i="46" s="1"/>
  <c r="V55" i="46"/>
  <c r="V56" i="46" s="1"/>
  <c r="BT54" i="46"/>
  <c r="BN54" i="46"/>
  <c r="BQ54" i="46" s="1"/>
  <c r="BT53" i="46"/>
  <c r="BS53" i="46"/>
  <c r="BR53" i="46"/>
  <c r="BP53" i="46"/>
  <c r="BO53" i="46"/>
  <c r="BL53" i="46"/>
  <c r="BK53" i="46"/>
  <c r="BG53" i="46"/>
  <c r="P53" i="46"/>
  <c r="O53" i="46"/>
  <c r="N53" i="46"/>
  <c r="M53" i="46"/>
  <c r="L53" i="46"/>
  <c r="K53" i="46"/>
  <c r="J53" i="46"/>
  <c r="I53" i="46"/>
  <c r="BM52" i="46"/>
  <c r="BI52" i="46"/>
  <c r="E52" i="46" s="1"/>
  <c r="S52" i="46" s="1"/>
  <c r="BH52" i="46"/>
  <c r="BF52" i="46"/>
  <c r="BD52" i="46"/>
  <c r="BB52" i="46"/>
  <c r="AZ52" i="46"/>
  <c r="AX52" i="46"/>
  <c r="AV52" i="46"/>
  <c r="AT52" i="46"/>
  <c r="AR52" i="46"/>
  <c r="AP52" i="46"/>
  <c r="AN52" i="46"/>
  <c r="AJ52" i="46"/>
  <c r="AH52" i="46"/>
  <c r="AF52" i="46"/>
  <c r="AD52" i="46"/>
  <c r="AB52" i="46"/>
  <c r="Z52" i="46"/>
  <c r="BH51" i="46"/>
  <c r="BE51" i="46"/>
  <c r="BF51" i="46" s="1"/>
  <c r="BC51" i="46"/>
  <c r="BA51" i="46"/>
  <c r="AY51" i="46"/>
  <c r="AY53" i="46" s="1"/>
  <c r="AW51" i="46"/>
  <c r="AW53" i="46" s="1"/>
  <c r="AV51" i="46"/>
  <c r="AU51" i="46"/>
  <c r="AU53" i="46" s="1"/>
  <c r="AS51" i="46"/>
  <c r="AS53" i="46" s="1"/>
  <c r="AQ51" i="46"/>
  <c r="AR51" i="46" s="1"/>
  <c r="AO51" i="46"/>
  <c r="AO53" i="46" s="1"/>
  <c r="AM51" i="46"/>
  <c r="AN51" i="46" s="1"/>
  <c r="AK51" i="46"/>
  <c r="AK53" i="46" s="1"/>
  <c r="AI51" i="46"/>
  <c r="AI53" i="46" s="1"/>
  <c r="AG51" i="46"/>
  <c r="AH51" i="46" s="1"/>
  <c r="AE51" i="46"/>
  <c r="AE53" i="46" s="1"/>
  <c r="AC51" i="46"/>
  <c r="AA51" i="46"/>
  <c r="AB51" i="46" s="1"/>
  <c r="Z51" i="46"/>
  <c r="Y51" i="46"/>
  <c r="Y53" i="46" s="1"/>
  <c r="BI50" i="46"/>
  <c r="E50" i="46" s="1"/>
  <c r="BH50" i="46"/>
  <c r="BF50" i="46"/>
  <c r="BD50" i="46"/>
  <c r="BB50" i="46"/>
  <c r="AZ50" i="46"/>
  <c r="AX50" i="46"/>
  <c r="AV50" i="46"/>
  <c r="AT50" i="46"/>
  <c r="AR50" i="46"/>
  <c r="AP50" i="46"/>
  <c r="AN50" i="46"/>
  <c r="AL50" i="46"/>
  <c r="AJ50" i="46"/>
  <c r="AH50" i="46"/>
  <c r="AF50" i="46"/>
  <c r="AD50" i="46"/>
  <c r="AB50" i="46"/>
  <c r="Z50" i="46"/>
  <c r="BI49" i="46"/>
  <c r="E49" i="46" s="1"/>
  <c r="BH49" i="46"/>
  <c r="BF49" i="46"/>
  <c r="BD49" i="46"/>
  <c r="BB49" i="46"/>
  <c r="AZ49" i="46"/>
  <c r="AX49" i="46"/>
  <c r="AV49" i="46"/>
  <c r="AT49" i="46"/>
  <c r="AR49" i="46"/>
  <c r="AP49" i="46"/>
  <c r="AN49" i="46"/>
  <c r="AL49" i="46"/>
  <c r="AJ49" i="46"/>
  <c r="AH49" i="46"/>
  <c r="AF49" i="46"/>
  <c r="AD49" i="46"/>
  <c r="AB49" i="46"/>
  <c r="Z49" i="46"/>
  <c r="BI48" i="46"/>
  <c r="E48" i="46" s="1"/>
  <c r="F48" i="46" s="1"/>
  <c r="BF48" i="46"/>
  <c r="BD48" i="46"/>
  <c r="BB48" i="46"/>
  <c r="AZ48" i="46"/>
  <c r="AX48" i="46"/>
  <c r="AV48" i="46"/>
  <c r="AT48" i="46"/>
  <c r="AR48" i="46"/>
  <c r="AP48" i="46"/>
  <c r="AN48" i="46"/>
  <c r="AL48" i="46"/>
  <c r="AJ48" i="46"/>
  <c r="AH48" i="46"/>
  <c r="AF48" i="46"/>
  <c r="AD48" i="46"/>
  <c r="AB48" i="46"/>
  <c r="Z48" i="46"/>
  <c r="BI47" i="46"/>
  <c r="E47" i="46" s="1"/>
  <c r="BH47" i="46"/>
  <c r="BF47" i="46"/>
  <c r="BD47" i="46"/>
  <c r="BB47" i="46"/>
  <c r="AZ47" i="46"/>
  <c r="AX47" i="46"/>
  <c r="AV47" i="46"/>
  <c r="AT47" i="46"/>
  <c r="AR47" i="46"/>
  <c r="AP47" i="46"/>
  <c r="AN47" i="46"/>
  <c r="AL47" i="46"/>
  <c r="AJ47" i="46"/>
  <c r="AH47" i="46"/>
  <c r="AF47" i="46"/>
  <c r="AD47" i="46"/>
  <c r="AB47" i="46"/>
  <c r="Z47" i="46"/>
  <c r="BI46" i="46"/>
  <c r="E46" i="46" s="1"/>
  <c r="BH46" i="46"/>
  <c r="BF46" i="46"/>
  <c r="BD46" i="46"/>
  <c r="BB46" i="46"/>
  <c r="AZ46" i="46"/>
  <c r="AX46" i="46"/>
  <c r="AV46" i="46"/>
  <c r="AT46" i="46"/>
  <c r="AR46" i="46"/>
  <c r="AP46" i="46"/>
  <c r="AN46" i="46"/>
  <c r="AL46" i="46"/>
  <c r="AJ46" i="46"/>
  <c r="AH46" i="46"/>
  <c r="AF46" i="46"/>
  <c r="AD46" i="46"/>
  <c r="AB46" i="46"/>
  <c r="Z46" i="46"/>
  <c r="BI45" i="46"/>
  <c r="E45" i="46" s="1"/>
  <c r="BH45" i="46"/>
  <c r="BF45" i="46"/>
  <c r="BD45" i="46"/>
  <c r="BB45" i="46"/>
  <c r="AZ45" i="46"/>
  <c r="AX45" i="46"/>
  <c r="AV45" i="46"/>
  <c r="AT45" i="46"/>
  <c r="AR45" i="46"/>
  <c r="AP45" i="46"/>
  <c r="AN45" i="46"/>
  <c r="AL45" i="46"/>
  <c r="AJ45" i="46"/>
  <c r="AH45" i="46"/>
  <c r="AF45" i="46"/>
  <c r="AD45" i="46"/>
  <c r="AB45" i="46"/>
  <c r="Z45" i="46"/>
  <c r="BN44" i="46"/>
  <c r="BQ44" i="46" s="1"/>
  <c r="BU44" i="46" s="1"/>
  <c r="BT43" i="46"/>
  <c r="BS43" i="46"/>
  <c r="BR43" i="46"/>
  <c r="BP43" i="46"/>
  <c r="BO43" i="46"/>
  <c r="BM43" i="46"/>
  <c r="BL43" i="46"/>
  <c r="BK43" i="46"/>
  <c r="BG43" i="46"/>
  <c r="BE43" i="46"/>
  <c r="BC43" i="46"/>
  <c r="AY43" i="46"/>
  <c r="AW43" i="46"/>
  <c r="AU43" i="46"/>
  <c r="AS43" i="46"/>
  <c r="AQ43" i="46"/>
  <c r="AO43" i="46"/>
  <c r="AM43" i="46"/>
  <c r="AK43" i="46"/>
  <c r="AI43" i="46"/>
  <c r="AG43" i="46"/>
  <c r="AE43" i="46"/>
  <c r="AC43" i="46"/>
  <c r="AA43" i="46"/>
  <c r="Y43" i="46"/>
  <c r="P43" i="46"/>
  <c r="O43" i="46"/>
  <c r="N43" i="46"/>
  <c r="M43" i="46"/>
  <c r="L43" i="46"/>
  <c r="K43" i="46"/>
  <c r="J43" i="46"/>
  <c r="I43" i="46"/>
  <c r="BI42" i="46"/>
  <c r="E42" i="46" s="1"/>
  <c r="T42" i="46" s="1"/>
  <c r="X42" i="46" s="1"/>
  <c r="BH42" i="46"/>
  <c r="BF42" i="46"/>
  <c r="BD42" i="46"/>
  <c r="BB42" i="46"/>
  <c r="AZ42" i="46"/>
  <c r="AX42" i="46"/>
  <c r="AV42" i="46"/>
  <c r="AT42" i="46"/>
  <c r="AR42" i="46"/>
  <c r="AP42" i="46"/>
  <c r="AN42" i="46"/>
  <c r="AL42" i="46"/>
  <c r="AJ42" i="46"/>
  <c r="AH42" i="46"/>
  <c r="AF42" i="46"/>
  <c r="AD42" i="46"/>
  <c r="AB42" i="46"/>
  <c r="Z42" i="46"/>
  <c r="BI41" i="46"/>
  <c r="E41" i="46" s="1"/>
  <c r="BH41" i="46"/>
  <c r="BF41" i="46"/>
  <c r="BD41" i="46"/>
  <c r="BB41" i="46"/>
  <c r="AZ41" i="46"/>
  <c r="AX41" i="46"/>
  <c r="AV41" i="46"/>
  <c r="AT41" i="46"/>
  <c r="AR41" i="46"/>
  <c r="AP41" i="46"/>
  <c r="AN41" i="46"/>
  <c r="AL41" i="46"/>
  <c r="AJ41" i="46"/>
  <c r="AH41" i="46"/>
  <c r="AF41" i="46"/>
  <c r="AD41" i="46"/>
  <c r="AB41" i="46"/>
  <c r="Z41" i="46"/>
  <c r="BI40" i="46"/>
  <c r="E40" i="46" s="1"/>
  <c r="BH40" i="46"/>
  <c r="BF40" i="46"/>
  <c r="BD40" i="46"/>
  <c r="BB40" i="46"/>
  <c r="AZ40" i="46"/>
  <c r="AX40" i="46"/>
  <c r="AV40" i="46"/>
  <c r="AT40" i="46"/>
  <c r="AR40" i="46"/>
  <c r="AP40" i="46"/>
  <c r="AN40" i="46"/>
  <c r="AL40" i="46"/>
  <c r="AJ40" i="46"/>
  <c r="AH40" i="46"/>
  <c r="AF40" i="46"/>
  <c r="AD40" i="46"/>
  <c r="AB40" i="46"/>
  <c r="Z40" i="46"/>
  <c r="BI39" i="46"/>
  <c r="E39" i="46" s="1"/>
  <c r="Q39" i="46" s="1"/>
  <c r="BH39" i="46"/>
  <c r="BF39" i="46"/>
  <c r="BD39" i="46"/>
  <c r="BB39" i="46"/>
  <c r="AZ39" i="46"/>
  <c r="AX39" i="46"/>
  <c r="AV39" i="46"/>
  <c r="AT39" i="46"/>
  <c r="AR39" i="46"/>
  <c r="AP39" i="46"/>
  <c r="AN39" i="46"/>
  <c r="AL39" i="46"/>
  <c r="AJ39" i="46"/>
  <c r="AH39" i="46"/>
  <c r="AF39" i="46"/>
  <c r="AD39" i="46"/>
  <c r="AB39" i="46"/>
  <c r="Z39" i="46"/>
  <c r="BN38" i="46"/>
  <c r="BQ38" i="46" s="1"/>
  <c r="BU37" i="46"/>
  <c r="BT36" i="46"/>
  <c r="BS36" i="46"/>
  <c r="BR36" i="46"/>
  <c r="BP36" i="46"/>
  <c r="BO36" i="46"/>
  <c r="BM36" i="46"/>
  <c r="BL36" i="46"/>
  <c r="BK36" i="46"/>
  <c r="BG36" i="46"/>
  <c r="BE36" i="46"/>
  <c r="BC36" i="46"/>
  <c r="BA36" i="46"/>
  <c r="AY36" i="46"/>
  <c r="AW36" i="46"/>
  <c r="AU36" i="46"/>
  <c r="AS36" i="46"/>
  <c r="AQ36" i="46"/>
  <c r="AO36" i="46"/>
  <c r="AM36" i="46"/>
  <c r="AK36" i="46"/>
  <c r="AI36" i="46"/>
  <c r="AG36" i="46"/>
  <c r="AE36" i="46"/>
  <c r="AC36" i="46"/>
  <c r="AA36" i="46"/>
  <c r="Y36" i="46"/>
  <c r="P36" i="46"/>
  <c r="O36" i="46"/>
  <c r="N36" i="46"/>
  <c r="M36" i="46"/>
  <c r="L36" i="46"/>
  <c r="K36" i="46"/>
  <c r="J36" i="46"/>
  <c r="I36" i="46"/>
  <c r="BI35" i="46"/>
  <c r="BI36" i="46" s="1"/>
  <c r="BH35" i="46"/>
  <c r="BH36" i="46" s="1"/>
  <c r="BF35" i="46"/>
  <c r="BF36" i="46" s="1"/>
  <c r="BD35" i="46"/>
  <c r="BD36" i="46" s="1"/>
  <c r="BB35" i="46"/>
  <c r="AZ35" i="46"/>
  <c r="AZ36" i="46" s="1"/>
  <c r="AX35" i="46"/>
  <c r="AX36" i="46" s="1"/>
  <c r="AV35" i="46"/>
  <c r="AV36" i="46" s="1"/>
  <c r="AT35" i="46"/>
  <c r="AT36" i="46" s="1"/>
  <c r="AR35" i="46"/>
  <c r="AR36" i="46" s="1"/>
  <c r="AP35" i="46"/>
  <c r="AP36" i="46" s="1"/>
  <c r="AN35" i="46"/>
  <c r="AN36" i="46" s="1"/>
  <c r="AL35" i="46"/>
  <c r="AL36" i="46" s="1"/>
  <c r="AJ35" i="46"/>
  <c r="AJ36" i="46" s="1"/>
  <c r="AH35" i="46"/>
  <c r="AH36" i="46" s="1"/>
  <c r="AF35" i="46"/>
  <c r="AF36" i="46" s="1"/>
  <c r="AD35" i="46"/>
  <c r="AD36" i="46" s="1"/>
  <c r="AB35" i="46"/>
  <c r="AB36" i="46" s="1"/>
  <c r="Z35" i="46"/>
  <c r="Z36" i="46" s="1"/>
  <c r="BU34" i="46"/>
  <c r="BL33" i="46"/>
  <c r="BK33" i="46"/>
  <c r="P33" i="46"/>
  <c r="O33" i="46"/>
  <c r="N33" i="46"/>
  <c r="M33" i="46"/>
  <c r="L33" i="46"/>
  <c r="K33" i="46"/>
  <c r="J33" i="46"/>
  <c r="I33" i="46"/>
  <c r="BS32" i="46"/>
  <c r="BS33" i="46" s="1"/>
  <c r="BR32" i="46"/>
  <c r="BR33" i="46" s="1"/>
  <c r="BP32" i="46"/>
  <c r="BP33" i="46" s="1"/>
  <c r="BO32" i="46"/>
  <c r="BO33" i="46" s="1"/>
  <c r="BM32" i="46"/>
  <c r="BM33" i="46" s="1"/>
  <c r="BI32" i="46"/>
  <c r="E32" i="46" s="1"/>
  <c r="T32" i="46" s="1"/>
  <c r="X32" i="46" s="1"/>
  <c r="BH32" i="46"/>
  <c r="BF32" i="46"/>
  <c r="BD32" i="46"/>
  <c r="BB32" i="46"/>
  <c r="AZ32" i="46"/>
  <c r="AX32" i="46"/>
  <c r="AV32" i="46"/>
  <c r="AT32" i="46"/>
  <c r="AR32" i="46"/>
  <c r="AP32" i="46"/>
  <c r="AN32" i="46"/>
  <c r="AL32" i="46"/>
  <c r="AJ32" i="46"/>
  <c r="AH32" i="46"/>
  <c r="AF32" i="46"/>
  <c r="AD32" i="46"/>
  <c r="AB32" i="46"/>
  <c r="Z32" i="46"/>
  <c r="BT31" i="46"/>
  <c r="BI31" i="46"/>
  <c r="E31" i="46" s="1"/>
  <c r="BH31" i="46"/>
  <c r="BF31" i="46"/>
  <c r="BD31" i="46"/>
  <c r="BB31" i="46"/>
  <c r="AZ31" i="46"/>
  <c r="AX31" i="46"/>
  <c r="AV31" i="46"/>
  <c r="AT31" i="46"/>
  <c r="AR31" i="46"/>
  <c r="AP31" i="46"/>
  <c r="AN31" i="46"/>
  <c r="AL31" i="46"/>
  <c r="AJ31" i="46"/>
  <c r="AH31" i="46"/>
  <c r="AF31" i="46"/>
  <c r="AD31" i="46"/>
  <c r="AB31" i="46"/>
  <c r="Z31" i="46"/>
  <c r="BT30" i="46"/>
  <c r="BH30" i="46"/>
  <c r="BE30" i="46"/>
  <c r="BF30" i="46" s="1"/>
  <c r="BC30" i="46"/>
  <c r="BC33" i="46" s="1"/>
  <c r="BA30" i="46"/>
  <c r="BB30" i="46" s="1"/>
  <c r="AY30" i="46"/>
  <c r="AY33" i="46" s="1"/>
  <c r="AW30" i="46"/>
  <c r="AW33" i="46" s="1"/>
  <c r="AU30" i="46"/>
  <c r="AV30" i="46" s="1"/>
  <c r="AS30" i="46"/>
  <c r="AS33" i="46" s="1"/>
  <c r="AQ30" i="46"/>
  <c r="AQ33" i="46" s="1"/>
  <c r="AO30" i="46"/>
  <c r="AP30" i="46" s="1"/>
  <c r="AM30" i="46"/>
  <c r="AM33" i="46" s="1"/>
  <c r="AK30" i="46"/>
  <c r="AK33" i="46" s="1"/>
  <c r="AI30" i="46"/>
  <c r="AJ30" i="46" s="1"/>
  <c r="AG30" i="46"/>
  <c r="AG33" i="46" s="1"/>
  <c r="AE30" i="46"/>
  <c r="AE33" i="46" s="1"/>
  <c r="AC30" i="46"/>
  <c r="AD30" i="46" s="1"/>
  <c r="AA30" i="46"/>
  <c r="AA33" i="46" s="1"/>
  <c r="Y30" i="46"/>
  <c r="Y33" i="46" s="1"/>
  <c r="BT29" i="46"/>
  <c r="BI29" i="46"/>
  <c r="E29" i="46" s="1"/>
  <c r="S29" i="46" s="1"/>
  <c r="W29" i="46" s="1"/>
  <c r="BH29" i="46"/>
  <c r="BF29" i="46"/>
  <c r="BD29" i="46"/>
  <c r="BB29" i="46"/>
  <c r="AZ29" i="46"/>
  <c r="AX29" i="46"/>
  <c r="AV29" i="46"/>
  <c r="AT29" i="46"/>
  <c r="AR29" i="46"/>
  <c r="AP29" i="46"/>
  <c r="AN29" i="46"/>
  <c r="AL29" i="46"/>
  <c r="AJ29" i="46"/>
  <c r="AH29" i="46"/>
  <c r="AF29" i="46"/>
  <c r="AD29" i="46"/>
  <c r="AB29" i="46"/>
  <c r="Z29" i="46"/>
  <c r="BT28" i="46"/>
  <c r="BI28" i="46"/>
  <c r="E28" i="46" s="1"/>
  <c r="S28" i="46" s="1"/>
  <c r="W28" i="46" s="1"/>
  <c r="BH28" i="46"/>
  <c r="BF28" i="46"/>
  <c r="BD28" i="46"/>
  <c r="BB28" i="46"/>
  <c r="AZ28" i="46"/>
  <c r="AX28" i="46"/>
  <c r="AV28" i="46"/>
  <c r="AT28" i="46"/>
  <c r="AR28" i="46"/>
  <c r="AP28" i="46"/>
  <c r="AN28" i="46"/>
  <c r="AL28" i="46"/>
  <c r="AJ28" i="46"/>
  <c r="AH28" i="46"/>
  <c r="AF28" i="46"/>
  <c r="AD28" i="46"/>
  <c r="AB28" i="46"/>
  <c r="Z28" i="46"/>
  <c r="BH27" i="46"/>
  <c r="BF27" i="46"/>
  <c r="BD27" i="46"/>
  <c r="BB27" i="46"/>
  <c r="AZ27" i="46"/>
  <c r="AX27" i="46"/>
  <c r="AV27" i="46"/>
  <c r="AT27" i="46"/>
  <c r="AR27" i="46"/>
  <c r="AP27" i="46"/>
  <c r="AN27" i="46"/>
  <c r="AL27" i="46"/>
  <c r="AJ27" i="46"/>
  <c r="AH27" i="46"/>
  <c r="AF27" i="46"/>
  <c r="AD27" i="46"/>
  <c r="AB27" i="46"/>
  <c r="Z27" i="46"/>
  <c r="BS25" i="46"/>
  <c r="BR25" i="46"/>
  <c r="BP25" i="46"/>
  <c r="BO25" i="46"/>
  <c r="BM25" i="46"/>
  <c r="BL25" i="46"/>
  <c r="BK25" i="46"/>
  <c r="AO25" i="46"/>
  <c r="P25" i="46"/>
  <c r="O25" i="46"/>
  <c r="N25" i="46"/>
  <c r="M25" i="46"/>
  <c r="L25" i="46"/>
  <c r="K25" i="46"/>
  <c r="J25" i="46"/>
  <c r="I25" i="46"/>
  <c r="BT24" i="46"/>
  <c r="BH24" i="46"/>
  <c r="BF24" i="46"/>
  <c r="BB24" i="46"/>
  <c r="AZ24" i="46"/>
  <c r="AV24" i="46"/>
  <c r="AT24" i="46"/>
  <c r="AP24" i="46"/>
  <c r="AN24" i="46"/>
  <c r="AL24" i="46"/>
  <c r="AH24" i="46"/>
  <c r="AF24" i="46"/>
  <c r="AD24" i="46"/>
  <c r="AB24" i="46"/>
  <c r="Z24" i="46"/>
  <c r="BT23" i="46"/>
  <c r="BH23" i="46"/>
  <c r="BE23" i="46"/>
  <c r="BF23" i="46" s="1"/>
  <c r="BD23" i="46"/>
  <c r="BA23" i="46"/>
  <c r="BB23" i="46" s="1"/>
  <c r="AY23" i="46"/>
  <c r="AZ23" i="46" s="1"/>
  <c r="AW23" i="46"/>
  <c r="AX23" i="46" s="1"/>
  <c r="AU23" i="46"/>
  <c r="AV23" i="46" s="1"/>
  <c r="AS23" i="46"/>
  <c r="AT23" i="46" s="1"/>
  <c r="AR23" i="46"/>
  <c r="AP23" i="46"/>
  <c r="AN23" i="46"/>
  <c r="AK23" i="46"/>
  <c r="AL23" i="46" s="1"/>
  <c r="AI23" i="46"/>
  <c r="AJ23" i="46" s="1"/>
  <c r="AG23" i="46"/>
  <c r="AH23" i="46" s="1"/>
  <c r="AE23" i="46"/>
  <c r="AF23" i="46" s="1"/>
  <c r="AC23" i="46"/>
  <c r="AD23" i="46" s="1"/>
  <c r="AA23" i="46"/>
  <c r="AB23" i="46" s="1"/>
  <c r="Z23" i="46"/>
  <c r="BT22" i="46"/>
  <c r="BI22" i="46"/>
  <c r="E22" i="46" s="1"/>
  <c r="T22" i="46" s="1"/>
  <c r="X22" i="46" s="1"/>
  <c r="BH22" i="46"/>
  <c r="BF22" i="46"/>
  <c r="BD22" i="46"/>
  <c r="BB22" i="46"/>
  <c r="AZ22" i="46"/>
  <c r="AX22" i="46"/>
  <c r="AV22" i="46"/>
  <c r="AT22" i="46"/>
  <c r="AR22" i="46"/>
  <c r="AP22" i="46"/>
  <c r="AN22" i="46"/>
  <c r="AL22" i="46"/>
  <c r="AJ22" i="46"/>
  <c r="AH22" i="46"/>
  <c r="AF22" i="46"/>
  <c r="AD22" i="46"/>
  <c r="AB22" i="46"/>
  <c r="Z22" i="46"/>
  <c r="BH21" i="46"/>
  <c r="BE21" i="46"/>
  <c r="BC21" i="46"/>
  <c r="BD21" i="46" s="1"/>
  <c r="BA21" i="46"/>
  <c r="BB21" i="46" s="1"/>
  <c r="AY21" i="46"/>
  <c r="AY25" i="46" s="1"/>
  <c r="AW21" i="46"/>
  <c r="AX21" i="46" s="1"/>
  <c r="AU21" i="46"/>
  <c r="AV21" i="46" s="1"/>
  <c r="AS21" i="46"/>
  <c r="AQ21" i="46"/>
  <c r="AR21" i="46" s="1"/>
  <c r="AP21" i="46"/>
  <c r="AM21" i="46"/>
  <c r="AK21" i="46"/>
  <c r="AI21" i="46"/>
  <c r="AJ21" i="46" s="1"/>
  <c r="AG21" i="46"/>
  <c r="AE21" i="46"/>
  <c r="AF21" i="46" s="1"/>
  <c r="AC21" i="46"/>
  <c r="AD21" i="46" s="1"/>
  <c r="AA21" i="46"/>
  <c r="Y21" i="46"/>
  <c r="BG25" i="46"/>
  <c r="BF20" i="46"/>
  <c r="BD20" i="46"/>
  <c r="BB20" i="46"/>
  <c r="AZ20" i="46"/>
  <c r="AX20" i="46"/>
  <c r="AV20" i="46"/>
  <c r="AT20" i="46"/>
  <c r="AR20" i="46"/>
  <c r="AP20" i="46"/>
  <c r="AN20" i="46"/>
  <c r="AL20" i="46"/>
  <c r="AJ20" i="46"/>
  <c r="AH20" i="46"/>
  <c r="AF20" i="46"/>
  <c r="AD20" i="46"/>
  <c r="AB20" i="46"/>
  <c r="Z20" i="46"/>
  <c r="BU19" i="46"/>
  <c r="BT17" i="46"/>
  <c r="BS17" i="46"/>
  <c r="BR17" i="46"/>
  <c r="BP17" i="46"/>
  <c r="BN17" i="46"/>
  <c r="BM17" i="46"/>
  <c r="BL17" i="46"/>
  <c r="BK17" i="46"/>
  <c r="BG17" i="46"/>
  <c r="BE17" i="46"/>
  <c r="BC17" i="46"/>
  <c r="BA17" i="46"/>
  <c r="AY17" i="46"/>
  <c r="AW17" i="46"/>
  <c r="AU17" i="46"/>
  <c r="AS17" i="46"/>
  <c r="AQ17" i="46"/>
  <c r="AO17" i="46"/>
  <c r="AM17" i="46"/>
  <c r="AK17" i="46"/>
  <c r="AI17" i="46"/>
  <c r="AG17" i="46"/>
  <c r="AE17" i="46"/>
  <c r="AC17" i="46"/>
  <c r="AA17" i="46"/>
  <c r="Y17" i="46"/>
  <c r="P17" i="46"/>
  <c r="O17" i="46"/>
  <c r="N17" i="46"/>
  <c r="M17" i="46"/>
  <c r="L17" i="46"/>
  <c r="K17" i="46"/>
  <c r="J17" i="46"/>
  <c r="I17" i="46"/>
  <c r="BI16" i="46"/>
  <c r="BI17" i="46" s="1"/>
  <c r="BH16" i="46"/>
  <c r="BH17" i="46" s="1"/>
  <c r="BF16" i="46"/>
  <c r="BF17" i="46" s="1"/>
  <c r="BD16" i="46"/>
  <c r="BD17" i="46" s="1"/>
  <c r="BB16" i="46"/>
  <c r="BB17" i="46" s="1"/>
  <c r="AZ16" i="46"/>
  <c r="AZ17" i="46" s="1"/>
  <c r="AX16" i="46"/>
  <c r="AX17" i="46" s="1"/>
  <c r="AV16" i="46"/>
  <c r="AV17" i="46" s="1"/>
  <c r="AT16" i="46"/>
  <c r="AT17" i="46" s="1"/>
  <c r="AR16" i="46"/>
  <c r="AR17" i="46" s="1"/>
  <c r="AP16" i="46"/>
  <c r="AP17" i="46" s="1"/>
  <c r="AN16" i="46"/>
  <c r="AN17" i="46" s="1"/>
  <c r="AL16" i="46"/>
  <c r="AL17" i="46" s="1"/>
  <c r="AJ16" i="46"/>
  <c r="AJ17" i="46" s="1"/>
  <c r="AH16" i="46"/>
  <c r="AH17" i="46" s="1"/>
  <c r="AF16" i="46"/>
  <c r="AF17" i="46" s="1"/>
  <c r="AD16" i="46"/>
  <c r="AD17" i="46" s="1"/>
  <c r="AB16" i="46"/>
  <c r="AB17" i="46" s="1"/>
  <c r="Z16" i="46"/>
  <c r="Z17" i="46" s="1"/>
  <c r="BS15" i="46"/>
  <c r="BR15" i="46"/>
  <c r="BP15" i="46"/>
  <c r="BO15" i="46"/>
  <c r="BM15" i="46"/>
  <c r="BL15" i="46"/>
  <c r="BK15" i="46"/>
  <c r="BG15" i="46"/>
  <c r="P15" i="46"/>
  <c r="O15" i="46"/>
  <c r="N15" i="46"/>
  <c r="M15" i="46"/>
  <c r="L15" i="46"/>
  <c r="K15" i="46"/>
  <c r="J15" i="46"/>
  <c r="I15" i="46"/>
  <c r="BT14" i="46"/>
  <c r="BI14" i="46"/>
  <c r="E14" i="46" s="1"/>
  <c r="BH14" i="46"/>
  <c r="BF14" i="46"/>
  <c r="BD14" i="46"/>
  <c r="BB14" i="46"/>
  <c r="AZ14" i="46"/>
  <c r="AX14" i="46"/>
  <c r="AV14" i="46"/>
  <c r="AT14" i="46"/>
  <c r="AR14" i="46"/>
  <c r="AP14" i="46"/>
  <c r="AN14" i="46"/>
  <c r="AL14" i="46"/>
  <c r="AJ14" i="46"/>
  <c r="AH14" i="46"/>
  <c r="AF14" i="46"/>
  <c r="AD14" i="46"/>
  <c r="AB14" i="46"/>
  <c r="Z14" i="46"/>
  <c r="BI13" i="46"/>
  <c r="E13" i="46" s="1"/>
  <c r="T13" i="46" s="1"/>
  <c r="X13" i="46" s="1"/>
  <c r="BF13" i="46"/>
  <c r="BD13" i="46"/>
  <c r="BB13" i="46"/>
  <c r="AZ13" i="46"/>
  <c r="AX13" i="46"/>
  <c r="AV13" i="46"/>
  <c r="AT13" i="46"/>
  <c r="AR13" i="46"/>
  <c r="AP13" i="46"/>
  <c r="AN13" i="46"/>
  <c r="AL13" i="46"/>
  <c r="AJ13" i="46"/>
  <c r="AH13" i="46"/>
  <c r="AF13" i="46"/>
  <c r="AD13" i="46"/>
  <c r="AB13" i="46"/>
  <c r="Z13" i="46"/>
  <c r="BT12" i="46"/>
  <c r="BH12" i="46"/>
  <c r="BF12" i="46"/>
  <c r="BE15" i="46"/>
  <c r="BD12" i="46"/>
  <c r="BA15" i="46"/>
  <c r="AY15" i="46"/>
  <c r="AW15" i="46"/>
  <c r="AU15" i="46"/>
  <c r="AS15" i="46"/>
  <c r="AQ15" i="46"/>
  <c r="AO15" i="46"/>
  <c r="AM15" i="46"/>
  <c r="AK15" i="46"/>
  <c r="AI15" i="46"/>
  <c r="AG15" i="46"/>
  <c r="AF12" i="46"/>
  <c r="AC15" i="46"/>
  <c r="AA15" i="46"/>
  <c r="Z12" i="46"/>
  <c r="BF4" i="46"/>
  <c r="BE4" i="46"/>
  <c r="BD4" i="46"/>
  <c r="BC4" i="46"/>
  <c r="BB4" i="46"/>
  <c r="BA4" i="46"/>
  <c r="AZ4" i="46"/>
  <c r="AY4" i="46"/>
  <c r="AX4" i="46"/>
  <c r="AW4" i="46"/>
  <c r="AV4" i="46"/>
  <c r="AU4" i="46"/>
  <c r="AT4" i="46"/>
  <c r="AS4" i="46"/>
  <c r="AR4" i="46"/>
  <c r="AQ4" i="46"/>
  <c r="AP4" i="46"/>
  <c r="AO4" i="46"/>
  <c r="AN4" i="46"/>
  <c r="AM4" i="46"/>
  <c r="AL4" i="46"/>
  <c r="AK4" i="46"/>
  <c r="AJ4" i="46"/>
  <c r="AI4" i="46"/>
  <c r="AH4" i="46"/>
  <c r="AG4" i="46"/>
  <c r="AF4" i="46"/>
  <c r="AE4" i="46"/>
  <c r="AD4" i="46"/>
  <c r="AC4" i="46"/>
  <c r="AB4" i="46"/>
  <c r="AA4" i="46"/>
  <c r="Z4" i="46"/>
  <c r="BN55" i="47"/>
  <c r="BM55" i="47"/>
  <c r="BI55" i="47"/>
  <c r="BE55" i="47"/>
  <c r="BC55" i="47"/>
  <c r="BA55" i="47"/>
  <c r="AY55" i="47"/>
  <c r="AW55" i="47"/>
  <c r="AQ55" i="47"/>
  <c r="AO55" i="47"/>
  <c r="AA55" i="47"/>
  <c r="R55" i="47"/>
  <c r="Q55" i="47"/>
  <c r="P55" i="47"/>
  <c r="O55" i="47"/>
  <c r="N55" i="47"/>
  <c r="M55" i="47"/>
  <c r="L55" i="47"/>
  <c r="K55" i="47"/>
  <c r="BK54" i="47"/>
  <c r="G54" i="47" s="1"/>
  <c r="BJ54" i="47"/>
  <c r="BH54" i="47"/>
  <c r="BF54" i="47"/>
  <c r="BD54" i="47"/>
  <c r="BB54" i="47"/>
  <c r="AZ54" i="47"/>
  <c r="AX54" i="47"/>
  <c r="AV54" i="47"/>
  <c r="AT54" i="47"/>
  <c r="AT55" i="47" s="1"/>
  <c r="AR54" i="47"/>
  <c r="AP54" i="47"/>
  <c r="AN54" i="47"/>
  <c r="AJ54" i="47"/>
  <c r="AH54" i="47"/>
  <c r="AF54" i="47"/>
  <c r="AD54" i="47"/>
  <c r="AB54" i="47"/>
  <c r="BK53" i="47"/>
  <c r="G53" i="47" s="1"/>
  <c r="BJ53" i="47"/>
  <c r="BJ55" i="47" s="1"/>
  <c r="BH53" i="47"/>
  <c r="BF53" i="47"/>
  <c r="BD53" i="47"/>
  <c r="BB53" i="47"/>
  <c r="BB55" i="47" s="1"/>
  <c r="AZ53" i="47"/>
  <c r="AX53" i="47"/>
  <c r="AV53" i="47"/>
  <c r="AV55" i="47" s="1"/>
  <c r="AR53" i="47"/>
  <c r="AP53" i="47"/>
  <c r="AN53" i="47"/>
  <c r="AL53" i="47"/>
  <c r="AL55" i="47" s="1"/>
  <c r="AJ53" i="47"/>
  <c r="AJ55" i="47" s="1"/>
  <c r="AH53" i="47"/>
  <c r="AH55" i="47" s="1"/>
  <c r="AF53" i="47"/>
  <c r="AD53" i="47"/>
  <c r="AB53" i="47"/>
  <c r="AB55" i="47" s="1"/>
  <c r="BF52" i="47"/>
  <c r="BD52" i="47"/>
  <c r="AZ52" i="47"/>
  <c r="AX52" i="47"/>
  <c r="AU52" i="47"/>
  <c r="AU55" i="47" s="1"/>
  <c r="AS52" i="47"/>
  <c r="AS55" i="47" s="1"/>
  <c r="AP52" i="47"/>
  <c r="AM52" i="47"/>
  <c r="AM55" i="47" s="1"/>
  <c r="AK52" i="47"/>
  <c r="AK55" i="47" s="1"/>
  <c r="AI52" i="47"/>
  <c r="AI55" i="47" s="1"/>
  <c r="AG52" i="47"/>
  <c r="AG55" i="47" s="1"/>
  <c r="AE52" i="47"/>
  <c r="AE55" i="47" s="1"/>
  <c r="AC52" i="47"/>
  <c r="AC55" i="47" s="1"/>
  <c r="BP51" i="47"/>
  <c r="BS51" i="47" s="1"/>
  <c r="BQ50" i="47"/>
  <c r="BQ53" i="47" s="1"/>
  <c r="BQ55" i="47" s="1"/>
  <c r="BN50" i="47"/>
  <c r="BM50" i="47"/>
  <c r="R50" i="47"/>
  <c r="Q50" i="47"/>
  <c r="P50" i="47"/>
  <c r="O50" i="47"/>
  <c r="N50" i="47"/>
  <c r="M50" i="47"/>
  <c r="L50" i="47"/>
  <c r="K50" i="47"/>
  <c r="BK49" i="47"/>
  <c r="BH49" i="47"/>
  <c r="BF49" i="47"/>
  <c r="BD49" i="47"/>
  <c r="BB49" i="47"/>
  <c r="AZ49" i="47"/>
  <c r="AX49" i="47"/>
  <c r="AV49" i="47"/>
  <c r="AT49" i="47"/>
  <c r="AR49" i="47"/>
  <c r="AP49" i="47"/>
  <c r="AN49" i="47"/>
  <c r="AL49" i="47"/>
  <c r="AJ49" i="47"/>
  <c r="AH49" i="47"/>
  <c r="AF49" i="47"/>
  <c r="AD49" i="47"/>
  <c r="AB49" i="47"/>
  <c r="G49" i="47"/>
  <c r="BJ48" i="47"/>
  <c r="BH48" i="47"/>
  <c r="BF48" i="47"/>
  <c r="BD48" i="47"/>
  <c r="AZ48" i="47"/>
  <c r="AX48" i="47"/>
  <c r="AV48" i="47"/>
  <c r="AT48" i="47"/>
  <c r="AR48" i="47"/>
  <c r="AN48" i="47"/>
  <c r="AL48" i="47"/>
  <c r="AJ48" i="47"/>
  <c r="AH48" i="47"/>
  <c r="AF48" i="47"/>
  <c r="AB48" i="47"/>
  <c r="BJ47" i="47"/>
  <c r="BH47" i="47"/>
  <c r="BF47" i="47"/>
  <c r="BD47" i="47"/>
  <c r="BB47" i="47"/>
  <c r="AZ47" i="47"/>
  <c r="AX47" i="47"/>
  <c r="AV47" i="47"/>
  <c r="AT47" i="47"/>
  <c r="AR47" i="47"/>
  <c r="AP47" i="47"/>
  <c r="AN47" i="47"/>
  <c r="AL47" i="47"/>
  <c r="AJ47" i="47"/>
  <c r="AH47" i="47"/>
  <c r="AF47" i="47"/>
  <c r="AD47" i="47"/>
  <c r="AB47" i="47"/>
  <c r="BI46" i="47"/>
  <c r="BI50" i="47" s="1"/>
  <c r="BH46" i="47"/>
  <c r="AX46" i="47"/>
  <c r="AL46" i="47"/>
  <c r="AJ46" i="47"/>
  <c r="AH46" i="47"/>
  <c r="AF46" i="47"/>
  <c r="G46" i="47"/>
  <c r="H46" i="47" s="1"/>
  <c r="Z46" i="47" s="1"/>
  <c r="BK45" i="47"/>
  <c r="G45" i="47" s="1"/>
  <c r="BJ45" i="47"/>
  <c r="BH45" i="47"/>
  <c r="BF45" i="47"/>
  <c r="BD45" i="47"/>
  <c r="BB45" i="47"/>
  <c r="AZ45" i="47"/>
  <c r="AX45" i="47"/>
  <c r="AV45" i="47"/>
  <c r="AT45" i="47"/>
  <c r="AR45" i="47"/>
  <c r="AP45" i="47"/>
  <c r="AN45" i="47"/>
  <c r="AL45" i="47"/>
  <c r="AJ45" i="47"/>
  <c r="AH45" i="47"/>
  <c r="AF45" i="47"/>
  <c r="AD45" i="47"/>
  <c r="AB45" i="47"/>
  <c r="BK44" i="47"/>
  <c r="BJ44" i="47"/>
  <c r="BH44" i="47"/>
  <c r="BF44" i="47"/>
  <c r="BD44" i="47"/>
  <c r="BB44" i="47"/>
  <c r="AZ44" i="47"/>
  <c r="AX44" i="47"/>
  <c r="AV44" i="47"/>
  <c r="AT44" i="47"/>
  <c r="AR44" i="47"/>
  <c r="AP44" i="47"/>
  <c r="AN44" i="47"/>
  <c r="AL44" i="47"/>
  <c r="AJ44" i="47"/>
  <c r="AH44" i="47"/>
  <c r="AF44" i="47"/>
  <c r="AD44" i="47"/>
  <c r="AB44" i="47"/>
  <c r="BK43" i="47"/>
  <c r="G43" i="47" s="1"/>
  <c r="S43" i="47" s="1"/>
  <c r="W43" i="47" s="1"/>
  <c r="BJ43" i="47"/>
  <c r="BH43" i="47"/>
  <c r="BF43" i="47"/>
  <c r="BD43" i="47"/>
  <c r="BB43" i="47"/>
  <c r="AZ43" i="47"/>
  <c r="AX43" i="47"/>
  <c r="AV43" i="47"/>
  <c r="AT43" i="47"/>
  <c r="AR43" i="47"/>
  <c r="AP43" i="47"/>
  <c r="AN43" i="47"/>
  <c r="AL43" i="47"/>
  <c r="AJ43" i="47"/>
  <c r="AH43" i="47"/>
  <c r="AF43" i="47"/>
  <c r="AD43" i="47"/>
  <c r="AB43" i="47"/>
  <c r="BJ42" i="47"/>
  <c r="BH42" i="47"/>
  <c r="BD42" i="47"/>
  <c r="BB42" i="47"/>
  <c r="AZ42" i="47"/>
  <c r="AX42" i="47"/>
  <c r="AV42" i="47"/>
  <c r="AT42" i="47"/>
  <c r="AR42" i="47"/>
  <c r="AP42" i="47"/>
  <c r="AN42" i="47"/>
  <c r="AL42" i="47"/>
  <c r="AJ42" i="47"/>
  <c r="AH42" i="47"/>
  <c r="AF42" i="47"/>
  <c r="AD42" i="47"/>
  <c r="AB42" i="47"/>
  <c r="BK41" i="47"/>
  <c r="G41" i="47" s="1"/>
  <c r="BH41" i="47"/>
  <c r="BF41" i="47"/>
  <c r="BD41" i="47"/>
  <c r="BB41" i="47"/>
  <c r="AZ41" i="47"/>
  <c r="AX41" i="47"/>
  <c r="AV41" i="47"/>
  <c r="AT41" i="47"/>
  <c r="AR41" i="47"/>
  <c r="AP41" i="47"/>
  <c r="AN41" i="47"/>
  <c r="AL41" i="47"/>
  <c r="AJ41" i="47"/>
  <c r="AH41" i="47"/>
  <c r="AF41" i="47"/>
  <c r="AD41" i="47"/>
  <c r="AB41" i="47"/>
  <c r="BJ40" i="47"/>
  <c r="BH40" i="47"/>
  <c r="BF40" i="47"/>
  <c r="BD40" i="47"/>
  <c r="BB40" i="47"/>
  <c r="AZ40" i="47"/>
  <c r="AX40" i="47"/>
  <c r="AV40" i="47"/>
  <c r="AT40" i="47"/>
  <c r="AR40" i="47"/>
  <c r="AP40" i="47"/>
  <c r="AN40" i="47"/>
  <c r="AJ40" i="47"/>
  <c r="AH40" i="47"/>
  <c r="AD40" i="47"/>
  <c r="BJ39" i="47"/>
  <c r="BG39" i="47"/>
  <c r="BH39" i="47" s="1"/>
  <c r="BE39" i="47"/>
  <c r="BF39" i="47" s="1"/>
  <c r="BC39" i="47"/>
  <c r="BD39" i="47" s="1"/>
  <c r="BA39" i="47"/>
  <c r="BB39" i="47" s="1"/>
  <c r="AY39" i="47"/>
  <c r="AW39" i="47"/>
  <c r="AX39" i="47" s="1"/>
  <c r="AU39" i="47"/>
  <c r="AS39" i="47"/>
  <c r="AQ39" i="47"/>
  <c r="AR39" i="47" s="1"/>
  <c r="AO39" i="47"/>
  <c r="AP39" i="47" s="1"/>
  <c r="AM39" i="47"/>
  <c r="AN39" i="47" s="1"/>
  <c r="AK39" i="47"/>
  <c r="AL39" i="47" s="1"/>
  <c r="AI39" i="47"/>
  <c r="AG39" i="47"/>
  <c r="AH39" i="47" s="1"/>
  <c r="AE39" i="47"/>
  <c r="AF39" i="47" s="1"/>
  <c r="AC39" i="47"/>
  <c r="AD39" i="47" s="1"/>
  <c r="AA39" i="47"/>
  <c r="AB39" i="47" s="1"/>
  <c r="BP38" i="47"/>
  <c r="BS38" i="47" s="1"/>
  <c r="BW38" i="47" s="1"/>
  <c r="BV37" i="47"/>
  <c r="BU37" i="47"/>
  <c r="BT37" i="47"/>
  <c r="BR37" i="47"/>
  <c r="BO37" i="47"/>
  <c r="BN37" i="47"/>
  <c r="BI37" i="47"/>
  <c r="BG37" i="47"/>
  <c r="BE37" i="47"/>
  <c r="BC37" i="47"/>
  <c r="BA37" i="47"/>
  <c r="AY37" i="47"/>
  <c r="AW37" i="47"/>
  <c r="AU37" i="47"/>
  <c r="AS37" i="47"/>
  <c r="AQ37" i="47"/>
  <c r="AO37" i="47"/>
  <c r="AM37" i="47"/>
  <c r="AK37" i="47"/>
  <c r="AI37" i="47"/>
  <c r="AG37" i="47"/>
  <c r="AE37" i="47"/>
  <c r="AC37" i="47"/>
  <c r="R37" i="47"/>
  <c r="Q37" i="47"/>
  <c r="P37" i="47"/>
  <c r="O37" i="47"/>
  <c r="N37" i="47"/>
  <c r="M37" i="47"/>
  <c r="L37" i="47"/>
  <c r="K37" i="47"/>
  <c r="BJ36" i="47"/>
  <c r="BH36" i="47"/>
  <c r="BF36" i="47"/>
  <c r="BD36" i="47"/>
  <c r="BB36" i="47"/>
  <c r="AZ36" i="47"/>
  <c r="AX36" i="47"/>
  <c r="AV36" i="47"/>
  <c r="AT36" i="47"/>
  <c r="AR36" i="47"/>
  <c r="AP36" i="47"/>
  <c r="AN36" i="47"/>
  <c r="AL36" i="47"/>
  <c r="AJ36" i="47"/>
  <c r="AH36" i="47"/>
  <c r="AF36" i="47"/>
  <c r="AD36" i="47"/>
  <c r="AA36" i="47"/>
  <c r="BK36" i="47" s="1"/>
  <c r="G36" i="47" s="1"/>
  <c r="BJ35" i="47"/>
  <c r="BH35" i="47"/>
  <c r="BF35" i="47"/>
  <c r="BD35" i="47"/>
  <c r="BB35" i="47"/>
  <c r="AZ35" i="47"/>
  <c r="AX35" i="47"/>
  <c r="AV35" i="47"/>
  <c r="AT35" i="47"/>
  <c r="AR35" i="47"/>
  <c r="AP35" i="47"/>
  <c r="AN35" i="47"/>
  <c r="AL35" i="47"/>
  <c r="AJ35" i="47"/>
  <c r="AH35" i="47"/>
  <c r="AF35" i="47"/>
  <c r="AD35" i="47"/>
  <c r="AA35" i="47"/>
  <c r="AA37" i="47" s="1"/>
  <c r="BK34" i="47"/>
  <c r="G34" i="47" s="1"/>
  <c r="E19" i="51" s="1"/>
  <c r="BJ34" i="47"/>
  <c r="BL34" i="47" s="1"/>
  <c r="BK33" i="47"/>
  <c r="G33" i="47" s="1"/>
  <c r="BJ33" i="47"/>
  <c r="BH33" i="47"/>
  <c r="BF33" i="47"/>
  <c r="BD33" i="47"/>
  <c r="BB33" i="47"/>
  <c r="AZ33" i="47"/>
  <c r="AX33" i="47"/>
  <c r="AV33" i="47"/>
  <c r="AT33" i="47"/>
  <c r="AR33" i="47"/>
  <c r="AP33" i="47"/>
  <c r="AN33" i="47"/>
  <c r="AL33" i="47"/>
  <c r="AJ33" i="47"/>
  <c r="AH33" i="47"/>
  <c r="AF33" i="47"/>
  <c r="AD33" i="47"/>
  <c r="AB33" i="47"/>
  <c r="BV32" i="47"/>
  <c r="BP32" i="47"/>
  <c r="BS32" i="47" s="1"/>
  <c r="BV31" i="47"/>
  <c r="BP31" i="47"/>
  <c r="BS31" i="47" s="1"/>
  <c r="BN30" i="47"/>
  <c r="BI30" i="47"/>
  <c r="R30" i="47"/>
  <c r="Q30" i="47"/>
  <c r="P30" i="47"/>
  <c r="O30" i="47"/>
  <c r="N30" i="47"/>
  <c r="M30" i="47"/>
  <c r="L30" i="47"/>
  <c r="K30" i="47"/>
  <c r="BK29" i="47"/>
  <c r="G29" i="47" s="1"/>
  <c r="BJ29" i="47"/>
  <c r="BH29" i="47"/>
  <c r="BF29" i="47"/>
  <c r="BD29" i="47"/>
  <c r="BB29" i="47"/>
  <c r="AZ29" i="47"/>
  <c r="AX29" i="47"/>
  <c r="AV29" i="47"/>
  <c r="AT29" i="47"/>
  <c r="AR29" i="47"/>
  <c r="AP29" i="47"/>
  <c r="AN29" i="47"/>
  <c r="AL29" i="47"/>
  <c r="AJ29" i="47"/>
  <c r="AH29" i="47"/>
  <c r="AF29" i="47"/>
  <c r="AD29" i="47"/>
  <c r="AB29" i="47"/>
  <c r="BK28" i="47"/>
  <c r="G28" i="47" s="1"/>
  <c r="BJ28" i="47"/>
  <c r="BL28" i="47" s="1"/>
  <c r="BP28" i="47" s="1"/>
  <c r="BS28" i="47" s="1"/>
  <c r="BW28" i="47" s="1"/>
  <c r="BV27" i="47"/>
  <c r="BU27" i="47"/>
  <c r="BU30" i="47" s="1"/>
  <c r="BT27" i="47"/>
  <c r="BT30" i="47" s="1"/>
  <c r="BR27" i="47"/>
  <c r="BR30" i="47" s="1"/>
  <c r="BR39" i="47" s="1"/>
  <c r="BQ27" i="47"/>
  <c r="BQ30" i="47" s="1"/>
  <c r="BO27" i="47"/>
  <c r="BO30" i="47" s="1"/>
  <c r="BO39" i="47" s="1"/>
  <c r="BO50" i="47" s="1"/>
  <c r="BO53" i="47" s="1"/>
  <c r="BO55" i="47" s="1"/>
  <c r="BJ27" i="47"/>
  <c r="BH27" i="47"/>
  <c r="BF27" i="47"/>
  <c r="BD27" i="47"/>
  <c r="BB27" i="47"/>
  <c r="AZ27" i="47"/>
  <c r="AX27" i="47"/>
  <c r="AV27" i="47"/>
  <c r="AT27" i="47"/>
  <c r="AR27" i="47"/>
  <c r="AP27" i="47"/>
  <c r="AN27" i="47"/>
  <c r="AL27" i="47"/>
  <c r="AJ27" i="47"/>
  <c r="AH27" i="47"/>
  <c r="AF27" i="47"/>
  <c r="AD27" i="47"/>
  <c r="AB27" i="47"/>
  <c r="BK26" i="47"/>
  <c r="BJ26" i="47"/>
  <c r="BH26" i="47"/>
  <c r="BF26" i="47"/>
  <c r="BD26" i="47"/>
  <c r="BB26" i="47"/>
  <c r="AZ26" i="47"/>
  <c r="AX26" i="47"/>
  <c r="AV26" i="47"/>
  <c r="AT26" i="47"/>
  <c r="AR26" i="47"/>
  <c r="AP26" i="47"/>
  <c r="AN26" i="47"/>
  <c r="AL26" i="47"/>
  <c r="AJ26" i="47"/>
  <c r="AH26" i="47"/>
  <c r="AF26" i="47"/>
  <c r="AD26" i="47"/>
  <c r="AB26" i="47"/>
  <c r="J26" i="47"/>
  <c r="I26" i="47"/>
  <c r="BJ25" i="47"/>
  <c r="BG25" i="47"/>
  <c r="BH25" i="47" s="1"/>
  <c r="BE25" i="47"/>
  <c r="BF25" i="47" s="1"/>
  <c r="BC25" i="47"/>
  <c r="BD25" i="47" s="1"/>
  <c r="BA25" i="47"/>
  <c r="BB25" i="47" s="1"/>
  <c r="AY25" i="47"/>
  <c r="AY30" i="47" s="1"/>
  <c r="AW25" i="47"/>
  <c r="AX25" i="47" s="1"/>
  <c r="AU25" i="47"/>
  <c r="AV25" i="47" s="1"/>
  <c r="AS25" i="47"/>
  <c r="AT25" i="47" s="1"/>
  <c r="AQ25" i="47"/>
  <c r="AR25" i="47" s="1"/>
  <c r="AO25" i="47"/>
  <c r="AP25" i="47" s="1"/>
  <c r="AM25" i="47"/>
  <c r="AN25" i="47" s="1"/>
  <c r="AK25" i="47"/>
  <c r="AL25" i="47" s="1"/>
  <c r="AI25" i="47"/>
  <c r="AJ25" i="47" s="1"/>
  <c r="AG25" i="47"/>
  <c r="AH25" i="47" s="1"/>
  <c r="AE25" i="47"/>
  <c r="AF25" i="47" s="1"/>
  <c r="AD25" i="47"/>
  <c r="AB25" i="47"/>
  <c r="BJ24" i="47"/>
  <c r="BH24" i="47"/>
  <c r="BD24" i="47"/>
  <c r="BB24" i="47"/>
  <c r="AX24" i="47"/>
  <c r="AN24" i="47"/>
  <c r="AH24" i="47"/>
  <c r="AB24" i="47"/>
  <c r="BJ23" i="47"/>
  <c r="BH23" i="47"/>
  <c r="BF23" i="47"/>
  <c r="BD23" i="47"/>
  <c r="AZ23" i="47"/>
  <c r="AX23" i="47"/>
  <c r="AV23" i="47"/>
  <c r="AS23" i="47"/>
  <c r="AT23" i="47" s="1"/>
  <c r="AQ23" i="47"/>
  <c r="AR23" i="47" s="1"/>
  <c r="AP23" i="47"/>
  <c r="AM23" i="47"/>
  <c r="AL23" i="47"/>
  <c r="AI23" i="47"/>
  <c r="AG23" i="47"/>
  <c r="AH23" i="47" s="1"/>
  <c r="AE23" i="47"/>
  <c r="AC23" i="47"/>
  <c r="BV22" i="47"/>
  <c r="BJ22" i="47"/>
  <c r="BH22" i="47"/>
  <c r="BF22" i="47"/>
  <c r="BD22" i="47"/>
  <c r="BB22" i="47"/>
  <c r="AX22" i="47"/>
  <c r="AV22" i="47"/>
  <c r="AT22" i="47"/>
  <c r="AR22" i="47"/>
  <c r="AP22" i="47"/>
  <c r="AL22" i="47"/>
  <c r="AJ22" i="47"/>
  <c r="AH22" i="47"/>
  <c r="AD22" i="47"/>
  <c r="BJ21" i="47"/>
  <c r="BF21" i="47"/>
  <c r="BE30" i="47"/>
  <c r="BD21" i="47"/>
  <c r="AZ21" i="47"/>
  <c r="AX21" i="47"/>
  <c r="AT21" i="47"/>
  <c r="AR21" i="47"/>
  <c r="AP21" i="47"/>
  <c r="AN21" i="47"/>
  <c r="AK30" i="47"/>
  <c r="AJ21" i="47"/>
  <c r="AH21" i="47"/>
  <c r="AF21" i="47"/>
  <c r="AD21" i="47"/>
  <c r="AB21" i="47"/>
  <c r="BK20" i="47"/>
  <c r="G20" i="47" s="1"/>
  <c r="BJ20" i="47"/>
  <c r="BH20" i="47"/>
  <c r="BF20" i="47"/>
  <c r="BD20" i="47"/>
  <c r="BB20" i="47"/>
  <c r="AZ20" i="47"/>
  <c r="AX20" i="47"/>
  <c r="AV20" i="47"/>
  <c r="AT20" i="47"/>
  <c r="AR20" i="47"/>
  <c r="AP20" i="47"/>
  <c r="AN20" i="47"/>
  <c r="AL20" i="47"/>
  <c r="AJ20" i="47"/>
  <c r="AH20" i="47"/>
  <c r="AF20" i="47"/>
  <c r="AD20" i="47"/>
  <c r="AB20" i="47"/>
  <c r="BJ18" i="47"/>
  <c r="BH18" i="47"/>
  <c r="BF18" i="47"/>
  <c r="BD18" i="47"/>
  <c r="BB18" i="47"/>
  <c r="AZ18" i="47"/>
  <c r="AX18" i="47"/>
  <c r="AV18" i="47"/>
  <c r="AT18" i="47"/>
  <c r="AQ18" i="47"/>
  <c r="AP18" i="47"/>
  <c r="AN18" i="47"/>
  <c r="AL18" i="47"/>
  <c r="AJ18" i="47"/>
  <c r="AH18" i="47"/>
  <c r="AF18" i="47"/>
  <c r="AC18" i="47"/>
  <c r="AD18" i="47" s="1"/>
  <c r="AB18" i="47"/>
  <c r="Y18" i="47"/>
  <c r="X18" i="47"/>
  <c r="W18" i="47"/>
  <c r="BU16" i="47"/>
  <c r="BT16" i="47"/>
  <c r="BR16" i="47"/>
  <c r="BQ16" i="47"/>
  <c r="BO16" i="47"/>
  <c r="BN16" i="47"/>
  <c r="BM16" i="47"/>
  <c r="BI16" i="47"/>
  <c r="BG16" i="47"/>
  <c r="BE16" i="47"/>
  <c r="BC16" i="47"/>
  <c r="BA16" i="47"/>
  <c r="AY16" i="47"/>
  <c r="AW16" i="47"/>
  <c r="AU16" i="47"/>
  <c r="AS16" i="47"/>
  <c r="AQ16" i="47"/>
  <c r="AO16" i="47"/>
  <c r="AM16" i="47"/>
  <c r="AK16" i="47"/>
  <c r="AI16" i="47"/>
  <c r="AG16" i="47"/>
  <c r="AE16" i="47"/>
  <c r="AC16" i="47"/>
  <c r="R16" i="47"/>
  <c r="Q16" i="47"/>
  <c r="P16" i="47"/>
  <c r="O16" i="47"/>
  <c r="N16" i="47"/>
  <c r="M16" i="47"/>
  <c r="L16" i="47"/>
  <c r="K16" i="47"/>
  <c r="BJ15" i="47"/>
  <c r="BH15" i="47"/>
  <c r="BF15" i="47"/>
  <c r="BD15" i="47"/>
  <c r="BB15" i="47"/>
  <c r="AZ15" i="47"/>
  <c r="AX15" i="47"/>
  <c r="AV15" i="47"/>
  <c r="AT15" i="47"/>
  <c r="AR15" i="47"/>
  <c r="AP15" i="47"/>
  <c r="AN15" i="47"/>
  <c r="AL15" i="47"/>
  <c r="AJ15" i="47"/>
  <c r="AH15" i="47"/>
  <c r="AF15" i="47"/>
  <c r="AD15" i="47"/>
  <c r="BV14" i="47"/>
  <c r="BJ14" i="47"/>
  <c r="BH14" i="47"/>
  <c r="BF14" i="47"/>
  <c r="BD14" i="47"/>
  <c r="BB14" i="47"/>
  <c r="AZ14" i="47"/>
  <c r="AX14" i="47"/>
  <c r="AV14" i="47"/>
  <c r="AT14" i="47"/>
  <c r="AR14" i="47"/>
  <c r="AP14" i="47"/>
  <c r="AN14" i="47"/>
  <c r="AL14" i="47"/>
  <c r="AJ14" i="47"/>
  <c r="AH14" i="47"/>
  <c r="AF14" i="47"/>
  <c r="AD14" i="47"/>
  <c r="BV13" i="47"/>
  <c r="BJ13" i="47"/>
  <c r="BH13" i="47"/>
  <c r="BF13" i="47"/>
  <c r="BD13" i="47"/>
  <c r="BB13" i="47"/>
  <c r="AZ13" i="47"/>
  <c r="AX13" i="47"/>
  <c r="AV13" i="47"/>
  <c r="AT13" i="47"/>
  <c r="AR13" i="47"/>
  <c r="AP13" i="47"/>
  <c r="AN13" i="47"/>
  <c r="AL13" i="47"/>
  <c r="AJ13" i="47"/>
  <c r="AH13" i="47"/>
  <c r="AF13" i="47"/>
  <c r="AD13" i="47"/>
  <c r="BJ12" i="47"/>
  <c r="BH12" i="47"/>
  <c r="BF12" i="47"/>
  <c r="BD12" i="47"/>
  <c r="BB12" i="47"/>
  <c r="AZ12" i="47"/>
  <c r="AX12" i="47"/>
  <c r="AV12" i="47"/>
  <c r="AT12" i="47"/>
  <c r="AR12" i="47"/>
  <c r="AP12" i="47"/>
  <c r="AN12" i="47"/>
  <c r="AL12" i="47"/>
  <c r="AJ12" i="47"/>
  <c r="AH12" i="47"/>
  <c r="AF12" i="47"/>
  <c r="AD12" i="47"/>
  <c r="AA12" i="47"/>
  <c r="BV10" i="47"/>
  <c r="BK10" i="47"/>
  <c r="G10" i="47" s="1"/>
  <c r="E5" i="51" s="1"/>
  <c r="BJ10" i="47"/>
  <c r="BH10" i="47"/>
  <c r="BD10" i="47"/>
  <c r="BB10" i="47"/>
  <c r="AZ10" i="47"/>
  <c r="AX10" i="47"/>
  <c r="AV10" i="47"/>
  <c r="AT10" i="47"/>
  <c r="AP10" i="47"/>
  <c r="AN10" i="47"/>
  <c r="AL10" i="47"/>
  <c r="AJ10" i="47"/>
  <c r="AF10" i="47"/>
  <c r="AD10" i="47"/>
  <c r="AB10" i="47"/>
  <c r="BW9" i="47"/>
  <c r="BH4" i="47"/>
  <c r="BG4" i="47"/>
  <c r="BF4" i="47"/>
  <c r="BE4" i="47"/>
  <c r="BD4" i="47"/>
  <c r="BC4" i="47"/>
  <c r="BB4" i="47"/>
  <c r="BA4" i="47"/>
  <c r="AZ4" i="47"/>
  <c r="AY4" i="47"/>
  <c r="AX4" i="47"/>
  <c r="AW4" i="47"/>
  <c r="AV4" i="47"/>
  <c r="AU4" i="47"/>
  <c r="AT4" i="47"/>
  <c r="AS4" i="47"/>
  <c r="AR4" i="47"/>
  <c r="AQ4" i="47"/>
  <c r="AP4" i="47"/>
  <c r="AO4" i="47"/>
  <c r="AN4" i="47"/>
  <c r="AM4" i="47"/>
  <c r="AL4" i="47"/>
  <c r="AK4" i="47"/>
  <c r="AJ4" i="47"/>
  <c r="AI4" i="47"/>
  <c r="AH4" i="47"/>
  <c r="AG4" i="47"/>
  <c r="AF4" i="47"/>
  <c r="AE4" i="47"/>
  <c r="AD4" i="47"/>
  <c r="AC4" i="47"/>
  <c r="AB4" i="47"/>
  <c r="AE29" i="48"/>
  <c r="AC29" i="48"/>
  <c r="AA29" i="48"/>
  <c r="Y29" i="48"/>
  <c r="W29" i="48"/>
  <c r="U29" i="48"/>
  <c r="S29" i="48"/>
  <c r="Q29" i="48"/>
  <c r="O29" i="48"/>
  <c r="M29" i="48"/>
  <c r="K29" i="48"/>
  <c r="I29" i="48"/>
  <c r="E29" i="48"/>
  <c r="H21" i="48"/>
  <c r="G7" i="50"/>
  <c r="G6" i="50"/>
  <c r="G5" i="50"/>
  <c r="G4" i="50"/>
  <c r="G3" i="50"/>
  <c r="F3" i="50"/>
  <c r="Q25" i="20"/>
  <c r="Q24" i="20"/>
  <c r="Q20" i="20"/>
  <c r="Q19" i="20"/>
  <c r="P7" i="20"/>
  <c r="B23" i="54"/>
  <c r="B21" i="54"/>
  <c r="B20" i="54"/>
  <c r="A20" i="54"/>
  <c r="B19" i="54"/>
  <c r="A19" i="54"/>
  <c r="B18" i="54"/>
  <c r="A18" i="54"/>
  <c r="B17" i="54"/>
  <c r="A17" i="54"/>
  <c r="B16" i="54"/>
  <c r="A16" i="54"/>
  <c r="B15" i="54"/>
  <c r="A15" i="54"/>
  <c r="B14" i="54"/>
  <c r="A14" i="54"/>
  <c r="B13" i="54"/>
  <c r="A13" i="54"/>
  <c r="B12" i="54"/>
  <c r="A12" i="54"/>
  <c r="B11" i="54"/>
  <c r="A11" i="54"/>
  <c r="B10" i="54"/>
  <c r="A10" i="54"/>
  <c r="B9" i="54"/>
  <c r="A9" i="54"/>
  <c r="B8" i="54"/>
  <c r="A8" i="54"/>
  <c r="B7" i="54"/>
  <c r="A7" i="54"/>
  <c r="B6" i="54"/>
  <c r="A6" i="54"/>
  <c r="B5" i="54"/>
  <c r="A5" i="54"/>
  <c r="B4" i="54"/>
  <c r="A4" i="54"/>
  <c r="C3" i="54"/>
  <c r="B3" i="54"/>
  <c r="A3" i="54"/>
  <c r="V86" i="44" l="1"/>
  <c r="U86" i="44"/>
  <c r="Y86" i="44" s="1"/>
  <c r="S86" i="44"/>
  <c r="V41" i="43"/>
  <c r="U41" i="43"/>
  <c r="T41" i="43"/>
  <c r="S41" i="43"/>
  <c r="E83" i="51"/>
  <c r="T60" i="43"/>
  <c r="V60" i="43"/>
  <c r="U60" i="43"/>
  <c r="S60" i="43"/>
  <c r="E92" i="51"/>
  <c r="W14" i="42"/>
  <c r="V14" i="42"/>
  <c r="U14" i="42"/>
  <c r="T14" i="42"/>
  <c r="G40" i="41"/>
  <c r="L40" i="41" s="1"/>
  <c r="T84" i="24"/>
  <c r="U84" i="24"/>
  <c r="S84" i="24"/>
  <c r="R84" i="24"/>
  <c r="V84" i="24" s="1"/>
  <c r="S28" i="43"/>
  <c r="U28" i="43"/>
  <c r="T28" i="43"/>
  <c r="E104" i="51"/>
  <c r="T18" i="41"/>
  <c r="S18" i="41"/>
  <c r="R18" i="41"/>
  <c r="U18" i="41"/>
  <c r="E111" i="51"/>
  <c r="U35" i="41"/>
  <c r="T35" i="41"/>
  <c r="G42" i="24"/>
  <c r="T42" i="24"/>
  <c r="X42" i="24" s="1"/>
  <c r="AI30" i="47"/>
  <c r="R47" i="46"/>
  <c r="Q47" i="46"/>
  <c r="T47" i="46"/>
  <c r="S47" i="46"/>
  <c r="T25" i="43"/>
  <c r="U25" i="43"/>
  <c r="AU55" i="42"/>
  <c r="G16" i="41"/>
  <c r="L16" i="41" s="1"/>
  <c r="T16" i="41"/>
  <c r="S16" i="41"/>
  <c r="R16" i="41"/>
  <c r="U16" i="41"/>
  <c r="R19" i="41"/>
  <c r="U19" i="41"/>
  <c r="T19" i="41"/>
  <c r="S19" i="41"/>
  <c r="BK48" i="47"/>
  <c r="G48" i="47" s="1"/>
  <c r="T74" i="45"/>
  <c r="X74" i="45" s="1"/>
  <c r="BW30" i="44"/>
  <c r="BW34" i="44"/>
  <c r="AE44" i="25"/>
  <c r="T37" i="44"/>
  <c r="X37" i="44" s="1"/>
  <c r="U37" i="44"/>
  <c r="Y37" i="44" s="1"/>
  <c r="H37" i="44"/>
  <c r="J37" i="44" s="1"/>
  <c r="AF51" i="46"/>
  <c r="E35" i="46"/>
  <c r="Q35" i="46" s="1"/>
  <c r="U76" i="44"/>
  <c r="Y76" i="44" s="1"/>
  <c r="U37" i="42"/>
  <c r="BG55" i="42"/>
  <c r="BV71" i="24"/>
  <c r="BI15" i="42"/>
  <c r="AK19" i="42"/>
  <c r="AW19" i="42"/>
  <c r="BI19" i="42"/>
  <c r="AC17" i="45"/>
  <c r="AO17" i="45"/>
  <c r="BA17" i="45"/>
  <c r="BV51" i="24"/>
  <c r="BJ54" i="25"/>
  <c r="F54" i="25" s="1"/>
  <c r="AP51" i="46"/>
  <c r="R52" i="46"/>
  <c r="AX51" i="46"/>
  <c r="BF15" i="46"/>
  <c r="AT89" i="44"/>
  <c r="BF89" i="44"/>
  <c r="AB89" i="44"/>
  <c r="AN89" i="44"/>
  <c r="AC28" i="42"/>
  <c r="BS52" i="42"/>
  <c r="BS55" i="42" s="1"/>
  <c r="I37" i="42"/>
  <c r="X37" i="42" s="1"/>
  <c r="BQ46" i="41"/>
  <c r="BV19" i="24"/>
  <c r="BV20" i="24"/>
  <c r="BV21" i="24"/>
  <c r="BV36" i="24"/>
  <c r="BE54" i="25"/>
  <c r="V71" i="43"/>
  <c r="AB14" i="26"/>
  <c r="AE30" i="47"/>
  <c r="AM30" i="47"/>
  <c r="AZ25" i="47"/>
  <c r="AZ30" i="47" s="1"/>
  <c r="AB35" i="47"/>
  <c r="BK35" i="47"/>
  <c r="BW31" i="47"/>
  <c r="AR89" i="44"/>
  <c r="AH89" i="44"/>
  <c r="AJ18" i="26"/>
  <c r="AR14" i="26"/>
  <c r="AT14" i="26"/>
  <c r="BV30" i="47"/>
  <c r="AB12" i="46"/>
  <c r="AB15" i="46" s="1"/>
  <c r="BH15" i="46"/>
  <c r="BI20" i="46"/>
  <c r="E20" i="46" s="1"/>
  <c r="F20" i="46" s="1"/>
  <c r="Z53" i="46"/>
  <c r="AX53" i="46"/>
  <c r="AB62" i="46"/>
  <c r="BT62" i="46"/>
  <c r="R74" i="45"/>
  <c r="V74" i="45" s="1"/>
  <c r="X22" i="44"/>
  <c r="W28" i="43"/>
  <c r="E74" i="51"/>
  <c r="AG19" i="42"/>
  <c r="AS19" i="42"/>
  <c r="BE19" i="42"/>
  <c r="BV22" i="24"/>
  <c r="R73" i="24"/>
  <c r="V73" i="24" s="1"/>
  <c r="BW10" i="26"/>
  <c r="AH22" i="26"/>
  <c r="BW28" i="26"/>
  <c r="F103" i="51"/>
  <c r="P16" i="41"/>
  <c r="BU57" i="46"/>
  <c r="BU17" i="45"/>
  <c r="S74" i="45"/>
  <c r="W74" i="45" s="1"/>
  <c r="AA106" i="45"/>
  <c r="AM106" i="45"/>
  <c r="AD22" i="44"/>
  <c r="AZ89" i="44"/>
  <c r="AU15" i="42"/>
  <c r="BG15" i="42"/>
  <c r="AI19" i="42"/>
  <c r="AU19" i="42"/>
  <c r="BG19" i="42"/>
  <c r="AM28" i="42"/>
  <c r="AY28" i="42"/>
  <c r="BK28" i="42"/>
  <c r="BX42" i="42"/>
  <c r="AL46" i="41"/>
  <c r="Q22" i="39" s="1"/>
  <c r="G26" i="41"/>
  <c r="E108" i="51"/>
  <c r="S24" i="24"/>
  <c r="W24" i="24" s="1"/>
  <c r="BV26" i="24"/>
  <c r="G55" i="24"/>
  <c r="BV58" i="24"/>
  <c r="BV60" i="24"/>
  <c r="S73" i="24"/>
  <c r="W73" i="24" s="1"/>
  <c r="BJ16" i="25"/>
  <c r="BP20" i="26"/>
  <c r="BS20" i="26" s="1"/>
  <c r="BW20" i="26" s="1"/>
  <c r="F13" i="46"/>
  <c r="F28" i="51" s="1"/>
  <c r="AC20" i="41"/>
  <c r="BJ37" i="47"/>
  <c r="AR12" i="46"/>
  <c r="AN30" i="46"/>
  <c r="AT22" i="44"/>
  <c r="H19" i="43"/>
  <c r="F72" i="51" s="1"/>
  <c r="E72" i="51"/>
  <c r="BV17" i="25"/>
  <c r="BU58" i="46"/>
  <c r="AG41" i="45"/>
  <c r="AJ16" i="44"/>
  <c r="BB22" i="44"/>
  <c r="BB33" i="44" s="1"/>
  <c r="G18" i="24"/>
  <c r="H18" i="24" s="1"/>
  <c r="R56" i="24"/>
  <c r="V56" i="24" s="1"/>
  <c r="AI16" i="25"/>
  <c r="Y19" i="25"/>
  <c r="J20" i="26"/>
  <c r="AN16" i="47"/>
  <c r="AZ16" i="47"/>
  <c r="J46" i="47"/>
  <c r="BH20" i="46"/>
  <c r="BH25" i="46" s="1"/>
  <c r="W22" i="44"/>
  <c r="BD22" i="44"/>
  <c r="I45" i="42"/>
  <c r="E96" i="51"/>
  <c r="AK46" i="42"/>
  <c r="U56" i="24"/>
  <c r="Y56" i="24" s="1"/>
  <c r="AG55" i="25"/>
  <c r="AS55" i="25"/>
  <c r="BE55" i="25"/>
  <c r="AQ106" i="45"/>
  <c r="E43" i="51"/>
  <c r="BA106" i="45"/>
  <c r="I16" i="48"/>
  <c r="I17" i="48"/>
  <c r="I7" i="48"/>
  <c r="I15" i="48"/>
  <c r="I6" i="48"/>
  <c r="I14" i="48"/>
  <c r="I13" i="48"/>
  <c r="I9" i="48"/>
  <c r="BK12" i="47"/>
  <c r="G12" i="47" s="1"/>
  <c r="AA13" i="47"/>
  <c r="BK13" i="47" s="1"/>
  <c r="AB12" i="47"/>
  <c r="BL12" i="47" s="1"/>
  <c r="BP12" i="47" s="1"/>
  <c r="BS12" i="47" s="1"/>
  <c r="BW12" i="47" s="1"/>
  <c r="Q74" i="44"/>
  <c r="J74" i="44"/>
  <c r="T36" i="42"/>
  <c r="X36" i="42" s="1"/>
  <c r="I36" i="42"/>
  <c r="M36" i="42" s="1"/>
  <c r="I8" i="48"/>
  <c r="E18" i="51"/>
  <c r="S33" i="47"/>
  <c r="W33" i="47" s="1"/>
  <c r="S71" i="24"/>
  <c r="W71" i="24" s="1"/>
  <c r="U71" i="24"/>
  <c r="Y71" i="24" s="1"/>
  <c r="S20" i="44"/>
  <c r="T20" i="44"/>
  <c r="U38" i="42"/>
  <c r="I38" i="42"/>
  <c r="AA38" i="42" s="1"/>
  <c r="AK106" i="45"/>
  <c r="AY106" i="45"/>
  <c r="F80" i="45"/>
  <c r="F106" i="45" s="1"/>
  <c r="BJ106" i="45"/>
  <c r="BL54" i="44"/>
  <c r="H54" i="44" s="1"/>
  <c r="BL67" i="44"/>
  <c r="AD82" i="44"/>
  <c r="AP82" i="44"/>
  <c r="BB82" i="44"/>
  <c r="BL80" i="44"/>
  <c r="BM36" i="42"/>
  <c r="BR36" i="42" s="1"/>
  <c r="BT36" i="42" s="1"/>
  <c r="BX36" i="42" s="1"/>
  <c r="BX50" i="42"/>
  <c r="V16" i="41"/>
  <c r="BK43" i="41"/>
  <c r="BP43" i="41" s="1"/>
  <c r="BR43" i="41" s="1"/>
  <c r="BV43" i="41" s="1"/>
  <c r="BV27" i="24"/>
  <c r="AC16" i="25"/>
  <c r="AS16" i="25"/>
  <c r="G47" i="25"/>
  <c r="BW15" i="26"/>
  <c r="AB27" i="26"/>
  <c r="AR27" i="26"/>
  <c r="Z33" i="26"/>
  <c r="Z34" i="26" s="1"/>
  <c r="BV33" i="26"/>
  <c r="BV34" i="26" s="1"/>
  <c r="E103" i="51"/>
  <c r="BT39" i="47"/>
  <c r="BT50" i="47" s="1"/>
  <c r="BT53" i="47" s="1"/>
  <c r="BT55" i="47" s="1"/>
  <c r="BT56" i="47" s="1"/>
  <c r="AK50" i="47"/>
  <c r="AK56" i="47" s="1"/>
  <c r="O10" i="39" s="1"/>
  <c r="AH30" i="46"/>
  <c r="AZ30" i="46"/>
  <c r="AZ33" i="46" s="1"/>
  <c r="BU39" i="47"/>
  <c r="BU50" i="47" s="1"/>
  <c r="BU53" i="47" s="1"/>
  <c r="BU55" i="47" s="1"/>
  <c r="BU56" i="47" s="1"/>
  <c r="AD37" i="47"/>
  <c r="AP37" i="47"/>
  <c r="BB37" i="47"/>
  <c r="AM50" i="47"/>
  <c r="AL40" i="47"/>
  <c r="AL50" i="47" s="1"/>
  <c r="BK46" i="47"/>
  <c r="BT15" i="46"/>
  <c r="BJ49" i="46"/>
  <c r="BN49" i="46" s="1"/>
  <c r="BQ49" i="46" s="1"/>
  <c r="BU49" i="46" s="1"/>
  <c r="AL51" i="46"/>
  <c r="AL53" i="46" s="1"/>
  <c r="AG17" i="45"/>
  <c r="AS17" i="45"/>
  <c r="BE17" i="45"/>
  <c r="AC106" i="45"/>
  <c r="AO106" i="45"/>
  <c r="BC106" i="45"/>
  <c r="BL58" i="44"/>
  <c r="H78" i="44"/>
  <c r="BL87" i="44"/>
  <c r="I67" i="43"/>
  <c r="J67" i="43"/>
  <c r="AM19" i="42"/>
  <c r="AY19" i="42"/>
  <c r="BK19" i="42"/>
  <c r="BM26" i="42"/>
  <c r="BM27" i="42"/>
  <c r="AG49" i="42"/>
  <c r="AS49" i="42"/>
  <c r="AI55" i="42"/>
  <c r="X16" i="41"/>
  <c r="G43" i="41"/>
  <c r="L43" i="41" s="1"/>
  <c r="BV50" i="24"/>
  <c r="H22" i="25"/>
  <c r="G25" i="25"/>
  <c r="T47" i="25"/>
  <c r="X47" i="25" s="1"/>
  <c r="BB14" i="26"/>
  <c r="AD22" i="26"/>
  <c r="AT22" i="26"/>
  <c r="AD27" i="26"/>
  <c r="AT27" i="26"/>
  <c r="AX12" i="46"/>
  <c r="AX15" i="46" s="1"/>
  <c r="Q22" i="46"/>
  <c r="U22" i="46" s="1"/>
  <c r="AE17" i="45"/>
  <c r="W16" i="41"/>
  <c r="AF16" i="47"/>
  <c r="AR16" i="47"/>
  <c r="BD16" i="47"/>
  <c r="AD16" i="47"/>
  <c r="AP16" i="47"/>
  <c r="BB16" i="47"/>
  <c r="AF37" i="47"/>
  <c r="BD37" i="47"/>
  <c r="AV37" i="47"/>
  <c r="AE50" i="47"/>
  <c r="AE56" i="47" s="1"/>
  <c r="I10" i="39" s="1"/>
  <c r="S49" i="47"/>
  <c r="W49" i="47" s="1"/>
  <c r="P56" i="47"/>
  <c r="L10" i="20" s="1"/>
  <c r="BT25" i="46"/>
  <c r="AB30" i="46"/>
  <c r="AB33" i="46" s="1"/>
  <c r="AT30" i="46"/>
  <c r="AT33" i="46" s="1"/>
  <c r="AJ43" i="46"/>
  <c r="AV43" i="46"/>
  <c r="AF62" i="46"/>
  <c r="AR62" i="46"/>
  <c r="BD62" i="46"/>
  <c r="AI17" i="45"/>
  <c r="AU17" i="45"/>
  <c r="BG17" i="45"/>
  <c r="AE106" i="45"/>
  <c r="AS106" i="45"/>
  <c r="BE106" i="45"/>
  <c r="AF22" i="44"/>
  <c r="AF33" i="44" s="1"/>
  <c r="AH40" i="44"/>
  <c r="AT40" i="44"/>
  <c r="AL82" i="44"/>
  <c r="AX82" i="44"/>
  <c r="BJ82" i="44"/>
  <c r="H73" i="44"/>
  <c r="Q73" i="44" s="1"/>
  <c r="AL89" i="44"/>
  <c r="AF89" i="44"/>
  <c r="BM17" i="42"/>
  <c r="AC19" i="42"/>
  <c r="AO19" i="42"/>
  <c r="BA19" i="42"/>
  <c r="BL19" i="42"/>
  <c r="Q56" i="42"/>
  <c r="L21" i="20" s="1"/>
  <c r="Y16" i="41"/>
  <c r="AQ20" i="41"/>
  <c r="AG37" i="41"/>
  <c r="AS37" i="41"/>
  <c r="R39" i="41"/>
  <c r="V39" i="41" s="1"/>
  <c r="R43" i="41"/>
  <c r="V43" i="41" s="1"/>
  <c r="G20" i="24"/>
  <c r="I20" i="24" s="1"/>
  <c r="BV39" i="24"/>
  <c r="BR67" i="24"/>
  <c r="R19" i="25"/>
  <c r="V19" i="25" s="1"/>
  <c r="AA44" i="25"/>
  <c r="BJ14" i="26"/>
  <c r="AB18" i="26"/>
  <c r="BB27" i="26"/>
  <c r="F69" i="52"/>
  <c r="H6" i="53" s="1"/>
  <c r="AB36" i="47"/>
  <c r="BL36" i="47" s="1"/>
  <c r="AV25" i="46"/>
  <c r="AF23" i="47"/>
  <c r="AN23" i="47"/>
  <c r="AY50" i="47"/>
  <c r="AY56" i="47" s="1"/>
  <c r="AC10" i="39" s="1"/>
  <c r="M66" i="46"/>
  <c r="K11" i="20" s="1"/>
  <c r="AQ53" i="46"/>
  <c r="AK17" i="45"/>
  <c r="AW17" i="45"/>
  <c r="F12" i="45"/>
  <c r="BJ17" i="45"/>
  <c r="BI17" i="45"/>
  <c r="AG106" i="45"/>
  <c r="AU106" i="45"/>
  <c r="BG106" i="45"/>
  <c r="G12" i="44"/>
  <c r="H12" i="44" s="1"/>
  <c r="BQ12" i="44" s="1"/>
  <c r="BQ13" i="44" s="1"/>
  <c r="BQ16" i="44" s="1"/>
  <c r="AL16" i="44"/>
  <c r="AX16" i="44"/>
  <c r="AP22" i="44"/>
  <c r="AP33" i="44" s="1"/>
  <c r="AF40" i="44"/>
  <c r="BW41" i="44"/>
  <c r="BL76" i="44"/>
  <c r="BL91" i="44"/>
  <c r="H91" i="44" s="1"/>
  <c r="Y91" i="44" s="1"/>
  <c r="BW65" i="43"/>
  <c r="AE19" i="42"/>
  <c r="AQ19" i="42"/>
  <c r="BC19" i="42"/>
  <c r="BW19" i="42"/>
  <c r="BU52" i="42"/>
  <c r="BU55" i="42" s="1"/>
  <c r="AW41" i="42"/>
  <c r="BI41" i="42"/>
  <c r="AI46" i="42"/>
  <c r="AI49" i="42" s="1"/>
  <c r="AB55" i="42"/>
  <c r="T43" i="41"/>
  <c r="X43" i="41" s="1"/>
  <c r="BV14" i="24"/>
  <c r="G37" i="24"/>
  <c r="H37" i="24" s="1"/>
  <c r="BV47" i="24"/>
  <c r="BV52" i="24"/>
  <c r="BV65" i="24"/>
  <c r="BV87" i="24"/>
  <c r="R20" i="25"/>
  <c r="AJ14" i="26"/>
  <c r="BB18" i="26"/>
  <c r="F39" i="46"/>
  <c r="G39" i="46" s="1"/>
  <c r="AQ50" i="47"/>
  <c r="BF33" i="46"/>
  <c r="AD43" i="46"/>
  <c r="AP43" i="46"/>
  <c r="BB43" i="46"/>
  <c r="Q52" i="46"/>
  <c r="AJ62" i="46"/>
  <c r="AV62" i="46"/>
  <c r="AA17" i="45"/>
  <c r="AM17" i="45"/>
  <c r="AY17" i="45"/>
  <c r="AI106" i="45"/>
  <c r="AW106" i="45"/>
  <c r="BI106" i="45"/>
  <c r="Z40" i="44"/>
  <c r="AL40" i="44"/>
  <c r="AX40" i="44"/>
  <c r="BJ40" i="44"/>
  <c r="BL57" i="44"/>
  <c r="H57" i="44" s="1"/>
  <c r="BM12" i="42"/>
  <c r="BP12" i="42" s="1"/>
  <c r="BT12" i="42" s="1"/>
  <c r="BX12" i="42" s="1"/>
  <c r="BX20" i="42"/>
  <c r="BV37" i="24"/>
  <c r="BT68" i="24"/>
  <c r="BU68" i="24" s="1"/>
  <c r="G70" i="24"/>
  <c r="AS30" i="25"/>
  <c r="BV31" i="25"/>
  <c r="AQ44" i="25"/>
  <c r="BV14" i="26"/>
  <c r="AJ22" i="26"/>
  <c r="BW24" i="26"/>
  <c r="AF34" i="26"/>
  <c r="BB34" i="26"/>
  <c r="BH46" i="41"/>
  <c r="AM22" i="39" s="1"/>
  <c r="BE37" i="41"/>
  <c r="AG55" i="42"/>
  <c r="AS55" i="42"/>
  <c r="AS41" i="42"/>
  <c r="BE41" i="42"/>
  <c r="BC41" i="42"/>
  <c r="AQ41" i="42"/>
  <c r="AG41" i="42"/>
  <c r="AE41" i="42"/>
  <c r="G13" i="44"/>
  <c r="BF30" i="47"/>
  <c r="BD30" i="47"/>
  <c r="T31" i="46"/>
  <c r="X31" i="46" s="1"/>
  <c r="R31" i="46"/>
  <c r="V31" i="46" s="1"/>
  <c r="Q31" i="46"/>
  <c r="U31" i="46" s="1"/>
  <c r="G48" i="46"/>
  <c r="H48" i="46"/>
  <c r="E29" i="51"/>
  <c r="R14" i="46"/>
  <c r="Q14" i="46"/>
  <c r="S40" i="46"/>
  <c r="W40" i="46" s="1"/>
  <c r="F40" i="46"/>
  <c r="T40" i="46"/>
  <c r="X40" i="46" s="1"/>
  <c r="R40" i="46"/>
  <c r="V40" i="46" s="1"/>
  <c r="Q40" i="46"/>
  <c r="U40" i="46" s="1"/>
  <c r="R50" i="46"/>
  <c r="V50" i="46" s="1"/>
  <c r="F50" i="46"/>
  <c r="S41" i="46"/>
  <c r="W41" i="46" s="1"/>
  <c r="R41" i="46"/>
  <c r="V41" i="46" s="1"/>
  <c r="Q41" i="46"/>
  <c r="U41" i="46" s="1"/>
  <c r="AD25" i="46"/>
  <c r="S45" i="46"/>
  <c r="T45" i="46"/>
  <c r="F45" i="46"/>
  <c r="S20" i="46"/>
  <c r="S46" i="46"/>
  <c r="W46" i="46" s="1"/>
  <c r="R46" i="46"/>
  <c r="V46" i="46" s="1"/>
  <c r="Q46" i="46"/>
  <c r="U46" i="46" s="1"/>
  <c r="F46" i="46"/>
  <c r="T46" i="46"/>
  <c r="X46" i="46" s="1"/>
  <c r="U31" i="42"/>
  <c r="T31" i="42"/>
  <c r="T39" i="24"/>
  <c r="X39" i="24" s="1"/>
  <c r="G39" i="24"/>
  <c r="S76" i="24"/>
  <c r="W76" i="24" s="1"/>
  <c r="R76" i="24"/>
  <c r="V76" i="24" s="1"/>
  <c r="G76" i="24"/>
  <c r="S52" i="25"/>
  <c r="W52" i="25" s="1"/>
  <c r="G52" i="25"/>
  <c r="H52" i="25" s="1"/>
  <c r="T54" i="25"/>
  <c r="X54" i="25" s="1"/>
  <c r="U54" i="25"/>
  <c r="Y54" i="25" s="1"/>
  <c r="G54" i="25"/>
  <c r="I3" i="48"/>
  <c r="I11" i="48"/>
  <c r="I18" i="48"/>
  <c r="AH16" i="47"/>
  <c r="AT16" i="47"/>
  <c r="BF16" i="47"/>
  <c r="BK25" i="47"/>
  <c r="G25" i="47" s="1"/>
  <c r="AS30" i="47"/>
  <c r="T33" i="47"/>
  <c r="X33" i="47" s="1"/>
  <c r="BH37" i="47"/>
  <c r="N56" i="47"/>
  <c r="J10" i="20" s="1"/>
  <c r="AI50" i="47"/>
  <c r="AI56" i="47" s="1"/>
  <c r="M10" i="39" s="1"/>
  <c r="BA50" i="47"/>
  <c r="AF40" i="47"/>
  <c r="AF50" i="47" s="1"/>
  <c r="BL41" i="47"/>
  <c r="BP41" i="47" s="1"/>
  <c r="BS41" i="47" s="1"/>
  <c r="BW41" i="47" s="1"/>
  <c r="W46" i="47"/>
  <c r="BL49" i="47"/>
  <c r="BP49" i="47" s="1"/>
  <c r="BS49" i="47" s="1"/>
  <c r="BW49" i="47" s="1"/>
  <c r="BD55" i="47"/>
  <c r="AF15" i="46"/>
  <c r="AY66" i="46"/>
  <c r="AE11" i="39" s="1"/>
  <c r="N66" i="46"/>
  <c r="L11" i="20" s="1"/>
  <c r="AP25" i="46"/>
  <c r="BB25" i="46"/>
  <c r="Y25" i="46"/>
  <c r="R22" i="46"/>
  <c r="V22" i="46" s="1"/>
  <c r="Q28" i="46"/>
  <c r="U28" i="46" s="1"/>
  <c r="Q29" i="46"/>
  <c r="U29" i="46" s="1"/>
  <c r="Q32" i="46"/>
  <c r="U32" i="46" s="1"/>
  <c r="F35" i="46"/>
  <c r="T39" i="46"/>
  <c r="Q42" i="46"/>
  <c r="U42" i="46" s="1"/>
  <c r="AN53" i="46"/>
  <c r="BF53" i="46"/>
  <c r="AJ51" i="46"/>
  <c r="U52" i="44"/>
  <c r="Y52" i="44" s="1"/>
  <c r="H52" i="44"/>
  <c r="I52" i="44" s="1"/>
  <c r="S71" i="44"/>
  <c r="W71" i="44" s="1"/>
  <c r="H71" i="44"/>
  <c r="J71" i="44" s="1"/>
  <c r="AC15" i="42"/>
  <c r="AO15" i="42"/>
  <c r="W39" i="42"/>
  <c r="AA39" i="42" s="1"/>
  <c r="U39" i="42"/>
  <c r="Y39" i="42" s="1"/>
  <c r="BJ55" i="46"/>
  <c r="BJ56" i="46" s="1"/>
  <c r="BI62" i="46"/>
  <c r="I5" i="48"/>
  <c r="I12" i="48"/>
  <c r="I19" i="48"/>
  <c r="AJ16" i="47"/>
  <c r="AV16" i="47"/>
  <c r="BH16" i="47"/>
  <c r="BJ30" i="47"/>
  <c r="BV39" i="47"/>
  <c r="BV50" i="47" s="1"/>
  <c r="BV53" i="47" s="1"/>
  <c r="BV55" i="47" s="1"/>
  <c r="BC30" i="47"/>
  <c r="BO56" i="47"/>
  <c r="C4" i="52" s="1"/>
  <c r="V33" i="47"/>
  <c r="Z33" i="47" s="1"/>
  <c r="AL37" i="47"/>
  <c r="AX37" i="47"/>
  <c r="BL35" i="47"/>
  <c r="BQ35" i="47" s="1"/>
  <c r="BS35" i="47" s="1"/>
  <c r="BW35" i="47" s="1"/>
  <c r="BK37" i="47"/>
  <c r="AJ37" i="47"/>
  <c r="O56" i="47"/>
  <c r="K10" i="20" s="1"/>
  <c r="BE50" i="47"/>
  <c r="BE56" i="47" s="1"/>
  <c r="AI10" i="39" s="1"/>
  <c r="BL43" i="47"/>
  <c r="BP43" i="47" s="1"/>
  <c r="BS43" i="47" s="1"/>
  <c r="BW43" i="47" s="1"/>
  <c r="X46" i="47"/>
  <c r="AP55" i="47"/>
  <c r="AR15" i="46"/>
  <c r="I66" i="46"/>
  <c r="G11" i="20" s="1"/>
  <c r="O66" i="46"/>
  <c r="M11" i="20" s="1"/>
  <c r="E16" i="46"/>
  <c r="T16" i="46" s="1"/>
  <c r="X16" i="46" s="1"/>
  <c r="X17" i="46" s="1"/>
  <c r="AF25" i="46"/>
  <c r="AK25" i="46"/>
  <c r="AK66" i="46" s="1"/>
  <c r="Q11" i="39" s="1"/>
  <c r="AU25" i="46"/>
  <c r="AD33" i="46"/>
  <c r="AP33" i="46"/>
  <c r="BB33" i="46"/>
  <c r="R28" i="46"/>
  <c r="V28" i="46" s="1"/>
  <c r="R29" i="46"/>
  <c r="V29" i="46" s="1"/>
  <c r="R32" i="46"/>
  <c r="V32" i="46" s="1"/>
  <c r="BJ32" i="46"/>
  <c r="BN32" i="46" s="1"/>
  <c r="BQ32" i="46" s="1"/>
  <c r="Z43" i="46"/>
  <c r="AL43" i="46"/>
  <c r="AX43" i="46"/>
  <c r="BI43" i="46"/>
  <c r="R42" i="46"/>
  <c r="V42" i="46" s="1"/>
  <c r="BJ42" i="46"/>
  <c r="BN42" i="46" s="1"/>
  <c r="BQ42" i="46" s="1"/>
  <c r="BU42" i="46" s="1"/>
  <c r="AH53" i="46"/>
  <c r="AC53" i="46"/>
  <c r="AD51" i="46"/>
  <c r="BB51" i="46"/>
  <c r="BA53" i="46"/>
  <c r="AD62" i="46"/>
  <c r="AP62" i="46"/>
  <c r="BB62" i="46"/>
  <c r="AF64" i="44"/>
  <c r="AD89" i="44"/>
  <c r="AP89" i="44"/>
  <c r="BB89" i="44"/>
  <c r="V85" i="44"/>
  <c r="U85" i="44"/>
  <c r="T85" i="44"/>
  <c r="W25" i="42"/>
  <c r="U25" i="42"/>
  <c r="I25" i="42"/>
  <c r="N25" i="42" s="1"/>
  <c r="BF49" i="42"/>
  <c r="BF56" i="42" s="1"/>
  <c r="AI21" i="39" s="1"/>
  <c r="BG46" i="42"/>
  <c r="BG49" i="42" s="1"/>
  <c r="AL16" i="47"/>
  <c r="AX16" i="47"/>
  <c r="BW32" i="47"/>
  <c r="AN37" i="47"/>
  <c r="AZ37" i="47"/>
  <c r="AS50" i="47"/>
  <c r="BK40" i="47"/>
  <c r="M56" i="47"/>
  <c r="I10" i="20" s="1"/>
  <c r="Z15" i="46"/>
  <c r="BD15" i="46"/>
  <c r="J66" i="46"/>
  <c r="H11" i="20" s="1"/>
  <c r="P66" i="46"/>
  <c r="N11" i="20" s="1"/>
  <c r="BA25" i="46"/>
  <c r="BJ28" i="46"/>
  <c r="BN28" i="46" s="1"/>
  <c r="BQ28" i="46" s="1"/>
  <c r="BU28" i="46" s="1"/>
  <c r="BJ29" i="46"/>
  <c r="BN29" i="46" s="1"/>
  <c r="BQ29" i="46" s="1"/>
  <c r="BU29" i="46" s="1"/>
  <c r="BI30" i="46"/>
  <c r="E30" i="46" s="1"/>
  <c r="BJ31" i="46"/>
  <c r="BN31" i="46" s="1"/>
  <c r="BQ31" i="46" s="1"/>
  <c r="BU31" i="46" s="1"/>
  <c r="T35" i="46"/>
  <c r="AB43" i="46"/>
  <c r="AN43" i="46"/>
  <c r="AZ43" i="46"/>
  <c r="BJ40" i="46"/>
  <c r="BN40" i="46" s="1"/>
  <c r="BQ40" i="46" s="1"/>
  <c r="BU40" i="46" s="1"/>
  <c r="AH43" i="46"/>
  <c r="AT43" i="46"/>
  <c r="BF43" i="46"/>
  <c r="AF53" i="46"/>
  <c r="AR53" i="46"/>
  <c r="BC53" i="46"/>
  <c r="BD51" i="46"/>
  <c r="BD53" i="46" s="1"/>
  <c r="BJ59" i="46"/>
  <c r="S67" i="44"/>
  <c r="H67" i="44"/>
  <c r="J67" i="44" s="1"/>
  <c r="I40" i="42"/>
  <c r="T40" i="42"/>
  <c r="X40" i="42" s="1"/>
  <c r="AZ55" i="42"/>
  <c r="AZ56" i="42" s="1"/>
  <c r="AC21" i="39" s="1"/>
  <c r="BA53" i="42"/>
  <c r="BA55" i="42" s="1"/>
  <c r="S14" i="25"/>
  <c r="S16" i="25" s="1"/>
  <c r="R14" i="25"/>
  <c r="V14" i="25" s="1"/>
  <c r="S29" i="25"/>
  <c r="W29" i="25" s="1"/>
  <c r="G29" i="25"/>
  <c r="BL10" i="47"/>
  <c r="H10" i="47" s="1"/>
  <c r="F5" i="51" s="1"/>
  <c r="BK23" i="47"/>
  <c r="G23" i="47" s="1"/>
  <c r="E12" i="51" s="1"/>
  <c r="AU50" i="47"/>
  <c r="BK47" i="47"/>
  <c r="G47" i="47" s="1"/>
  <c r="T47" i="47" s="1"/>
  <c r="X47" i="47" s="1"/>
  <c r="AD55" i="47"/>
  <c r="AR55" i="47"/>
  <c r="K66" i="46"/>
  <c r="I11" i="20" s="1"/>
  <c r="AH33" i="46"/>
  <c r="AN33" i="46"/>
  <c r="BJ41" i="46"/>
  <c r="BN41" i="46" s="1"/>
  <c r="BQ41" i="46" s="1"/>
  <c r="BU41" i="46" s="1"/>
  <c r="E43" i="46"/>
  <c r="BU54" i="46"/>
  <c r="AD49" i="42"/>
  <c r="AD56" i="42" s="1"/>
  <c r="G21" i="39" s="1"/>
  <c r="AE46" i="42"/>
  <c r="AE49" i="42" s="1"/>
  <c r="G44" i="24"/>
  <c r="T44" i="24"/>
  <c r="X44" i="24" s="1"/>
  <c r="T59" i="24"/>
  <c r="X59" i="24" s="1"/>
  <c r="G59" i="24"/>
  <c r="R59" i="24"/>
  <c r="V59" i="24" s="1"/>
  <c r="BH55" i="47"/>
  <c r="AC25" i="46"/>
  <c r="BJ35" i="46"/>
  <c r="BV16" i="47"/>
  <c r="AQ30" i="47"/>
  <c r="BL29" i="47"/>
  <c r="BP29" i="47" s="1"/>
  <c r="BS29" i="47" s="1"/>
  <c r="BW29" i="47" s="1"/>
  <c r="AR37" i="47"/>
  <c r="AG50" i="47"/>
  <c r="BL45" i="47"/>
  <c r="H45" i="47" s="1"/>
  <c r="AF55" i="47"/>
  <c r="BF55" i="47"/>
  <c r="BN56" i="47"/>
  <c r="L66" i="46"/>
  <c r="J11" i="20" s="1"/>
  <c r="AI25" i="46"/>
  <c r="BG33" i="46"/>
  <c r="BG66" i="46" s="1"/>
  <c r="AM11" i="39" s="1"/>
  <c r="AF43" i="46"/>
  <c r="AR43" i="46"/>
  <c r="BD43" i="46"/>
  <c r="S58" i="44"/>
  <c r="W58" i="44" s="1"/>
  <c r="H58" i="44"/>
  <c r="J62" i="44"/>
  <c r="I62" i="44"/>
  <c r="AK41" i="42"/>
  <c r="G44" i="41"/>
  <c r="H44" i="41" s="1"/>
  <c r="U44" i="41"/>
  <c r="Y44" i="41" s="1"/>
  <c r="T44" i="41"/>
  <c r="X44" i="41" s="1"/>
  <c r="S29" i="24"/>
  <c r="W29" i="24" s="1"/>
  <c r="G29" i="24"/>
  <c r="U20" i="44"/>
  <c r="BL26" i="44"/>
  <c r="H26" i="44" s="1"/>
  <c r="M26" i="44" s="1"/>
  <c r="BL35" i="44"/>
  <c r="AT64" i="44"/>
  <c r="BF64" i="44"/>
  <c r="BL66" i="44"/>
  <c r="AN82" i="44"/>
  <c r="AZ82" i="44"/>
  <c r="BL70" i="44"/>
  <c r="BL71" i="44"/>
  <c r="BL75" i="44"/>
  <c r="G89" i="44"/>
  <c r="E65" i="51" s="1"/>
  <c r="BD89" i="44"/>
  <c r="BJ89" i="44"/>
  <c r="T88" i="44"/>
  <c r="X88" i="44" s="1"/>
  <c r="BA15" i="42"/>
  <c r="BL28" i="42"/>
  <c r="BM35" i="42"/>
  <c r="BM44" i="42"/>
  <c r="BP44" i="42" s="1"/>
  <c r="BT44" i="42" s="1"/>
  <c r="BX44" i="42" s="1"/>
  <c r="BM47" i="42"/>
  <c r="BM52" i="42"/>
  <c r="BR52" i="42" s="1"/>
  <c r="BT52" i="42" s="1"/>
  <c r="AK45" i="41"/>
  <c r="AW45" i="41"/>
  <c r="BI45" i="41"/>
  <c r="W31" i="24"/>
  <c r="G31" i="24"/>
  <c r="T54" i="24"/>
  <c r="X54" i="24" s="1"/>
  <c r="S54" i="24"/>
  <c r="W54" i="24" s="1"/>
  <c r="R54" i="24"/>
  <c r="V54" i="24" s="1"/>
  <c r="T81" i="24"/>
  <c r="G81" i="24"/>
  <c r="S81" i="24"/>
  <c r="W81" i="24" s="1"/>
  <c r="J31" i="26"/>
  <c r="I31" i="26"/>
  <c r="BQ31" i="26"/>
  <c r="BS31" i="26" s="1"/>
  <c r="BW31" i="26" s="1"/>
  <c r="AJ34" i="26"/>
  <c r="BJ16" i="44"/>
  <c r="BD40" i="44"/>
  <c r="AH64" i="44"/>
  <c r="AV64" i="44"/>
  <c r="BH64" i="44"/>
  <c r="AJ64" i="44"/>
  <c r="BL44" i="44"/>
  <c r="BL52" i="44"/>
  <c r="BL61" i="44"/>
  <c r="BL73" i="44"/>
  <c r="BL74" i="44"/>
  <c r="BL79" i="44"/>
  <c r="N90" i="44"/>
  <c r="AQ15" i="42"/>
  <c r="BC15" i="42"/>
  <c r="BM21" i="42"/>
  <c r="AQ28" i="42"/>
  <c r="BC28" i="42"/>
  <c r="BM22" i="42"/>
  <c r="AO28" i="42"/>
  <c r="BA28" i="42"/>
  <c r="BS56" i="42"/>
  <c r="H41" i="42"/>
  <c r="AI41" i="42"/>
  <c r="AU41" i="42"/>
  <c r="BG41" i="42"/>
  <c r="BM31" i="42"/>
  <c r="BQ31" i="42" s="1"/>
  <c r="BM33" i="42"/>
  <c r="BM40" i="42"/>
  <c r="BM48" i="42"/>
  <c r="AF49" i="42"/>
  <c r="AK53" i="42"/>
  <c r="AK55" i="42" s="1"/>
  <c r="AW37" i="41"/>
  <c r="BI37" i="41"/>
  <c r="AY45" i="41"/>
  <c r="I36" i="24"/>
  <c r="H36" i="24"/>
  <c r="T86" i="24"/>
  <c r="X86" i="24" s="1"/>
  <c r="U86" i="24"/>
  <c r="Y86" i="24" s="1"/>
  <c r="G86" i="24"/>
  <c r="I86" i="24" s="1"/>
  <c r="AA16" i="25"/>
  <c r="BK12" i="25"/>
  <c r="BE16" i="25"/>
  <c r="BK47" i="25"/>
  <c r="T50" i="25"/>
  <c r="S50" i="25"/>
  <c r="R50" i="25"/>
  <c r="V50" i="25" s="1"/>
  <c r="BJ50" i="46"/>
  <c r="BN50" i="46" s="1"/>
  <c r="BQ50" i="46" s="1"/>
  <c r="BU50" i="46" s="1"/>
  <c r="AH62" i="46"/>
  <c r="AT62" i="46"/>
  <c r="BF62" i="46"/>
  <c r="AN62" i="46"/>
  <c r="AZ62" i="46"/>
  <c r="BJ61" i="46"/>
  <c r="F61" i="46" s="1"/>
  <c r="G61" i="46" s="1"/>
  <c r="AV16" i="44"/>
  <c r="BH16" i="44"/>
  <c r="BL14" i="44"/>
  <c r="BL21" i="44"/>
  <c r="BL29" i="44"/>
  <c r="BT29" i="44" s="1"/>
  <c r="BV29" i="44" s="1"/>
  <c r="BK31" i="44"/>
  <c r="G31" i="44" s="1"/>
  <c r="V31" i="44" s="1"/>
  <c r="BL37" i="44"/>
  <c r="AR40" i="44"/>
  <c r="BF40" i="44"/>
  <c r="BL39" i="44"/>
  <c r="H39" i="44" s="1"/>
  <c r="BL50" i="44"/>
  <c r="H50" i="44" s="1"/>
  <c r="BL56" i="44"/>
  <c r="AF82" i="44"/>
  <c r="AR82" i="44"/>
  <c r="BD82" i="44"/>
  <c r="I74" i="44"/>
  <c r="BL77" i="44"/>
  <c r="AJ89" i="44"/>
  <c r="AV89" i="44"/>
  <c r="BH89" i="44"/>
  <c r="AY15" i="42"/>
  <c r="BK15" i="42"/>
  <c r="AG28" i="42"/>
  <c r="AS28" i="42"/>
  <c r="BE28" i="42"/>
  <c r="BW28" i="42"/>
  <c r="BM25" i="42"/>
  <c r="U30" i="42"/>
  <c r="Y30" i="42" s="1"/>
  <c r="BM37" i="42"/>
  <c r="BR37" i="42" s="1"/>
  <c r="BT37" i="42" s="1"/>
  <c r="BX37" i="42" s="1"/>
  <c r="BM39" i="42"/>
  <c r="I39" i="42" s="1"/>
  <c r="BA46" i="42"/>
  <c r="BA49" i="42" s="1"/>
  <c r="AN49" i="42"/>
  <c r="AN56" i="42" s="1"/>
  <c r="Q21" i="39" s="1"/>
  <c r="Q23" i="39" s="1"/>
  <c r="AM55" i="42"/>
  <c r="AY55" i="42"/>
  <c r="BK55" i="42"/>
  <c r="BC53" i="42"/>
  <c r="BC55" i="42" s="1"/>
  <c r="AF55" i="42"/>
  <c r="BK30" i="41"/>
  <c r="G30" i="41" s="1"/>
  <c r="BI25" i="24"/>
  <c r="BV15" i="24"/>
  <c r="T40" i="24"/>
  <c r="X40" i="24" s="1"/>
  <c r="BV64" i="24"/>
  <c r="U70" i="24"/>
  <c r="Y70" i="24" s="1"/>
  <c r="BV80" i="24"/>
  <c r="R46" i="25"/>
  <c r="V46" i="25" s="1"/>
  <c r="U46" i="25"/>
  <c r="Y46" i="25" s="1"/>
  <c r="T46" i="25"/>
  <c r="X46" i="25" s="1"/>
  <c r="G46" i="25"/>
  <c r="BS46" i="25" s="1"/>
  <c r="BU46" i="25" s="1"/>
  <c r="BV46" i="25" s="1"/>
  <c r="G22" i="26"/>
  <c r="U21" i="26"/>
  <c r="U22" i="26" s="1"/>
  <c r="AP16" i="44"/>
  <c r="BB16" i="44"/>
  <c r="BL30" i="44"/>
  <c r="BL36" i="44"/>
  <c r="AL64" i="44"/>
  <c r="BL60" i="44"/>
  <c r="BL63" i="44"/>
  <c r="H63" i="44" s="1"/>
  <c r="BI90" i="44"/>
  <c r="BI92" i="44" s="1"/>
  <c r="AM16" i="39" s="1"/>
  <c r="AH82" i="44"/>
  <c r="AT82" i="44"/>
  <c r="BF82" i="44"/>
  <c r="BL81" i="44"/>
  <c r="H81" i="44" s="1"/>
  <c r="P90" i="44"/>
  <c r="AX89" i="44"/>
  <c r="BL88" i="44"/>
  <c r="BM18" i="42"/>
  <c r="BV52" i="42"/>
  <c r="BV55" i="42" s="1"/>
  <c r="BV56" i="42" s="1"/>
  <c r="V30" i="42"/>
  <c r="Z30" i="42" s="1"/>
  <c r="AM41" i="42"/>
  <c r="AY41" i="42"/>
  <c r="BK41" i="42"/>
  <c r="BI49" i="42"/>
  <c r="AC55" i="42"/>
  <c r="BM54" i="42"/>
  <c r="BR54" i="42" s="1"/>
  <c r="BT54" i="42" s="1"/>
  <c r="BX54" i="42" s="1"/>
  <c r="AL55" i="42"/>
  <c r="S17" i="41"/>
  <c r="W17" i="41" s="1"/>
  <c r="G17" i="41"/>
  <c r="BN17" i="41" s="1"/>
  <c r="S31" i="41"/>
  <c r="W31" i="41" s="1"/>
  <c r="U31" i="41"/>
  <c r="Y31" i="41" s="1"/>
  <c r="BV18" i="24"/>
  <c r="S23" i="24"/>
  <c r="W23" i="24" s="1"/>
  <c r="G23" i="24"/>
  <c r="T38" i="24"/>
  <c r="X38" i="24" s="1"/>
  <c r="G38" i="24"/>
  <c r="BS48" i="24"/>
  <c r="S69" i="24"/>
  <c r="W69" i="24" s="1"/>
  <c r="U69" i="24"/>
  <c r="Y69" i="24" s="1"/>
  <c r="BV78" i="24"/>
  <c r="R81" i="24"/>
  <c r="V81" i="24" s="1"/>
  <c r="R85" i="24"/>
  <c r="V85" i="24" s="1"/>
  <c r="T85" i="24"/>
  <c r="X85" i="24" s="1"/>
  <c r="S85" i="24"/>
  <c r="W85" i="24" s="1"/>
  <c r="F30" i="25"/>
  <c r="BC30" i="25"/>
  <c r="BK24" i="25"/>
  <c r="V24" i="26"/>
  <c r="Z24" i="26" s="1"/>
  <c r="H24" i="26"/>
  <c r="S101" i="45"/>
  <c r="W101" i="45" s="1"/>
  <c r="G101" i="45"/>
  <c r="F48" i="51" s="1"/>
  <c r="BW10" i="44"/>
  <c r="AF16" i="44"/>
  <c r="AR16" i="44"/>
  <c r="BD16" i="44"/>
  <c r="BF22" i="44"/>
  <c r="BL23" i="44"/>
  <c r="BU23" i="44" s="1"/>
  <c r="BV23" i="44" s="1"/>
  <c r="BW23" i="44" s="1"/>
  <c r="BL24" i="44"/>
  <c r="BU24" i="44" s="1"/>
  <c r="BV24" i="44" s="1"/>
  <c r="BW24" i="44" s="1"/>
  <c r="T30" i="44"/>
  <c r="X30" i="44" s="1"/>
  <c r="BF31" i="44"/>
  <c r="S35" i="44"/>
  <c r="AJ40" i="44"/>
  <c r="AP64" i="44"/>
  <c r="BB64" i="44"/>
  <c r="H43" i="44"/>
  <c r="BL45" i="44"/>
  <c r="H45" i="44" s="1"/>
  <c r="BL49" i="44"/>
  <c r="BL55" i="44"/>
  <c r="H55" i="44" s="1"/>
  <c r="BL59" i="44"/>
  <c r="H59" i="44" s="1"/>
  <c r="J59" i="44" s="1"/>
  <c r="BL62" i="44"/>
  <c r="AJ82" i="44"/>
  <c r="AV82" i="44"/>
  <c r="BH82" i="44"/>
  <c r="BL69" i="44"/>
  <c r="H69" i="44" s="1"/>
  <c r="BL72" i="44"/>
  <c r="I78" i="44"/>
  <c r="BK89" i="44"/>
  <c r="K90" i="44"/>
  <c r="AZ22" i="43"/>
  <c r="BM11" i="42"/>
  <c r="BW15" i="42"/>
  <c r="AK28" i="42"/>
  <c r="AW28" i="42"/>
  <c r="BI28" i="42"/>
  <c r="AI28" i="42"/>
  <c r="AU28" i="42"/>
  <c r="BG28" i="42"/>
  <c r="BM23" i="42"/>
  <c r="I23" i="42" s="1"/>
  <c r="BT29" i="42"/>
  <c r="BX29" i="42" s="1"/>
  <c r="AC41" i="42"/>
  <c r="AO41" i="42"/>
  <c r="BA41" i="42"/>
  <c r="BW41" i="42"/>
  <c r="BM32" i="42"/>
  <c r="I32" i="42" s="1"/>
  <c r="BM34" i="42"/>
  <c r="V36" i="42"/>
  <c r="Z36" i="42" s="1"/>
  <c r="V38" i="42"/>
  <c r="AM49" i="42"/>
  <c r="AO53" i="42"/>
  <c r="AO55" i="42" s="1"/>
  <c r="AR55" i="42"/>
  <c r="AI20" i="41"/>
  <c r="BG20" i="41"/>
  <c r="S22" i="24"/>
  <c r="W22" i="24" s="1"/>
  <c r="G22" i="24"/>
  <c r="G32" i="24"/>
  <c r="S32" i="24"/>
  <c r="W32" i="24" s="1"/>
  <c r="I40" i="24"/>
  <c r="H40" i="24"/>
  <c r="T45" i="24"/>
  <c r="X45" i="24" s="1"/>
  <c r="G45" i="24"/>
  <c r="U53" i="24"/>
  <c r="Y53" i="24" s="1"/>
  <c r="G53" i="24"/>
  <c r="I55" i="24"/>
  <c r="H55" i="24"/>
  <c r="U81" i="24"/>
  <c r="Y81" i="24" s="1"/>
  <c r="BV84" i="24"/>
  <c r="T19" i="25"/>
  <c r="X19" i="25" s="1"/>
  <c r="S19" i="25"/>
  <c r="W19" i="25" s="1"/>
  <c r="BK23" i="25"/>
  <c r="AJ27" i="26"/>
  <c r="AS20" i="41"/>
  <c r="BE20" i="41"/>
  <c r="BK21" i="41"/>
  <c r="AU37" i="41"/>
  <c r="BG37" i="41"/>
  <c r="BK23" i="41"/>
  <c r="BP23" i="41" s="1"/>
  <c r="E64" i="52" s="1"/>
  <c r="H64" i="52" s="1"/>
  <c r="BK33" i="41"/>
  <c r="U40" i="41"/>
  <c r="Y40" i="41" s="1"/>
  <c r="BV13" i="24"/>
  <c r="AD89" i="24"/>
  <c r="I26" i="39" s="1"/>
  <c r="AV89" i="24"/>
  <c r="AA26" i="39" s="1"/>
  <c r="BV59" i="24"/>
  <c r="G73" i="24"/>
  <c r="I73" i="24" s="1"/>
  <c r="AM16" i="25"/>
  <c r="BK17" i="25"/>
  <c r="AU19" i="25"/>
  <c r="AU30" i="25" s="1"/>
  <c r="BS21" i="25"/>
  <c r="BS30" i="25" s="1"/>
  <c r="BV22" i="25"/>
  <c r="BK25" i="25"/>
  <c r="BV32" i="25"/>
  <c r="BK38" i="25"/>
  <c r="BK41" i="25"/>
  <c r="AO44" i="25"/>
  <c r="BK46" i="25"/>
  <c r="U47" i="25"/>
  <c r="Y47" i="25" s="1"/>
  <c r="AE55" i="25"/>
  <c r="AQ55" i="25"/>
  <c r="BC55" i="25"/>
  <c r="AA55" i="25"/>
  <c r="AY55" i="25"/>
  <c r="BJ55" i="25"/>
  <c r="BW11" i="26"/>
  <c r="AD18" i="26"/>
  <c r="AF18" i="26"/>
  <c r="BL20" i="26"/>
  <c r="AZ35" i="26"/>
  <c r="AD28" i="39" s="1"/>
  <c r="AN27" i="26"/>
  <c r="BV27" i="26"/>
  <c r="BL29" i="26"/>
  <c r="BL33" i="26"/>
  <c r="AT34" i="26"/>
  <c r="AA30" i="47"/>
  <c r="BI20" i="41"/>
  <c r="BK25" i="41"/>
  <c r="BK27" i="41"/>
  <c r="BK28" i="41"/>
  <c r="BN28" i="41" s="1"/>
  <c r="BK34" i="41"/>
  <c r="G34" i="41" s="1"/>
  <c r="I34" i="41" s="1"/>
  <c r="AP46" i="41"/>
  <c r="U22" i="39" s="1"/>
  <c r="BS46" i="41"/>
  <c r="BK38" i="41"/>
  <c r="AE45" i="41"/>
  <c r="AQ45" i="41"/>
  <c r="BK44" i="41"/>
  <c r="BO44" i="41" s="1"/>
  <c r="BR54" i="24"/>
  <c r="BV76" i="24"/>
  <c r="BI88" i="24"/>
  <c r="BG16" i="25"/>
  <c r="BK14" i="25"/>
  <c r="AC19" i="25"/>
  <c r="BI19" i="25"/>
  <c r="BI30" i="25" s="1"/>
  <c r="G23" i="25"/>
  <c r="BV33" i="25"/>
  <c r="BK39" i="25"/>
  <c r="BK42" i="25"/>
  <c r="AY44" i="25"/>
  <c r="BK53" i="25"/>
  <c r="W33" i="26"/>
  <c r="W34" i="26" s="1"/>
  <c r="AH34" i="26"/>
  <c r="BJ34" i="26"/>
  <c r="BK13" i="41"/>
  <c r="AM20" i="41"/>
  <c r="AY20" i="41"/>
  <c r="BK17" i="41"/>
  <c r="AC37" i="41"/>
  <c r="G23" i="41"/>
  <c r="F107" i="51" s="1"/>
  <c r="BK29" i="41"/>
  <c r="BN29" i="41" s="1"/>
  <c r="BR29" i="41" s="1"/>
  <c r="BV29" i="41" s="1"/>
  <c r="BK31" i="41"/>
  <c r="BN31" i="41" s="1"/>
  <c r="BR31" i="41" s="1"/>
  <c r="BV31" i="41" s="1"/>
  <c r="AS45" i="41"/>
  <c r="BE45" i="41"/>
  <c r="R40" i="41"/>
  <c r="V40" i="41" s="1"/>
  <c r="BK40" i="41"/>
  <c r="BP40" i="41" s="1"/>
  <c r="BK42" i="41"/>
  <c r="I14" i="24"/>
  <c r="BV17" i="24"/>
  <c r="BJ48" i="24"/>
  <c r="R55" i="24"/>
  <c r="V55" i="24" s="1"/>
  <c r="U73" i="24"/>
  <c r="Y73" i="24" s="1"/>
  <c r="BV74" i="24"/>
  <c r="BA16" i="25"/>
  <c r="BK13" i="25"/>
  <c r="G13" i="25" s="1"/>
  <c r="AE19" i="25"/>
  <c r="AE30" i="25" s="1"/>
  <c r="BF56" i="25"/>
  <c r="AK27" i="39" s="1"/>
  <c r="BK34" i="25"/>
  <c r="AW48" i="25"/>
  <c r="BI44" i="25"/>
  <c r="BI48" i="25" s="1"/>
  <c r="AK55" i="25"/>
  <c r="AW55" i="25"/>
  <c r="BI55" i="25"/>
  <c r="AN14" i="26"/>
  <c r="BV18" i="26"/>
  <c r="W22" i="26"/>
  <c r="BL24" i="26"/>
  <c r="BL25" i="26"/>
  <c r="AF27" i="26"/>
  <c r="BL30" i="26"/>
  <c r="BL31" i="26"/>
  <c r="BK34" i="26"/>
  <c r="AO20" i="41"/>
  <c r="BA20" i="41"/>
  <c r="BK24" i="41"/>
  <c r="G24" i="41" s="1"/>
  <c r="H24" i="41" s="1"/>
  <c r="BU46" i="41"/>
  <c r="AI45" i="41"/>
  <c r="AU45" i="41"/>
  <c r="BG45" i="41"/>
  <c r="BV23" i="24"/>
  <c r="BV44" i="24"/>
  <c r="BQ89" i="24"/>
  <c r="F70" i="52" s="1"/>
  <c r="BV49" i="24"/>
  <c r="BV57" i="24"/>
  <c r="BU61" i="24"/>
  <c r="AG16" i="25"/>
  <c r="BC16" i="25"/>
  <c r="AK19" i="25"/>
  <c r="AK30" i="25" s="1"/>
  <c r="BK20" i="25"/>
  <c r="BK22" i="25"/>
  <c r="BK27" i="25"/>
  <c r="BK37" i="25"/>
  <c r="BK40" i="25"/>
  <c r="BK43" i="25"/>
  <c r="AM55" i="25"/>
  <c r="BK54" i="25"/>
  <c r="AF14" i="26"/>
  <c r="AR18" i="26"/>
  <c r="BW19" i="26"/>
  <c r="X22" i="26"/>
  <c r="BL23" i="26"/>
  <c r="W27" i="26"/>
  <c r="AH27" i="26"/>
  <c r="BJ27" i="26"/>
  <c r="BW29" i="26"/>
  <c r="Y34" i="26"/>
  <c r="AN34" i="26"/>
  <c r="BK29" i="25"/>
  <c r="BJ48" i="25"/>
  <c r="BK45" i="25"/>
  <c r="BK51" i="25"/>
  <c r="BK52" i="25"/>
  <c r="Z22" i="26"/>
  <c r="AN22" i="26"/>
  <c r="X27" i="26"/>
  <c r="BK27" i="26"/>
  <c r="BR35" i="26"/>
  <c r="F72" i="52" s="1"/>
  <c r="AJ49" i="43"/>
  <c r="BH49" i="43"/>
  <c r="AD14" i="43"/>
  <c r="AP14" i="43"/>
  <c r="BB14" i="43"/>
  <c r="AH14" i="43"/>
  <c r="AT14" i="43"/>
  <c r="BF14" i="43"/>
  <c r="AD22" i="43"/>
  <c r="BV55" i="45"/>
  <c r="AG22" i="45"/>
  <c r="AS22" i="45"/>
  <c r="BE22" i="45"/>
  <c r="BK89" i="45"/>
  <c r="AW22" i="45"/>
  <c r="BI22" i="45"/>
  <c r="BV24" i="45"/>
  <c r="BG41" i="45"/>
  <c r="G77" i="45"/>
  <c r="L77" i="45" s="1"/>
  <c r="G92" i="45"/>
  <c r="BP92" i="45" s="1"/>
  <c r="BR92" i="45" s="1"/>
  <c r="BV92" i="45" s="1"/>
  <c r="F50" i="52"/>
  <c r="H5" i="53" s="1"/>
  <c r="AO41" i="45"/>
  <c r="R77" i="45"/>
  <c r="V77" i="45" s="1"/>
  <c r="T77" i="45"/>
  <c r="X77" i="45" s="1"/>
  <c r="S85" i="45"/>
  <c r="R85" i="45"/>
  <c r="AQ22" i="45"/>
  <c r="BC22" i="45"/>
  <c r="BE41" i="45"/>
  <c r="AG78" i="45"/>
  <c r="AS78" i="45"/>
  <c r="BE78" i="45"/>
  <c r="BK12" i="45"/>
  <c r="AE41" i="45"/>
  <c r="BK94" i="45"/>
  <c r="AA41" i="45"/>
  <c r="AI41" i="45"/>
  <c r="R84" i="45"/>
  <c r="BA41" i="45"/>
  <c r="AK54" i="45"/>
  <c r="AW54" i="45"/>
  <c r="R16" i="45"/>
  <c r="T16" i="45"/>
  <c r="S16" i="45"/>
  <c r="U16" i="45"/>
  <c r="R86" i="45"/>
  <c r="S86" i="45"/>
  <c r="T20" i="45"/>
  <c r="X20" i="45" s="1"/>
  <c r="S20" i="45"/>
  <c r="W20" i="45" s="1"/>
  <c r="R20" i="45"/>
  <c r="V20" i="45" s="1"/>
  <c r="U20" i="45"/>
  <c r="Y20" i="45" s="1"/>
  <c r="U25" i="45"/>
  <c r="T25" i="45"/>
  <c r="S15" i="45"/>
  <c r="BK30" i="45"/>
  <c r="G30" i="45" s="1"/>
  <c r="W30" i="45" s="1"/>
  <c r="T32" i="45"/>
  <c r="BK55" i="45"/>
  <c r="AK78" i="45"/>
  <c r="AW78" i="45"/>
  <c r="BI78" i="45"/>
  <c r="BK64" i="45"/>
  <c r="G64" i="45" s="1"/>
  <c r="Q64" i="45" s="1"/>
  <c r="BK66" i="45"/>
  <c r="G66" i="45" s="1"/>
  <c r="BK68" i="45"/>
  <c r="G68" i="45" s="1"/>
  <c r="BO68" i="45" s="1"/>
  <c r="G7" i="52"/>
  <c r="T15" i="45"/>
  <c r="T30" i="45"/>
  <c r="AQ41" i="45"/>
  <c r="BC41" i="45"/>
  <c r="BA54" i="45"/>
  <c r="BK50" i="45"/>
  <c r="G50" i="45" s="1"/>
  <c r="BN50" i="45" s="1"/>
  <c r="BR50" i="45" s="1"/>
  <c r="BV50" i="45" s="1"/>
  <c r="AA78" i="45"/>
  <c r="AM78" i="45"/>
  <c r="AY78" i="45"/>
  <c r="BK58" i="45"/>
  <c r="G58" i="45" s="1"/>
  <c r="X58" i="45" s="1"/>
  <c r="BK62" i="45"/>
  <c r="BK73" i="45"/>
  <c r="BK88" i="45"/>
  <c r="G88" i="45" s="1"/>
  <c r="M88" i="45" s="1"/>
  <c r="R90" i="45"/>
  <c r="BK90" i="45"/>
  <c r="G90" i="45" s="1"/>
  <c r="V90" i="45" s="1"/>
  <c r="BK92" i="45"/>
  <c r="S98" i="45"/>
  <c r="W98" i="45" s="1"/>
  <c r="N107" i="45"/>
  <c r="N108" i="45" s="1"/>
  <c r="K15" i="20" s="1"/>
  <c r="BK15" i="45"/>
  <c r="G15" i="45" s="1"/>
  <c r="X15" i="45" s="1"/>
  <c r="AM22" i="45"/>
  <c r="AY22" i="45"/>
  <c r="AU22" i="45"/>
  <c r="BK87" i="45"/>
  <c r="G87" i="45" s="1"/>
  <c r="M87" i="45" s="1"/>
  <c r="BK93" i="45"/>
  <c r="O107" i="45"/>
  <c r="O108" i="45" s="1"/>
  <c r="L15" i="20" s="1"/>
  <c r="AA22" i="45"/>
  <c r="BJ22" i="45"/>
  <c r="AI22" i="45"/>
  <c r="BK20" i="45"/>
  <c r="G20" i="45" s="1"/>
  <c r="I20" i="45" s="1"/>
  <c r="AS36" i="45"/>
  <c r="S31" i="45"/>
  <c r="BK33" i="45"/>
  <c r="G33" i="45" s="1"/>
  <c r="BN33" i="45" s="1"/>
  <c r="BR33" i="45" s="1"/>
  <c r="BV33" i="45" s="1"/>
  <c r="AW41" i="45"/>
  <c r="R42" i="45"/>
  <c r="V42" i="45" s="1"/>
  <c r="AG54" i="45"/>
  <c r="AS54" i="45"/>
  <c r="BE54" i="45"/>
  <c r="AE54" i="45"/>
  <c r="AQ54" i="45"/>
  <c r="BC54" i="45"/>
  <c r="BK46" i="45"/>
  <c r="AO78" i="45"/>
  <c r="BA78" i="45"/>
  <c r="BK59" i="45"/>
  <c r="G59" i="45" s="1"/>
  <c r="BN59" i="45" s="1"/>
  <c r="BR59" i="45" s="1"/>
  <c r="BV59" i="45" s="1"/>
  <c r="BK61" i="45"/>
  <c r="BK63" i="45"/>
  <c r="BK72" i="45"/>
  <c r="AC22" i="45"/>
  <c r="AO22" i="45"/>
  <c r="BA22" i="45"/>
  <c r="AK22" i="45"/>
  <c r="T31" i="45"/>
  <c r="BK32" i="45"/>
  <c r="G32" i="45" s="1"/>
  <c r="W32" i="45" s="1"/>
  <c r="AY41" i="45"/>
  <c r="AI54" i="45"/>
  <c r="AU54" i="45"/>
  <c r="BG54" i="45"/>
  <c r="AC54" i="45"/>
  <c r="AO54" i="45"/>
  <c r="BK45" i="45"/>
  <c r="BK47" i="45"/>
  <c r="G47" i="45" s="1"/>
  <c r="M47" i="45" s="1"/>
  <c r="BK53" i="45"/>
  <c r="G53" i="45" s="1"/>
  <c r="M53" i="45" s="1"/>
  <c r="AE78" i="45"/>
  <c r="AQ78" i="45"/>
  <c r="BC78" i="45"/>
  <c r="AC78" i="45"/>
  <c r="BK60" i="45"/>
  <c r="G60" i="45" s="1"/>
  <c r="M60" i="45" s="1"/>
  <c r="BK70" i="45"/>
  <c r="BU107" i="45"/>
  <c r="BK85" i="45"/>
  <c r="G85" i="45" s="1"/>
  <c r="BP85" i="45" s="1"/>
  <c r="BR85" i="45" s="1"/>
  <c r="BV85" i="45" s="1"/>
  <c r="BI36" i="45"/>
  <c r="BK39" i="45"/>
  <c r="G39" i="45" s="1"/>
  <c r="V39" i="45" s="1"/>
  <c r="BK43" i="45"/>
  <c r="BK48" i="45"/>
  <c r="G48" i="45" s="1"/>
  <c r="X48" i="45" s="1"/>
  <c r="BK52" i="45"/>
  <c r="G52" i="45" s="1"/>
  <c r="M52" i="45" s="1"/>
  <c r="BK69" i="45"/>
  <c r="BK71" i="45"/>
  <c r="G71" i="45" s="1"/>
  <c r="X71" i="45" s="1"/>
  <c r="BK75" i="45"/>
  <c r="G75" i="45" s="1"/>
  <c r="Y75" i="45" s="1"/>
  <c r="S77" i="45"/>
  <c r="W77" i="45" s="1"/>
  <c r="BK84" i="45"/>
  <c r="G84" i="45" s="1"/>
  <c r="W84" i="45" s="1"/>
  <c r="BK97" i="45"/>
  <c r="BQ107" i="45"/>
  <c r="BQ108" i="45" s="1"/>
  <c r="R15" i="45"/>
  <c r="BK16" i="45"/>
  <c r="G16" i="45" s="1"/>
  <c r="I16" i="45" s="1"/>
  <c r="BA36" i="45"/>
  <c r="BK34" i="45"/>
  <c r="G34" i="45" s="1"/>
  <c r="Y34" i="45" s="1"/>
  <c r="AA54" i="45"/>
  <c r="AM54" i="45"/>
  <c r="AY54" i="45"/>
  <c r="BJ54" i="45"/>
  <c r="BK44" i="45"/>
  <c r="BK49" i="45"/>
  <c r="G49" i="45" s="1"/>
  <c r="BN49" i="45" s="1"/>
  <c r="BR49" i="45" s="1"/>
  <c r="BV49" i="45" s="1"/>
  <c r="BK51" i="45"/>
  <c r="G51" i="45" s="1"/>
  <c r="BN51" i="45" s="1"/>
  <c r="BR51" i="45" s="1"/>
  <c r="BV51" i="45" s="1"/>
  <c r="AI78" i="45"/>
  <c r="AU78" i="45"/>
  <c r="BG78" i="45"/>
  <c r="BK65" i="45"/>
  <c r="G65" i="45" s="1"/>
  <c r="Q65" i="45" s="1"/>
  <c r="BK67" i="45"/>
  <c r="G67" i="45" s="1"/>
  <c r="Q67" i="45" s="1"/>
  <c r="BK74" i="45"/>
  <c r="G74" i="45" s="1"/>
  <c r="M74" i="45" s="1"/>
  <c r="BK76" i="45"/>
  <c r="BP76" i="45" s="1"/>
  <c r="BK83" i="45"/>
  <c r="G83" i="45" s="1"/>
  <c r="M83" i="45" s="1"/>
  <c r="S88" i="45"/>
  <c r="BK91" i="45"/>
  <c r="G91" i="45" s="1"/>
  <c r="W91" i="45" s="1"/>
  <c r="BK98" i="45"/>
  <c r="BK99" i="45"/>
  <c r="BK81" i="45"/>
  <c r="G81" i="45" s="1"/>
  <c r="V81" i="45" s="1"/>
  <c r="BK100" i="45"/>
  <c r="E53" i="51"/>
  <c r="G100" i="45"/>
  <c r="BP100" i="45" s="1"/>
  <c r="BK101" i="45"/>
  <c r="BK95" i="45"/>
  <c r="AZ64" i="44"/>
  <c r="BL47" i="44"/>
  <c r="BK64" i="44"/>
  <c r="AN64" i="44"/>
  <c r="H53" i="44"/>
  <c r="J53" i="44" s="1"/>
  <c r="S46" i="44"/>
  <c r="W46" i="44" s="1"/>
  <c r="T46" i="44"/>
  <c r="X46" i="44" s="1"/>
  <c r="H46" i="44"/>
  <c r="BL46" i="44"/>
  <c r="AB64" i="44"/>
  <c r="BL48" i="44"/>
  <c r="AZ40" i="44"/>
  <c r="AV40" i="44"/>
  <c r="BK40" i="44"/>
  <c r="BL38" i="44"/>
  <c r="H38" i="44" s="1"/>
  <c r="BQ38" i="44" s="1"/>
  <c r="BS38" i="44" s="1"/>
  <c r="BW38" i="44" s="1"/>
  <c r="AN40" i="44"/>
  <c r="BG90" i="44"/>
  <c r="BC90" i="44"/>
  <c r="BC92" i="44" s="1"/>
  <c r="AG16" i="39" s="1"/>
  <c r="BA90" i="44"/>
  <c r="BA92" i="44" s="1"/>
  <c r="AE16" i="39" s="1"/>
  <c r="AU90" i="44"/>
  <c r="AU92" i="44" s="1"/>
  <c r="Y16" i="39" s="1"/>
  <c r="AQ90" i="44"/>
  <c r="AQ92" i="44" s="1"/>
  <c r="U16" i="39" s="1"/>
  <c r="AO90" i="44"/>
  <c r="AO92" i="44" s="1"/>
  <c r="S16" i="39" s="1"/>
  <c r="AK90" i="44"/>
  <c r="AK92" i="44" s="1"/>
  <c r="O16" i="39" s="1"/>
  <c r="AI90" i="44"/>
  <c r="AI92" i="44" s="1"/>
  <c r="M16" i="39" s="1"/>
  <c r="AE90" i="44"/>
  <c r="AE92" i="44" s="1"/>
  <c r="I16" i="39" s="1"/>
  <c r="AC90" i="44"/>
  <c r="AC92" i="44" s="1"/>
  <c r="G16" i="39" s="1"/>
  <c r="BJ33" i="44"/>
  <c r="BE36" i="45"/>
  <c r="AK36" i="45"/>
  <c r="BK29" i="45"/>
  <c r="AR107" i="45"/>
  <c r="AR108" i="45" s="1"/>
  <c r="W15" i="39" s="1"/>
  <c r="T52" i="43"/>
  <c r="S52" i="43"/>
  <c r="BQ67" i="43"/>
  <c r="E47" i="52" s="1"/>
  <c r="Y67" i="43"/>
  <c r="AR14" i="43"/>
  <c r="BB22" i="43"/>
  <c r="BB42" i="43"/>
  <c r="BV49" i="43"/>
  <c r="AF49" i="43"/>
  <c r="BL33" i="43"/>
  <c r="Z71" i="43"/>
  <c r="AF14" i="43"/>
  <c r="BB49" i="43"/>
  <c r="H57" i="43"/>
  <c r="M57" i="43" s="1"/>
  <c r="M64" i="43" s="1"/>
  <c r="BB71" i="43"/>
  <c r="H58" i="43"/>
  <c r="J58" i="43" s="1"/>
  <c r="BK14" i="43"/>
  <c r="AB64" i="43"/>
  <c r="V57" i="43"/>
  <c r="Z57" i="43" s="1"/>
  <c r="AR71" i="43"/>
  <c r="T12" i="43"/>
  <c r="V12" i="43"/>
  <c r="V44" i="43"/>
  <c r="Z44" i="43" s="1"/>
  <c r="T44" i="43"/>
  <c r="X44" i="43" s="1"/>
  <c r="U44" i="43"/>
  <c r="Y44" i="43" s="1"/>
  <c r="S59" i="43"/>
  <c r="V59" i="43"/>
  <c r="U38" i="43"/>
  <c r="V38" i="43"/>
  <c r="E78" i="51"/>
  <c r="S34" i="43"/>
  <c r="W34" i="43" s="1"/>
  <c r="S35" i="43"/>
  <c r="W35" i="43" s="1"/>
  <c r="U35" i="43"/>
  <c r="Y35" i="43" s="1"/>
  <c r="T57" i="43"/>
  <c r="X57" i="43" s="1"/>
  <c r="BL62" i="43"/>
  <c r="H62" i="43" s="1"/>
  <c r="BQ62" i="43" s="1"/>
  <c r="U69" i="43"/>
  <c r="AH71" i="43"/>
  <c r="AJ14" i="43"/>
  <c r="AV14" i="43"/>
  <c r="BH14" i="43"/>
  <c r="AL14" i="43"/>
  <c r="BL13" i="43"/>
  <c r="H13" i="43" s="1"/>
  <c r="Z13" i="43" s="1"/>
  <c r="BD22" i="43"/>
  <c r="T21" i="43"/>
  <c r="X21" i="43" s="1"/>
  <c r="BL21" i="43"/>
  <c r="H21" i="43" s="1"/>
  <c r="M21" i="43" s="1"/>
  <c r="M22" i="43" s="1"/>
  <c r="BK42" i="43"/>
  <c r="BL26" i="43"/>
  <c r="BL27" i="43"/>
  <c r="H27" i="43" s="1"/>
  <c r="M27" i="43" s="1"/>
  <c r="BL28" i="43"/>
  <c r="H28" i="43" s="1"/>
  <c r="BQ28" i="43" s="1"/>
  <c r="S36" i="43"/>
  <c r="W36" i="43" s="1"/>
  <c r="AB49" i="43"/>
  <c r="AN49" i="43"/>
  <c r="BD49" i="43"/>
  <c r="BK49" i="43"/>
  <c r="U57" i="43"/>
  <c r="Y57" i="43" s="1"/>
  <c r="BL60" i="43"/>
  <c r="BL61" i="43"/>
  <c r="H61" i="43" s="1"/>
  <c r="I61" i="43" s="1"/>
  <c r="BR66" i="43"/>
  <c r="AL22" i="43"/>
  <c r="V11" i="43"/>
  <c r="BD14" i="43"/>
  <c r="AB22" i="43"/>
  <c r="AP22" i="43"/>
  <c r="BF22" i="43"/>
  <c r="AD42" i="43"/>
  <c r="AP42" i="43"/>
  <c r="BV42" i="43"/>
  <c r="BL34" i="43"/>
  <c r="T36" i="43"/>
  <c r="X36" i="43" s="1"/>
  <c r="BL37" i="43"/>
  <c r="H37" i="43" s="1"/>
  <c r="BQ37" i="43" s="1"/>
  <c r="BS37" i="43" s="1"/>
  <c r="BW37" i="43" s="1"/>
  <c r="BF49" i="43"/>
  <c r="AD49" i="43"/>
  <c r="AP49" i="43"/>
  <c r="BL48" i="43"/>
  <c r="H48" i="43" s="1"/>
  <c r="J48" i="43" s="1"/>
  <c r="AH64" i="43"/>
  <c r="AT64" i="43"/>
  <c r="BF64" i="43"/>
  <c r="BL24" i="43"/>
  <c r="AL49" i="43"/>
  <c r="BL45" i="43"/>
  <c r="H45" i="43" s="1"/>
  <c r="J45" i="43" s="1"/>
  <c r="AZ14" i="43"/>
  <c r="AF22" i="43"/>
  <c r="AR22" i="43"/>
  <c r="BL19" i="43"/>
  <c r="AR42" i="43"/>
  <c r="BL25" i="43"/>
  <c r="BL36" i="43"/>
  <c r="H36" i="43" s="1"/>
  <c r="Q36" i="43" s="1"/>
  <c r="BL40" i="43"/>
  <c r="H40" i="43" s="1"/>
  <c r="I40" i="43" s="1"/>
  <c r="AR49" i="43"/>
  <c r="BL46" i="43"/>
  <c r="H46" i="43" s="1"/>
  <c r="BQ46" i="43" s="1"/>
  <c r="BS46" i="43" s="1"/>
  <c r="BW46" i="43" s="1"/>
  <c r="AD64" i="43"/>
  <c r="AP64" i="43"/>
  <c r="BB64" i="43"/>
  <c r="BL70" i="43"/>
  <c r="BP70" i="43" s="1"/>
  <c r="BL30" i="43"/>
  <c r="H30" i="43" s="1"/>
  <c r="K30" i="43" s="1"/>
  <c r="BL35" i="43"/>
  <c r="H35" i="43" s="1"/>
  <c r="BQ35" i="43" s="1"/>
  <c r="BS35" i="43" s="1"/>
  <c r="BW35" i="43" s="1"/>
  <c r="BL38" i="43"/>
  <c r="H38" i="43" s="1"/>
  <c r="Z38" i="43" s="1"/>
  <c r="BL39" i="43"/>
  <c r="H39" i="43" s="1"/>
  <c r="Q39" i="43" s="1"/>
  <c r="AH49" i="43"/>
  <c r="AV49" i="43"/>
  <c r="BJ49" i="43"/>
  <c r="AT49" i="43"/>
  <c r="AL64" i="43"/>
  <c r="AX64" i="43"/>
  <c r="BL54" i="43"/>
  <c r="BT67" i="43"/>
  <c r="BT68" i="43" s="1"/>
  <c r="AP71" i="43"/>
  <c r="AH22" i="43"/>
  <c r="AT22" i="43"/>
  <c r="BL17" i="43"/>
  <c r="H17" i="43" s="1"/>
  <c r="BH22" i="43"/>
  <c r="BL20" i="43"/>
  <c r="BL12" i="43"/>
  <c r="H12" i="43" s="1"/>
  <c r="I12" i="43" s="1"/>
  <c r="AX14" i="43"/>
  <c r="BK22" i="43"/>
  <c r="AJ22" i="43"/>
  <c r="AV22" i="43"/>
  <c r="BL18" i="43"/>
  <c r="H18" i="43" s="1"/>
  <c r="J18" i="43" s="1"/>
  <c r="AX22" i="43"/>
  <c r="G42" i="43"/>
  <c r="AJ42" i="43"/>
  <c r="AV42" i="43"/>
  <c r="BL31" i="43"/>
  <c r="BL32" i="43"/>
  <c r="AX49" i="43"/>
  <c r="BL47" i="43"/>
  <c r="H47" i="43" s="1"/>
  <c r="BQ47" i="43" s="1"/>
  <c r="BS47" i="43" s="1"/>
  <c r="BW47" i="43" s="1"/>
  <c r="BL51" i="43"/>
  <c r="BL53" i="43"/>
  <c r="BL57" i="43"/>
  <c r="BL59" i="43"/>
  <c r="H59" i="43" s="1"/>
  <c r="K59" i="43" s="1"/>
  <c r="BK71" i="43"/>
  <c r="AN64" i="43"/>
  <c r="H60" i="43"/>
  <c r="J60" i="43" s="1"/>
  <c r="W60" i="43"/>
  <c r="X60" i="43"/>
  <c r="Z60" i="43"/>
  <c r="AY37" i="41"/>
  <c r="AM37" i="41"/>
  <c r="AK37" i="41"/>
  <c r="H26" i="41"/>
  <c r="BJ37" i="41"/>
  <c r="BA37" i="41"/>
  <c r="AI37" i="41"/>
  <c r="BK26" i="41"/>
  <c r="BB46" i="41"/>
  <c r="AG22" i="39" s="1"/>
  <c r="AU20" i="41"/>
  <c r="K16" i="41"/>
  <c r="N16" i="41"/>
  <c r="BK16" i="41"/>
  <c r="AE20" i="41"/>
  <c r="H16" i="41"/>
  <c r="O16" i="41"/>
  <c r="BP16" i="41"/>
  <c r="J16" i="41"/>
  <c r="Q16" i="41"/>
  <c r="AW15" i="42"/>
  <c r="AM15" i="42"/>
  <c r="AK15" i="42"/>
  <c r="AI15" i="42"/>
  <c r="H15" i="42"/>
  <c r="BL15" i="42"/>
  <c r="AE15" i="42"/>
  <c r="BM14" i="42"/>
  <c r="BP14" i="42" s="1"/>
  <c r="C53" i="52" s="1"/>
  <c r="H53" i="52" s="1"/>
  <c r="AG15" i="42"/>
  <c r="AS15" i="42"/>
  <c r="BE15" i="42"/>
  <c r="BK22" i="41"/>
  <c r="AO37" i="41"/>
  <c r="BK35" i="41"/>
  <c r="BG36" i="45"/>
  <c r="BD107" i="45"/>
  <c r="BD108" i="45" s="1"/>
  <c r="AI15" i="39" s="1"/>
  <c r="AX107" i="45"/>
  <c r="AX108" i="45" s="1"/>
  <c r="AC15" i="39" s="1"/>
  <c r="AU36" i="45"/>
  <c r="AO36" i="45"/>
  <c r="AI36" i="45"/>
  <c r="AF107" i="45"/>
  <c r="AF108" i="45" s="1"/>
  <c r="K15" i="39" s="1"/>
  <c r="AG36" i="45"/>
  <c r="AE36" i="45"/>
  <c r="AC36" i="45"/>
  <c r="Z107" i="45"/>
  <c r="Z108" i="45" s="1"/>
  <c r="E15" i="39" s="1"/>
  <c r="AU49" i="42"/>
  <c r="AU56" i="42" s="1"/>
  <c r="X21" i="39" s="1"/>
  <c r="J45" i="42"/>
  <c r="BM45" i="42"/>
  <c r="BP45" i="42" s="1"/>
  <c r="BT45" i="42" s="1"/>
  <c r="BX45" i="42" s="1"/>
  <c r="AK49" i="42"/>
  <c r="AN55" i="47"/>
  <c r="BC20" i="41"/>
  <c r="AX46" i="41"/>
  <c r="AC22" i="39" s="1"/>
  <c r="AV46" i="41"/>
  <c r="AA22" i="39" s="1"/>
  <c r="AW20" i="41"/>
  <c r="AW46" i="41" s="1"/>
  <c r="AB22" i="39" s="1"/>
  <c r="BK19" i="41"/>
  <c r="G19" i="41" s="1"/>
  <c r="E105" i="51"/>
  <c r="Z46" i="41"/>
  <c r="E22" i="39" s="1"/>
  <c r="BD46" i="41"/>
  <c r="AI22" i="39" s="1"/>
  <c r="BK18" i="41"/>
  <c r="BP18" i="41" s="1"/>
  <c r="AF46" i="41"/>
  <c r="K22" i="39" s="1"/>
  <c r="Y18" i="41"/>
  <c r="AZ55" i="47"/>
  <c r="AX55" i="47"/>
  <c r="BL17" i="26"/>
  <c r="AT18" i="26"/>
  <c r="BL47" i="47"/>
  <c r="H47" i="47" s="1"/>
  <c r="BK22" i="47"/>
  <c r="G22" i="47" s="1"/>
  <c r="BD42" i="43"/>
  <c r="BH42" i="43"/>
  <c r="AX42" i="43"/>
  <c r="AL42" i="43"/>
  <c r="BL41" i="43"/>
  <c r="H41" i="43" s="1"/>
  <c r="AF42" i="43"/>
  <c r="AT30" i="47"/>
  <c r="AH30" i="47"/>
  <c r="AX30" i="47"/>
  <c r="AN30" i="47"/>
  <c r="E16" i="51"/>
  <c r="H28" i="47"/>
  <c r="J10" i="47"/>
  <c r="I10" i="47"/>
  <c r="E4" i="51"/>
  <c r="H12" i="47"/>
  <c r="AP30" i="47"/>
  <c r="BL24" i="47"/>
  <c r="BL27" i="47"/>
  <c r="BP27" i="47" s="1"/>
  <c r="BS27" i="47" s="1"/>
  <c r="BW27" i="47" s="1"/>
  <c r="U36" i="47"/>
  <c r="Y36" i="47" s="1"/>
  <c r="T36" i="47"/>
  <c r="X36" i="47" s="1"/>
  <c r="S36" i="47"/>
  <c r="W36" i="47" s="1"/>
  <c r="H36" i="47"/>
  <c r="V36" i="47"/>
  <c r="Z36" i="47" s="1"/>
  <c r="E17" i="51"/>
  <c r="V29" i="47"/>
  <c r="Z29" i="47" s="1"/>
  <c r="U29" i="47"/>
  <c r="Y29" i="47" s="1"/>
  <c r="T29" i="47"/>
  <c r="X29" i="47" s="1"/>
  <c r="S29" i="47"/>
  <c r="W29" i="47" s="1"/>
  <c r="H29" i="47"/>
  <c r="AT50" i="47"/>
  <c r="BR50" i="47"/>
  <c r="BR53" i="47" s="1"/>
  <c r="BR55" i="47" s="1"/>
  <c r="BR56" i="47" s="1"/>
  <c r="F4" i="52" s="1"/>
  <c r="BQ34" i="47"/>
  <c r="BS34" i="47" s="1"/>
  <c r="BW34" i="47" s="1"/>
  <c r="H34" i="47"/>
  <c r="BP45" i="47"/>
  <c r="BS45" i="47" s="1"/>
  <c r="BW45" i="47" s="1"/>
  <c r="E14" i="51"/>
  <c r="V25" i="47"/>
  <c r="H41" i="47"/>
  <c r="E22" i="51"/>
  <c r="BJ16" i="47"/>
  <c r="I4" i="48"/>
  <c r="I10" i="48"/>
  <c r="AC30" i="47"/>
  <c r="BK21" i="47"/>
  <c r="G21" i="47" s="1"/>
  <c r="E10" i="51" s="1"/>
  <c r="AB22" i="47"/>
  <c r="AB30" i="47" s="1"/>
  <c r="AZ39" i="47"/>
  <c r="BG50" i="47"/>
  <c r="T43" i="47"/>
  <c r="X43" i="47" s="1"/>
  <c r="I46" i="47"/>
  <c r="BJ46" i="47"/>
  <c r="BJ50" i="47" s="1"/>
  <c r="BL48" i="47"/>
  <c r="T49" i="47"/>
  <c r="X49" i="47" s="1"/>
  <c r="BL52" i="47"/>
  <c r="AH12" i="46"/>
  <c r="AH15" i="46" s="1"/>
  <c r="BK66" i="46"/>
  <c r="AE25" i="46"/>
  <c r="AN21" i="46"/>
  <c r="AN25" i="46" s="1"/>
  <c r="AM25" i="46"/>
  <c r="BI23" i="46"/>
  <c r="E23" i="46" s="1"/>
  <c r="AJ24" i="46"/>
  <c r="AJ25" i="46" s="1"/>
  <c r="U35" i="46"/>
  <c r="U36" i="46" s="1"/>
  <c r="Q36" i="46"/>
  <c r="BJ36" i="46"/>
  <c r="BN35" i="46"/>
  <c r="F59" i="46"/>
  <c r="S61" i="46"/>
  <c r="W61" i="46" s="1"/>
  <c r="R61" i="46"/>
  <c r="V61" i="46" s="1"/>
  <c r="Q61" i="46"/>
  <c r="U61" i="46" s="1"/>
  <c r="T61" i="46"/>
  <c r="X61" i="46" s="1"/>
  <c r="X32" i="45"/>
  <c r="BK18" i="47"/>
  <c r="BK27" i="47"/>
  <c r="G27" i="47" s="1"/>
  <c r="AG30" i="47"/>
  <c r="BK39" i="47"/>
  <c r="G39" i="47" s="1"/>
  <c r="AR50" i="47"/>
  <c r="AX50" i="47"/>
  <c r="BD50" i="47"/>
  <c r="BD56" i="47" s="1"/>
  <c r="AH10" i="39" s="1"/>
  <c r="BK42" i="47"/>
  <c r="G42" i="47" s="1"/>
  <c r="U43" i="47"/>
  <c r="Y43" i="47" s="1"/>
  <c r="U49" i="47"/>
  <c r="Y49" i="47" s="1"/>
  <c r="BL54" i="47"/>
  <c r="BI12" i="46"/>
  <c r="BJ14" i="46"/>
  <c r="AE15" i="46"/>
  <c r="BS66" i="46"/>
  <c r="BJ20" i="46"/>
  <c r="BJ22" i="46"/>
  <c r="BN22" i="46" s="1"/>
  <c r="BQ22" i="46" s="1"/>
  <c r="BU22" i="46" s="1"/>
  <c r="BC25" i="46"/>
  <c r="BD24" i="46"/>
  <c r="BD25" i="46" s="1"/>
  <c r="AB53" i="46"/>
  <c r="S59" i="46"/>
  <c r="R59" i="46"/>
  <c r="E62" i="46"/>
  <c r="Q59" i="46"/>
  <c r="T59" i="46"/>
  <c r="U13" i="45"/>
  <c r="G13" i="45"/>
  <c r="T13" i="45"/>
  <c r="S13" i="45"/>
  <c r="R13" i="45"/>
  <c r="BK24" i="47"/>
  <c r="G24" i="47" s="1"/>
  <c r="E13" i="51" s="1"/>
  <c r="AW30" i="47"/>
  <c r="V43" i="47"/>
  <c r="Z43" i="47" s="1"/>
  <c r="V49" i="47"/>
  <c r="Z49" i="47" s="1"/>
  <c r="AA50" i="47"/>
  <c r="AO50" i="47"/>
  <c r="BC50" i="47"/>
  <c r="BL53" i="47"/>
  <c r="E23" i="51"/>
  <c r="K56" i="47"/>
  <c r="G10" i="20" s="1"/>
  <c r="G12" i="20" s="1"/>
  <c r="Q56" i="47"/>
  <c r="M10" i="20" s="1"/>
  <c r="M12" i="20" s="1"/>
  <c r="BJ13" i="46"/>
  <c r="BN13" i="46" s="1"/>
  <c r="BQ13" i="46" s="1"/>
  <c r="BU13" i="46" s="1"/>
  <c r="W20" i="46"/>
  <c r="AH21" i="46"/>
  <c r="AH25" i="46" s="1"/>
  <c r="AG25" i="46"/>
  <c r="BI21" i="46"/>
  <c r="E21" i="46" s="1"/>
  <c r="BE25" i="46"/>
  <c r="BJ23" i="46"/>
  <c r="BN23" i="46" s="1"/>
  <c r="BQ23" i="46" s="1"/>
  <c r="BU23" i="46" s="1"/>
  <c r="T49" i="46"/>
  <c r="X49" i="46" s="1"/>
  <c r="S49" i="46"/>
  <c r="W49" i="46" s="1"/>
  <c r="R49" i="46"/>
  <c r="V49" i="46" s="1"/>
  <c r="Q49" i="46"/>
  <c r="U49" i="46" s="1"/>
  <c r="F49" i="46"/>
  <c r="AR18" i="47"/>
  <c r="AR30" i="47" s="1"/>
  <c r="BL20" i="47"/>
  <c r="AL21" i="47"/>
  <c r="AL30" i="47" s="1"/>
  <c r="AU30" i="47"/>
  <c r="AU56" i="47" s="1"/>
  <c r="Y10" i="39" s="1"/>
  <c r="BA30" i="47"/>
  <c r="BG30" i="47"/>
  <c r="AF22" i="47"/>
  <c r="AF30" i="47" s="1"/>
  <c r="AD23" i="47"/>
  <c r="AJ23" i="47"/>
  <c r="AJ30" i="47" s="1"/>
  <c r="BL33" i="47"/>
  <c r="G35" i="47"/>
  <c r="AV39" i="47"/>
  <c r="AV50" i="47" s="1"/>
  <c r="BF42" i="47"/>
  <c r="BF50" i="47" s="1"/>
  <c r="H43" i="47"/>
  <c r="AC50" i="47"/>
  <c r="L56" i="47"/>
  <c r="H10" i="20" s="1"/>
  <c r="H12" i="20" s="1"/>
  <c r="R56" i="47"/>
  <c r="N10" i="20" s="1"/>
  <c r="N12" i="20" s="1"/>
  <c r="AL12" i="46"/>
  <c r="AL15" i="46" s="1"/>
  <c r="AZ12" i="46"/>
  <c r="AZ15" i="46" s="1"/>
  <c r="G13" i="46"/>
  <c r="E28" i="51"/>
  <c r="R13" i="46"/>
  <c r="V13" i="46" s="1"/>
  <c r="S13" i="46"/>
  <c r="W13" i="46" s="1"/>
  <c r="Z21" i="46"/>
  <c r="Z25" i="46" s="1"/>
  <c r="BF21" i="46"/>
  <c r="BF25" i="46" s="1"/>
  <c r="AW25" i="46"/>
  <c r="AW66" i="46" s="1"/>
  <c r="AC11" i="39" s="1"/>
  <c r="AX24" i="46"/>
  <c r="AX25" i="46" s="1"/>
  <c r="BU38" i="46"/>
  <c r="W45" i="46"/>
  <c r="U14" i="45"/>
  <c r="Y14" i="45" s="1"/>
  <c r="G14" i="45"/>
  <c r="T14" i="45"/>
  <c r="X14" i="45" s="1"/>
  <c r="S14" i="45"/>
  <c r="W14" i="45" s="1"/>
  <c r="R14" i="45"/>
  <c r="V14" i="45" s="1"/>
  <c r="BO15" i="45"/>
  <c r="BR15" i="45" s="1"/>
  <c r="BV15" i="45" s="1"/>
  <c r="V15" i="45"/>
  <c r="H15" i="45"/>
  <c r="I15" i="45"/>
  <c r="BP20" i="45"/>
  <c r="AV21" i="47"/>
  <c r="AV30" i="47" s="1"/>
  <c r="BB21" i="47"/>
  <c r="BB30" i="47" s="1"/>
  <c r="BH21" i="47"/>
  <c r="BH30" i="47" s="1"/>
  <c r="AJ39" i="47"/>
  <c r="AJ50" i="47" s="1"/>
  <c r="AB40" i="47"/>
  <c r="AB50" i="47" s="1"/>
  <c r="Y46" i="47"/>
  <c r="AT12" i="46"/>
  <c r="AT15" i="46" s="1"/>
  <c r="H13" i="46"/>
  <c r="Y15" i="46"/>
  <c r="Y66" i="46" s="1"/>
  <c r="E11" i="39" s="1"/>
  <c r="BJ16" i="46"/>
  <c r="BJ17" i="46" s="1"/>
  <c r="AB21" i="46"/>
  <c r="AB25" i="46" s="1"/>
  <c r="AA25" i="46"/>
  <c r="AS25" i="46"/>
  <c r="AS66" i="46" s="1"/>
  <c r="Y11" i="39" s="1"/>
  <c r="AZ21" i="46"/>
  <c r="AZ25" i="46" s="1"/>
  <c r="BI24" i="46"/>
  <c r="E24" i="46" s="1"/>
  <c r="U39" i="46"/>
  <c r="X47" i="46"/>
  <c r="F47" i="46"/>
  <c r="W47" i="46"/>
  <c r="V47" i="46"/>
  <c r="U47" i="46"/>
  <c r="BI56" i="47"/>
  <c r="AM10" i="39" s="1"/>
  <c r="AO30" i="47"/>
  <c r="AH37" i="47"/>
  <c r="AT37" i="47"/>
  <c r="BF37" i="47"/>
  <c r="AD50" i="47"/>
  <c r="AP50" i="47"/>
  <c r="BB50" i="47"/>
  <c r="BH50" i="47"/>
  <c r="AW50" i="47"/>
  <c r="BK52" i="47"/>
  <c r="AN12" i="46"/>
  <c r="AN15" i="46" s="1"/>
  <c r="Q13" i="46"/>
  <c r="U13" i="46" s="1"/>
  <c r="Q20" i="46"/>
  <c r="R20" i="46"/>
  <c r="AL21" i="46"/>
  <c r="AL25" i="46" s="1"/>
  <c r="AT21" i="46"/>
  <c r="AT25" i="46" s="1"/>
  <c r="AQ25" i="46"/>
  <c r="AR24" i="46"/>
  <c r="AR25" i="46" s="1"/>
  <c r="AJ33" i="46"/>
  <c r="AV33" i="46"/>
  <c r="BH33" i="46"/>
  <c r="BJ27" i="46"/>
  <c r="H61" i="46"/>
  <c r="U33" i="47"/>
  <c r="AD15" i="46"/>
  <c r="AJ12" i="46"/>
  <c r="AJ15" i="46" s="1"/>
  <c r="AP12" i="46"/>
  <c r="AP15" i="46" s="1"/>
  <c r="AV12" i="46"/>
  <c r="AV15" i="46" s="1"/>
  <c r="BB12" i="46"/>
  <c r="BB15" i="46" s="1"/>
  <c r="BI27" i="46"/>
  <c r="F28" i="46"/>
  <c r="T28" i="46"/>
  <c r="X28" i="46" s="1"/>
  <c r="F29" i="46"/>
  <c r="T29" i="46"/>
  <c r="X29" i="46" s="1"/>
  <c r="Z30" i="46"/>
  <c r="Z33" i="46" s="1"/>
  <c r="AF30" i="46"/>
  <c r="AF33" i="46" s="1"/>
  <c r="AL30" i="46"/>
  <c r="AL33" i="46" s="1"/>
  <c r="AR30" i="46"/>
  <c r="AR33" i="46" s="1"/>
  <c r="AX30" i="46"/>
  <c r="AX33" i="46" s="1"/>
  <c r="BD30" i="46"/>
  <c r="BD33" i="46" s="1"/>
  <c r="R35" i="46"/>
  <c r="E36" i="46"/>
  <c r="R39" i="46"/>
  <c r="X39" i="46"/>
  <c r="F41" i="46"/>
  <c r="T41" i="46"/>
  <c r="X41" i="46" s="1"/>
  <c r="Q45" i="46"/>
  <c r="W48" i="46"/>
  <c r="BJ48" i="46"/>
  <c r="BN48" i="46" s="1"/>
  <c r="BQ48" i="46" s="1"/>
  <c r="BU48" i="46" s="1"/>
  <c r="S50" i="46"/>
  <c r="W50" i="46" s="1"/>
  <c r="BI51" i="46"/>
  <c r="E51" i="46" s="1"/>
  <c r="AM53" i="46"/>
  <c r="Q60" i="46"/>
  <c r="U60" i="46" s="1"/>
  <c r="BI65" i="46"/>
  <c r="E64" i="46"/>
  <c r="BK13" i="45"/>
  <c r="BK14" i="45"/>
  <c r="F19" i="45"/>
  <c r="BK25" i="45"/>
  <c r="AM26" i="45"/>
  <c r="AM36" i="45" s="1"/>
  <c r="S28" i="45"/>
  <c r="R28" i="45"/>
  <c r="T28" i="45"/>
  <c r="AW36" i="45"/>
  <c r="F38" i="45"/>
  <c r="BJ41" i="45"/>
  <c r="U42" i="45"/>
  <c r="Y42" i="45" s="1"/>
  <c r="T42" i="45"/>
  <c r="X42" i="45" s="1"/>
  <c r="G42" i="45"/>
  <c r="T50" i="45"/>
  <c r="X50" i="45" s="1"/>
  <c r="S50" i="45"/>
  <c r="W50" i="45" s="1"/>
  <c r="R50" i="45"/>
  <c r="V50" i="45" s="1"/>
  <c r="U50" i="45"/>
  <c r="Y50" i="45" s="1"/>
  <c r="T58" i="45"/>
  <c r="S58" i="45"/>
  <c r="R58" i="45"/>
  <c r="U58" i="45"/>
  <c r="T62" i="45"/>
  <c r="X62" i="45" s="1"/>
  <c r="S62" i="45"/>
  <c r="W62" i="45" s="1"/>
  <c r="R62" i="45"/>
  <c r="V62" i="45" s="1"/>
  <c r="G62" i="45"/>
  <c r="U62" i="45"/>
  <c r="Y62" i="45" s="1"/>
  <c r="U73" i="45"/>
  <c r="Y73" i="45" s="1"/>
  <c r="T73" i="45"/>
  <c r="X73" i="45" s="1"/>
  <c r="S73" i="45"/>
  <c r="W73" i="45" s="1"/>
  <c r="R73" i="45"/>
  <c r="V73" i="45" s="1"/>
  <c r="G73" i="45"/>
  <c r="S82" i="45"/>
  <c r="R82" i="45"/>
  <c r="V87" i="45"/>
  <c r="BT32" i="46"/>
  <c r="BU32" i="46" s="1"/>
  <c r="BE33" i="46"/>
  <c r="S35" i="46"/>
  <c r="F36" i="46"/>
  <c r="BB36" i="46"/>
  <c r="S39" i="46"/>
  <c r="R45" i="46"/>
  <c r="X45" i="46"/>
  <c r="AJ53" i="46"/>
  <c r="AV53" i="46"/>
  <c r="BH53" i="46"/>
  <c r="BJ46" i="46"/>
  <c r="BN46" i="46" s="1"/>
  <c r="BQ46" i="46" s="1"/>
  <c r="BU46" i="46" s="1"/>
  <c r="X48" i="46"/>
  <c r="T50" i="46"/>
  <c r="X50" i="46" s="1"/>
  <c r="BJ52" i="46"/>
  <c r="AG53" i="46"/>
  <c r="R60" i="46"/>
  <c r="V60" i="46" s="1"/>
  <c r="BM64" i="46"/>
  <c r="AQ36" i="45"/>
  <c r="BC36" i="45"/>
  <c r="R32" i="45"/>
  <c r="S32" i="45"/>
  <c r="R34" i="45"/>
  <c r="S39" i="45"/>
  <c r="R39" i="45"/>
  <c r="T39" i="45"/>
  <c r="U46" i="45"/>
  <c r="Y46" i="45" s="1"/>
  <c r="T46" i="45"/>
  <c r="X46" i="45" s="1"/>
  <c r="S46" i="45"/>
  <c r="W46" i="45" s="1"/>
  <c r="R46" i="45"/>
  <c r="V46" i="45" s="1"/>
  <c r="G46" i="45"/>
  <c r="G63" i="45"/>
  <c r="U63" i="45"/>
  <c r="Y63" i="45" s="1"/>
  <c r="T63" i="45"/>
  <c r="X63" i="45" s="1"/>
  <c r="S63" i="45"/>
  <c r="W63" i="45" s="1"/>
  <c r="R63" i="45"/>
  <c r="V63" i="45" s="1"/>
  <c r="AJ107" i="45"/>
  <c r="AJ108" i="45" s="1"/>
  <c r="O15" i="39" s="1"/>
  <c r="M85" i="45"/>
  <c r="R91" i="45"/>
  <c r="T91" i="45"/>
  <c r="S91" i="45"/>
  <c r="E15" i="52"/>
  <c r="H15" i="52" s="1"/>
  <c r="BR100" i="45"/>
  <c r="BV100" i="45" s="1"/>
  <c r="AV107" i="45"/>
  <c r="AV108" i="45" s="1"/>
  <c r="AA15" i="39" s="1"/>
  <c r="BH107" i="45"/>
  <c r="BH108" i="45" s="1"/>
  <c r="AM15" i="39" s="1"/>
  <c r="AD16" i="44"/>
  <c r="BV16" i="44"/>
  <c r="G21" i="52" s="1"/>
  <c r="BJ39" i="46"/>
  <c r="BJ47" i="46"/>
  <c r="BN47" i="46" s="1"/>
  <c r="BQ47" i="46" s="1"/>
  <c r="BU47" i="46" s="1"/>
  <c r="AA53" i="46"/>
  <c r="S60" i="46"/>
  <c r="W60" i="46" s="1"/>
  <c r="BJ60" i="46"/>
  <c r="F60" i="46" s="1"/>
  <c r="BH62" i="46"/>
  <c r="BK35" i="45"/>
  <c r="U47" i="45"/>
  <c r="Y47" i="45" s="1"/>
  <c r="T47" i="45"/>
  <c r="X47" i="45" s="1"/>
  <c r="S47" i="45"/>
  <c r="W47" i="45" s="1"/>
  <c r="R47" i="45"/>
  <c r="V47" i="45" s="1"/>
  <c r="Y48" i="45"/>
  <c r="U49" i="45"/>
  <c r="Y49" i="45" s="1"/>
  <c r="T49" i="45"/>
  <c r="X49" i="45" s="1"/>
  <c r="S49" i="45"/>
  <c r="W49" i="45" s="1"/>
  <c r="R49" i="45"/>
  <c r="V49" i="45" s="1"/>
  <c r="X52" i="45"/>
  <c r="W52" i="45"/>
  <c r="U60" i="45"/>
  <c r="Y60" i="45" s="1"/>
  <c r="T60" i="45"/>
  <c r="X60" i="45" s="1"/>
  <c r="S60" i="45"/>
  <c r="W60" i="45" s="1"/>
  <c r="R60" i="45"/>
  <c r="V60" i="45" s="1"/>
  <c r="U70" i="45"/>
  <c r="Y70" i="45" s="1"/>
  <c r="T70" i="45"/>
  <c r="X70" i="45" s="1"/>
  <c r="S70" i="45"/>
  <c r="W70" i="45" s="1"/>
  <c r="R70" i="45"/>
  <c r="V70" i="45" s="1"/>
  <c r="G70" i="45"/>
  <c r="BN71" i="45"/>
  <c r="BR71" i="45" s="1"/>
  <c r="BV71" i="45" s="1"/>
  <c r="S83" i="45"/>
  <c r="R83" i="45"/>
  <c r="E46" i="51"/>
  <c r="R93" i="45"/>
  <c r="V93" i="45" s="1"/>
  <c r="T93" i="45"/>
  <c r="X93" i="45" s="1"/>
  <c r="S93" i="45"/>
  <c r="W93" i="45" s="1"/>
  <c r="G93" i="45"/>
  <c r="AL107" i="45"/>
  <c r="AL108" i="45" s="1"/>
  <c r="Q15" i="39" s="1"/>
  <c r="BT107" i="45"/>
  <c r="BT108" i="45" s="1"/>
  <c r="AC33" i="46"/>
  <c r="AI33" i="46"/>
  <c r="AI66" i="46" s="1"/>
  <c r="O11" i="39" s="1"/>
  <c r="AO33" i="46"/>
  <c r="AO66" i="46" s="1"/>
  <c r="U11" i="39" s="1"/>
  <c r="AU33" i="46"/>
  <c r="AU66" i="46" s="1"/>
  <c r="AA11" i="39" s="1"/>
  <c r="BA33" i="46"/>
  <c r="BA66" i="46" s="1"/>
  <c r="AG11" i="39" s="1"/>
  <c r="BH43" i="46"/>
  <c r="BJ45" i="46"/>
  <c r="BN45" i="46" s="1"/>
  <c r="BE53" i="46"/>
  <c r="BK19" i="45"/>
  <c r="BK21" i="45"/>
  <c r="E44" i="51"/>
  <c r="U29" i="45"/>
  <c r="G29" i="45"/>
  <c r="S35" i="45"/>
  <c r="R35" i="45"/>
  <c r="Y51" i="45"/>
  <c r="M51" i="45"/>
  <c r="U71" i="45"/>
  <c r="T71" i="45"/>
  <c r="S71" i="45"/>
  <c r="R71" i="45"/>
  <c r="U75" i="45"/>
  <c r="T75" i="45"/>
  <c r="S75" i="45"/>
  <c r="R75" i="45"/>
  <c r="BR76" i="45"/>
  <c r="BV76" i="45" s="1"/>
  <c r="BM107" i="45"/>
  <c r="BM108" i="45" s="1"/>
  <c r="S81" i="45"/>
  <c r="R81" i="45"/>
  <c r="S89" i="45"/>
  <c r="G89" i="45"/>
  <c r="R89" i="45"/>
  <c r="M91" i="45"/>
  <c r="X91" i="45"/>
  <c r="S14" i="46"/>
  <c r="BL66" i="46"/>
  <c r="BR66" i="46"/>
  <c r="S22" i="46"/>
  <c r="W22" i="46" s="1"/>
  <c r="S31" i="46"/>
  <c r="W31" i="46" s="1"/>
  <c r="S32" i="46"/>
  <c r="W32" i="46" s="1"/>
  <c r="H39" i="46"/>
  <c r="S42" i="46"/>
  <c r="W42" i="46" s="1"/>
  <c r="G45" i="46"/>
  <c r="AD53" i="46"/>
  <c r="AP53" i="46"/>
  <c r="BB53" i="46"/>
  <c r="U48" i="46"/>
  <c r="Q50" i="46"/>
  <c r="U50" i="46" s="1"/>
  <c r="AT51" i="46"/>
  <c r="AT53" i="46" s="1"/>
  <c r="AZ51" i="46"/>
  <c r="AZ53" i="46" s="1"/>
  <c r="T52" i="46"/>
  <c r="BM53" i="46"/>
  <c r="BH56" i="46"/>
  <c r="Z62" i="46"/>
  <c r="AL62" i="46"/>
  <c r="AX62" i="46"/>
  <c r="AE22" i="45"/>
  <c r="T21" i="45"/>
  <c r="U21" i="45"/>
  <c r="BG22" i="45"/>
  <c r="R25" i="45"/>
  <c r="S25" i="45"/>
  <c r="R29" i="45"/>
  <c r="E45" i="51"/>
  <c r="R30" i="45"/>
  <c r="S30" i="45"/>
  <c r="BK31" i="45"/>
  <c r="T33" i="45"/>
  <c r="S33" i="45"/>
  <c r="R33" i="45"/>
  <c r="U33" i="45"/>
  <c r="G44" i="45"/>
  <c r="U44" i="45"/>
  <c r="Y44" i="45" s="1"/>
  <c r="T44" i="45"/>
  <c r="X44" i="45" s="1"/>
  <c r="S44" i="45"/>
  <c r="W44" i="45" s="1"/>
  <c r="R44" i="45"/>
  <c r="V44" i="45" s="1"/>
  <c r="T65" i="45"/>
  <c r="X65" i="45" s="1"/>
  <c r="S65" i="45"/>
  <c r="W65" i="45" s="1"/>
  <c r="R65" i="45"/>
  <c r="V65" i="45" s="1"/>
  <c r="U65" i="45"/>
  <c r="Y65" i="45" s="1"/>
  <c r="BN66" i="45"/>
  <c r="BR66" i="45" s="1"/>
  <c r="BV66" i="45" s="1"/>
  <c r="Q66" i="45"/>
  <c r="K107" i="45"/>
  <c r="K108" i="45" s="1"/>
  <c r="H15" i="20" s="1"/>
  <c r="AP107" i="45"/>
  <c r="AP108" i="45" s="1"/>
  <c r="U15" i="39" s="1"/>
  <c r="BB107" i="45"/>
  <c r="BB108" i="45" s="1"/>
  <c r="AG15" i="39" s="1"/>
  <c r="AD107" i="45"/>
  <c r="AD108" i="45" s="1"/>
  <c r="I15" i="39" s="1"/>
  <c r="T14" i="46"/>
  <c r="F22" i="46"/>
  <c r="F31" i="46"/>
  <c r="F32" i="46"/>
  <c r="F42" i="46"/>
  <c r="H45" i="46"/>
  <c r="V48" i="46"/>
  <c r="BI56" i="46"/>
  <c r="BJ64" i="46"/>
  <c r="R21" i="45"/>
  <c r="AA36" i="45"/>
  <c r="AY36" i="45"/>
  <c r="BJ26" i="45"/>
  <c r="F26" i="45" s="1"/>
  <c r="F36" i="45" s="1"/>
  <c r="BK27" i="45"/>
  <c r="G27" i="45" s="1"/>
  <c r="BK28" i="45"/>
  <c r="G28" i="45" s="1"/>
  <c r="S29" i="45"/>
  <c r="G31" i="45"/>
  <c r="U31" i="45"/>
  <c r="G35" i="45"/>
  <c r="BI41" i="45"/>
  <c r="BK38" i="45"/>
  <c r="BS107" i="45"/>
  <c r="T56" i="45"/>
  <c r="F78" i="45"/>
  <c r="S56" i="45"/>
  <c r="R56" i="45"/>
  <c r="G56" i="45"/>
  <c r="U56" i="45"/>
  <c r="U57" i="45"/>
  <c r="T57" i="45"/>
  <c r="S57" i="45"/>
  <c r="Y58" i="45"/>
  <c r="U66" i="45"/>
  <c r="Y66" i="45" s="1"/>
  <c r="T66" i="45"/>
  <c r="X66" i="45" s="1"/>
  <c r="S66" i="45"/>
  <c r="W66" i="45" s="1"/>
  <c r="R66" i="45"/>
  <c r="V66" i="45" s="1"/>
  <c r="U68" i="45"/>
  <c r="Y68" i="45" s="1"/>
  <c r="T68" i="45"/>
  <c r="X68" i="45" s="1"/>
  <c r="S68" i="45"/>
  <c r="W68" i="45" s="1"/>
  <c r="R68" i="45"/>
  <c r="W88" i="45"/>
  <c r="G99" i="45"/>
  <c r="T99" i="45"/>
  <c r="X99" i="45" s="1"/>
  <c r="S99" i="45"/>
  <c r="W99" i="45" s="1"/>
  <c r="R99" i="45"/>
  <c r="V99" i="45" s="1"/>
  <c r="T45" i="45"/>
  <c r="X45" i="45" s="1"/>
  <c r="T48" i="45"/>
  <c r="T51" i="45"/>
  <c r="T52" i="45"/>
  <c r="S53" i="45"/>
  <c r="W53" i="45" s="1"/>
  <c r="BK56" i="45"/>
  <c r="S61" i="45"/>
  <c r="W61" i="45" s="1"/>
  <c r="S64" i="45"/>
  <c r="W64" i="45" s="1"/>
  <c r="T69" i="45"/>
  <c r="X69" i="45" s="1"/>
  <c r="T72" i="45"/>
  <c r="X72" i="45" s="1"/>
  <c r="U76" i="45"/>
  <c r="Y76" i="45" s="1"/>
  <c r="BK82" i="45"/>
  <c r="G82" i="45" s="1"/>
  <c r="S87" i="45"/>
  <c r="T96" i="45"/>
  <c r="X96" i="45" s="1"/>
  <c r="T100" i="45"/>
  <c r="X100" i="45" s="1"/>
  <c r="R101" i="45"/>
  <c r="V101" i="45" s="1"/>
  <c r="BF107" i="45"/>
  <c r="BF108" i="45" s="1"/>
  <c r="AK15" i="39" s="1"/>
  <c r="BW11" i="44"/>
  <c r="V12" i="44"/>
  <c r="BS12" i="44"/>
  <c r="BW12" i="44" s="1"/>
  <c r="AB16" i="44"/>
  <c r="AN16" i="44"/>
  <c r="AZ16" i="44"/>
  <c r="BK16" i="44"/>
  <c r="V20" i="44"/>
  <c r="BL20" i="44"/>
  <c r="Q63" i="44"/>
  <c r="J63" i="44"/>
  <c r="I63" i="44"/>
  <c r="BQ63" i="44"/>
  <c r="BS63" i="44" s="1"/>
  <c r="BW63" i="44" s="1"/>
  <c r="AW90" i="44"/>
  <c r="AW92" i="44" s="1"/>
  <c r="AA16" i="39" s="1"/>
  <c r="H72" i="44"/>
  <c r="U72" i="44"/>
  <c r="Y72" i="44" s="1"/>
  <c r="Q81" i="44"/>
  <c r="I81" i="44"/>
  <c r="BQ81" i="44"/>
  <c r="BS81" i="44" s="1"/>
  <c r="BW81" i="44" s="1"/>
  <c r="J81" i="44"/>
  <c r="P92" i="44"/>
  <c r="L16" i="20" s="1"/>
  <c r="U45" i="45"/>
  <c r="Y45" i="45" s="1"/>
  <c r="U48" i="45"/>
  <c r="U51" i="45"/>
  <c r="U52" i="45"/>
  <c r="T53" i="45"/>
  <c r="X53" i="45" s="1"/>
  <c r="T61" i="45"/>
  <c r="X61" i="45" s="1"/>
  <c r="T64" i="45"/>
  <c r="X64" i="45" s="1"/>
  <c r="U69" i="45"/>
  <c r="Y69" i="45" s="1"/>
  <c r="U72" i="45"/>
  <c r="Y72" i="45" s="1"/>
  <c r="E47" i="51"/>
  <c r="G95" i="45"/>
  <c r="T101" i="45"/>
  <c r="X101" i="45" s="1"/>
  <c r="AZ107" i="45"/>
  <c r="AZ108" i="45" s="1"/>
  <c r="AE15" i="39" s="1"/>
  <c r="BL15" i="44"/>
  <c r="BU26" i="44"/>
  <c r="BV26" i="44" s="1"/>
  <c r="BW26" i="44" s="1"/>
  <c r="BL28" i="44"/>
  <c r="H28" i="44" s="1"/>
  <c r="BW29" i="44"/>
  <c r="J30" i="44"/>
  <c r="I30" i="44"/>
  <c r="U48" i="44"/>
  <c r="Y48" i="44" s="1"/>
  <c r="T48" i="44"/>
  <c r="X48" i="44" s="1"/>
  <c r="H48" i="44"/>
  <c r="BQ55" i="44"/>
  <c r="BS55" i="44" s="1"/>
  <c r="BW55" i="44" s="1"/>
  <c r="Z55" i="44"/>
  <c r="Z64" i="44" s="1"/>
  <c r="I55" i="44"/>
  <c r="Y55" i="44"/>
  <c r="Q55" i="44"/>
  <c r="J55" i="44"/>
  <c r="Q59" i="44"/>
  <c r="BQ69" i="44"/>
  <c r="BS69" i="44" s="1"/>
  <c r="BW69" i="44" s="1"/>
  <c r="Q69" i="44"/>
  <c r="J69" i="44"/>
  <c r="I69" i="44"/>
  <c r="BQ76" i="44"/>
  <c r="BS76" i="44" s="1"/>
  <c r="BW76" i="44" s="1"/>
  <c r="Q76" i="44"/>
  <c r="J76" i="44"/>
  <c r="I76" i="44"/>
  <c r="Z79" i="44"/>
  <c r="I79" i="44"/>
  <c r="J79" i="44"/>
  <c r="Y79" i="44"/>
  <c r="BQ79" i="44"/>
  <c r="BS79" i="44" s="1"/>
  <c r="BW79" i="44" s="1"/>
  <c r="Q79" i="44"/>
  <c r="K92" i="44"/>
  <c r="G16" i="20" s="1"/>
  <c r="Y11" i="43"/>
  <c r="J13" i="43"/>
  <c r="I13" i="43"/>
  <c r="X13" i="43"/>
  <c r="W13" i="43"/>
  <c r="G45" i="45"/>
  <c r="U53" i="45"/>
  <c r="Y53" i="45" s="1"/>
  <c r="BK57" i="45"/>
  <c r="G57" i="45" s="1"/>
  <c r="G61" i="45"/>
  <c r="U61" i="45"/>
  <c r="Y61" i="45" s="1"/>
  <c r="U64" i="45"/>
  <c r="Y64" i="45" s="1"/>
  <c r="G69" i="45"/>
  <c r="G72" i="45"/>
  <c r="G76" i="45"/>
  <c r="L76" i="45" s="1"/>
  <c r="BK96" i="45"/>
  <c r="F53" i="51"/>
  <c r="I100" i="45"/>
  <c r="AT107" i="45"/>
  <c r="AT108" i="45" s="1"/>
  <c r="Y15" i="39" s="1"/>
  <c r="H21" i="44"/>
  <c r="M21" i="44" s="1"/>
  <c r="BQ21" i="44"/>
  <c r="Y54" i="44"/>
  <c r="I54" i="44"/>
  <c r="J54" i="44"/>
  <c r="BQ54" i="44"/>
  <c r="BS54" i="44" s="1"/>
  <c r="BW54" i="44" s="1"/>
  <c r="Q54" i="44"/>
  <c r="BQ57" i="44"/>
  <c r="BS57" i="44" s="1"/>
  <c r="BW57" i="44" s="1"/>
  <c r="Q57" i="44"/>
  <c r="J57" i="44"/>
  <c r="Y57" i="44"/>
  <c r="I57" i="44"/>
  <c r="BG92" i="44"/>
  <c r="AK16" i="39" s="1"/>
  <c r="BN74" i="45"/>
  <c r="BR74" i="45" s="1"/>
  <c r="BV74" i="45" s="1"/>
  <c r="BK80" i="45"/>
  <c r="S90" i="45"/>
  <c r="R92" i="45"/>
  <c r="V92" i="45" s="1"/>
  <c r="G96" i="45"/>
  <c r="H100" i="45"/>
  <c r="AN107" i="45"/>
  <c r="AN108" i="45" s="1"/>
  <c r="S15" i="39" s="1"/>
  <c r="S12" i="44"/>
  <c r="H13" i="44"/>
  <c r="AH16" i="44"/>
  <c r="AT16" i="44"/>
  <c r="BF16" i="44"/>
  <c r="BL19" i="44"/>
  <c r="G19" i="44"/>
  <c r="AH32" i="44"/>
  <c r="BL32" i="44" s="1"/>
  <c r="AG33" i="44"/>
  <c r="AG90" i="44" s="1"/>
  <c r="AG92" i="44" s="1"/>
  <c r="K16" i="39" s="1"/>
  <c r="BK32" i="44"/>
  <c r="G32" i="44" s="1"/>
  <c r="I38" i="44"/>
  <c r="Q38" i="44"/>
  <c r="J38" i="44"/>
  <c r="U45" i="44"/>
  <c r="T45" i="44"/>
  <c r="Y50" i="44"/>
  <c r="I50" i="44"/>
  <c r="BQ50" i="44"/>
  <c r="BS50" i="44" s="1"/>
  <c r="BW50" i="44" s="1"/>
  <c r="Q50" i="44"/>
  <c r="J50" i="44"/>
  <c r="BQ66" i="44"/>
  <c r="Q66" i="44"/>
  <c r="J66" i="44"/>
  <c r="I66" i="44"/>
  <c r="J68" i="44"/>
  <c r="I68" i="44"/>
  <c r="BQ68" i="44"/>
  <c r="BS68" i="44" s="1"/>
  <c r="BW68" i="44" s="1"/>
  <c r="Q68" i="44"/>
  <c r="V70" i="44"/>
  <c r="T70" i="44"/>
  <c r="X70" i="44" s="1"/>
  <c r="H70" i="44"/>
  <c r="BK42" i="45"/>
  <c r="R45" i="45"/>
  <c r="V45" i="45" s="1"/>
  <c r="R48" i="45"/>
  <c r="R51" i="45"/>
  <c r="R52" i="45"/>
  <c r="BI54" i="45"/>
  <c r="R69" i="45"/>
  <c r="V69" i="45" s="1"/>
  <c r="R72" i="45"/>
  <c r="V72" i="45" s="1"/>
  <c r="R76" i="45"/>
  <c r="V76" i="45" s="1"/>
  <c r="R80" i="45"/>
  <c r="BK86" i="45"/>
  <c r="G86" i="45" s="1"/>
  <c r="R95" i="45"/>
  <c r="V95" i="45" s="1"/>
  <c r="R100" i="45"/>
  <c r="V100" i="45" s="1"/>
  <c r="AH107" i="45"/>
  <c r="AH108" i="45" s="1"/>
  <c r="M15" i="39" s="1"/>
  <c r="T12" i="44"/>
  <c r="G16" i="44"/>
  <c r="AD33" i="44"/>
  <c r="BL27" i="44"/>
  <c r="T39" i="44"/>
  <c r="S39" i="44"/>
  <c r="BQ44" i="44"/>
  <c r="BS44" i="44" s="1"/>
  <c r="BW44" i="44" s="1"/>
  <c r="I44" i="44"/>
  <c r="J44" i="44"/>
  <c r="Q44" i="44"/>
  <c r="Y45" i="44"/>
  <c r="J45" i="44"/>
  <c r="BQ45" i="44"/>
  <c r="BS45" i="44" s="1"/>
  <c r="BW45" i="44" s="1"/>
  <c r="Q45" i="44"/>
  <c r="I45" i="44"/>
  <c r="X45" i="44"/>
  <c r="H56" i="44"/>
  <c r="U56" i="44"/>
  <c r="Y56" i="44" s="1"/>
  <c r="BQ61" i="44"/>
  <c r="BS61" i="44" s="1"/>
  <c r="BW61" i="44" s="1"/>
  <c r="Q61" i="44"/>
  <c r="J61" i="44"/>
  <c r="I61" i="44"/>
  <c r="S82" i="44"/>
  <c r="W67" i="44"/>
  <c r="W82" i="44" s="1"/>
  <c r="F43" i="45"/>
  <c r="BJ78" i="45"/>
  <c r="T76" i="45"/>
  <c r="X76" i="45" s="1"/>
  <c r="BK77" i="45"/>
  <c r="BP77" i="45" s="1"/>
  <c r="BR77" i="45" s="1"/>
  <c r="BV77" i="45" s="1"/>
  <c r="S95" i="45"/>
  <c r="W95" i="45" s="1"/>
  <c r="S96" i="45"/>
  <c r="W96" i="45" s="1"/>
  <c r="G98" i="45"/>
  <c r="S100" i="45"/>
  <c r="W100" i="45" s="1"/>
  <c r="AB107" i="45"/>
  <c r="AB108" i="45" s="1"/>
  <c r="G15" i="39" s="1"/>
  <c r="BL107" i="45"/>
  <c r="U12" i="44"/>
  <c r="BL12" i="44"/>
  <c r="BL13" i="44" s="1"/>
  <c r="H15" i="44"/>
  <c r="AR33" i="44"/>
  <c r="BD33" i="44"/>
  <c r="BF33" i="44"/>
  <c r="BF90" i="44" s="1"/>
  <c r="BL25" i="44"/>
  <c r="U40" i="44"/>
  <c r="Y35" i="44"/>
  <c r="Y39" i="44"/>
  <c r="J39" i="44"/>
  <c r="W39" i="44"/>
  <c r="BQ39" i="44"/>
  <c r="BS39" i="44" s="1"/>
  <c r="BW39" i="44" s="1"/>
  <c r="Q39" i="44"/>
  <c r="I39" i="44"/>
  <c r="X39" i="44"/>
  <c r="U49" i="44"/>
  <c r="Y49" i="44" s="1"/>
  <c r="H49" i="44"/>
  <c r="BQ60" i="44"/>
  <c r="BS60" i="44" s="1"/>
  <c r="BW60" i="44" s="1"/>
  <c r="Q60" i="44"/>
  <c r="J60" i="44"/>
  <c r="I60" i="44"/>
  <c r="Q75" i="44"/>
  <c r="I75" i="44"/>
  <c r="BQ75" i="44"/>
  <c r="BS75" i="44" s="1"/>
  <c r="BW75" i="44" s="1"/>
  <c r="J75" i="44"/>
  <c r="U77" i="44"/>
  <c r="Y77" i="44" s="1"/>
  <c r="H77" i="44"/>
  <c r="Y12" i="43"/>
  <c r="AB22" i="44"/>
  <c r="AN22" i="44"/>
  <c r="AN33" i="44" s="1"/>
  <c r="AZ22" i="44"/>
  <c r="AZ33" i="44" s="1"/>
  <c r="AT31" i="44"/>
  <c r="W35" i="44"/>
  <c r="Q37" i="44"/>
  <c r="BQ37" i="44"/>
  <c r="BS37" i="44" s="1"/>
  <c r="BW37" i="44" s="1"/>
  <c r="G40" i="44"/>
  <c r="E62" i="51" s="1"/>
  <c r="G42" i="44"/>
  <c r="T43" i="44"/>
  <c r="X43" i="44" s="1"/>
  <c r="BQ43" i="44"/>
  <c r="BS43" i="44" s="1"/>
  <c r="BW43" i="44" s="1"/>
  <c r="BQ46" i="44"/>
  <c r="BS46" i="44" s="1"/>
  <c r="BW46" i="44" s="1"/>
  <c r="Q47" i="44"/>
  <c r="BQ52" i="44"/>
  <c r="BS52" i="44" s="1"/>
  <c r="BW52" i="44" s="1"/>
  <c r="T58" i="44"/>
  <c r="X58" i="44" s="1"/>
  <c r="T67" i="44"/>
  <c r="X67" i="44" s="1"/>
  <c r="U74" i="44"/>
  <c r="Y74" i="44" s="1"/>
  <c r="T78" i="44"/>
  <c r="X78" i="44" s="1"/>
  <c r="BQ78" i="44"/>
  <c r="BS78" i="44" s="1"/>
  <c r="BW78" i="44" s="1"/>
  <c r="Q80" i="44"/>
  <c r="AB82" i="44"/>
  <c r="BL85" i="44"/>
  <c r="H85" i="44" s="1"/>
  <c r="T86" i="44"/>
  <c r="X86" i="44" s="1"/>
  <c r="H88" i="44"/>
  <c r="BE90" i="44"/>
  <c r="BE92" i="44" s="1"/>
  <c r="AI16" i="39" s="1"/>
  <c r="BR90" i="44"/>
  <c r="BR92" i="44" s="1"/>
  <c r="AB14" i="43"/>
  <c r="AN14" i="43"/>
  <c r="T13" i="43"/>
  <c r="BL15" i="43"/>
  <c r="E76" i="51"/>
  <c r="V31" i="43"/>
  <c r="Z31" i="43" s="1"/>
  <c r="H31" i="43"/>
  <c r="U31" i="43"/>
  <c r="Y31" i="43" s="1"/>
  <c r="T31" i="43"/>
  <c r="X31" i="43" s="1"/>
  <c r="S31" i="43"/>
  <c r="W31" i="43" s="1"/>
  <c r="V47" i="43"/>
  <c r="Z47" i="43" s="1"/>
  <c r="U47" i="43"/>
  <c r="Y47" i="43" s="1"/>
  <c r="T47" i="43"/>
  <c r="X47" i="43" s="1"/>
  <c r="S47" i="43"/>
  <c r="W47" i="43" s="1"/>
  <c r="L72" i="43"/>
  <c r="H17" i="20" s="1"/>
  <c r="S37" i="44"/>
  <c r="W37" i="44" s="1"/>
  <c r="S44" i="44"/>
  <c r="W44" i="44" s="1"/>
  <c r="T47" i="44"/>
  <c r="X47" i="44" s="1"/>
  <c r="BQ58" i="44"/>
  <c r="BS58" i="44" s="1"/>
  <c r="BW58" i="44" s="1"/>
  <c r="U67" i="44"/>
  <c r="Y67" i="44" s="1"/>
  <c r="U68" i="44"/>
  <c r="Y68" i="44" s="1"/>
  <c r="BL68" i="44"/>
  <c r="T71" i="44"/>
  <c r="X71" i="44" s="1"/>
  <c r="BQ74" i="44"/>
  <c r="BS74" i="44" s="1"/>
  <c r="BW74" i="44" s="1"/>
  <c r="T75" i="44"/>
  <c r="X75" i="44" s="1"/>
  <c r="BQ80" i="44"/>
  <c r="BS80" i="44" s="1"/>
  <c r="BW80" i="44" s="1"/>
  <c r="T81" i="44"/>
  <c r="X81" i="44" s="1"/>
  <c r="U84" i="44"/>
  <c r="BL84" i="44"/>
  <c r="O90" i="44"/>
  <c r="O92" i="44" s="1"/>
  <c r="K16" i="20" s="1"/>
  <c r="AY90" i="44"/>
  <c r="AY92" i="44" s="1"/>
  <c r="AC16" i="39" s="1"/>
  <c r="D29" i="52"/>
  <c r="S11" i="43"/>
  <c r="BL11" i="43"/>
  <c r="S12" i="43"/>
  <c r="AN22" i="43"/>
  <c r="BV22" i="43"/>
  <c r="Q21" i="43"/>
  <c r="BQ27" i="43"/>
  <c r="BS27" i="43" s="1"/>
  <c r="BW27" i="43" s="1"/>
  <c r="Z32" i="43"/>
  <c r="O32" i="43"/>
  <c r="M32" i="43"/>
  <c r="BQ32" i="43"/>
  <c r="BS32" i="43" s="1"/>
  <c r="BW32" i="43" s="1"/>
  <c r="BH40" i="44"/>
  <c r="S36" i="44"/>
  <c r="W36" i="44" s="1"/>
  <c r="S38" i="44"/>
  <c r="W38" i="44" s="1"/>
  <c r="AB40" i="44"/>
  <c r="AX64" i="44"/>
  <c r="BJ64" i="44"/>
  <c r="T44" i="44"/>
  <c r="X44" i="44" s="1"/>
  <c r="U47" i="44"/>
  <c r="Y47" i="44" s="1"/>
  <c r="T59" i="44"/>
  <c r="BQ67" i="44"/>
  <c r="BS67" i="44" s="1"/>
  <c r="BW67" i="44" s="1"/>
  <c r="I67" i="44"/>
  <c r="V75" i="44"/>
  <c r="Z75" i="44" s="1"/>
  <c r="AS90" i="44"/>
  <c r="AS92" i="44" s="1"/>
  <c r="W16" i="39" s="1"/>
  <c r="U12" i="43"/>
  <c r="U14" i="43" s="1"/>
  <c r="V17" i="43"/>
  <c r="G22" i="43"/>
  <c r="S17" i="43"/>
  <c r="U18" i="43"/>
  <c r="Y18" i="43" s="1"/>
  <c r="T18" i="43"/>
  <c r="X18" i="43" s="1"/>
  <c r="S18" i="43"/>
  <c r="W18" i="43" s="1"/>
  <c r="V18" i="43"/>
  <c r="Z18" i="43" s="1"/>
  <c r="H25" i="43"/>
  <c r="E73" i="51"/>
  <c r="H26" i="43"/>
  <c r="X26" i="43" s="1"/>
  <c r="V27" i="43"/>
  <c r="U27" i="43"/>
  <c r="Y27" i="43" s="1"/>
  <c r="T27" i="43"/>
  <c r="X27" i="43" s="1"/>
  <c r="S27" i="43"/>
  <c r="W27" i="43" s="1"/>
  <c r="I53" i="43"/>
  <c r="BQ53" i="43"/>
  <c r="BS53" i="43" s="1"/>
  <c r="BW53" i="43" s="1"/>
  <c r="Q53" i="43"/>
  <c r="J53" i="43"/>
  <c r="V55" i="43"/>
  <c r="U55" i="43"/>
  <c r="T55" i="43"/>
  <c r="S55" i="43"/>
  <c r="T36" i="44"/>
  <c r="X36" i="44" s="1"/>
  <c r="T38" i="44"/>
  <c r="X38" i="44" s="1"/>
  <c r="U44" i="44"/>
  <c r="Y44" i="44" s="1"/>
  <c r="G82" i="44"/>
  <c r="E64" i="51" s="1"/>
  <c r="U66" i="44"/>
  <c r="Y80" i="44"/>
  <c r="Z86" i="44"/>
  <c r="H86" i="44"/>
  <c r="AM90" i="44"/>
  <c r="AM92" i="44" s="1"/>
  <c r="Q16" i="39" s="1"/>
  <c r="Z11" i="43"/>
  <c r="V13" i="43"/>
  <c r="S13" i="43"/>
  <c r="E71" i="51"/>
  <c r="H20" i="43"/>
  <c r="Q46" i="43"/>
  <c r="J46" i="43"/>
  <c r="V56" i="43"/>
  <c r="Z56" i="43" s="1"/>
  <c r="U56" i="43"/>
  <c r="Y56" i="43" s="1"/>
  <c r="T56" i="43"/>
  <c r="X56" i="43" s="1"/>
  <c r="S56" i="43"/>
  <c r="W56" i="43" s="1"/>
  <c r="D46" i="52"/>
  <c r="Y22" i="44"/>
  <c r="AJ22" i="44"/>
  <c r="AJ33" i="44" s="1"/>
  <c r="AJ90" i="44" s="1"/>
  <c r="AJ92" i="44" s="1"/>
  <c r="N16" i="39" s="1"/>
  <c r="AV22" i="44"/>
  <c r="AV33" i="44" s="1"/>
  <c r="AV90" i="44" s="1"/>
  <c r="AV92" i="44" s="1"/>
  <c r="Z16" i="39" s="1"/>
  <c r="BH22" i="44"/>
  <c r="BH33" i="44" s="1"/>
  <c r="T35" i="44"/>
  <c r="H36" i="44"/>
  <c r="I37" i="44"/>
  <c r="BL42" i="44"/>
  <c r="J43" i="44"/>
  <c r="I47" i="44"/>
  <c r="BL51" i="44"/>
  <c r="H51" i="44" s="1"/>
  <c r="J52" i="44"/>
  <c r="Q58" i="44"/>
  <c r="Q62" i="44"/>
  <c r="T66" i="44"/>
  <c r="Q67" i="44"/>
  <c r="I80" i="44"/>
  <c r="Z80" i="44"/>
  <c r="H84" i="44"/>
  <c r="J87" i="44"/>
  <c r="V88" i="44"/>
  <c r="Z88" i="44" s="1"/>
  <c r="L90" i="44"/>
  <c r="L92" i="44" s="1"/>
  <c r="H16" i="20" s="1"/>
  <c r="R90" i="44"/>
  <c r="R92" i="44" s="1"/>
  <c r="N16" i="20" s="1"/>
  <c r="Z91" i="44"/>
  <c r="T11" i="43"/>
  <c r="G14" i="43"/>
  <c r="E70" i="51" s="1"/>
  <c r="Q19" i="43"/>
  <c r="K35" i="43"/>
  <c r="K42" i="43" s="1"/>
  <c r="BQ38" i="43"/>
  <c r="BS38" i="43" s="1"/>
  <c r="BW38" i="43" s="1"/>
  <c r="J38" i="43"/>
  <c r="E81" i="51"/>
  <c r="T51" i="43"/>
  <c r="S51" i="43"/>
  <c r="H51" i="43"/>
  <c r="BO61" i="43"/>
  <c r="BS61" i="43" s="1"/>
  <c r="BW61" i="43" s="1"/>
  <c r="AL22" i="44"/>
  <c r="AL33" i="44" s="1"/>
  <c r="AL90" i="44" s="1"/>
  <c r="AL92" i="44" s="1"/>
  <c r="P16" i="39" s="1"/>
  <c r="AX22" i="44"/>
  <c r="AX33" i="44" s="1"/>
  <c r="H35" i="44"/>
  <c r="AD40" i="44"/>
  <c r="AP40" i="44"/>
  <c r="BB40" i="44"/>
  <c r="AD64" i="44"/>
  <c r="AR64" i="44"/>
  <c r="BD64" i="44"/>
  <c r="BL43" i="44"/>
  <c r="J47" i="44"/>
  <c r="Q52" i="44"/>
  <c r="BL53" i="44"/>
  <c r="BQ62" i="44"/>
  <c r="BS62" i="44" s="1"/>
  <c r="BW62" i="44" s="1"/>
  <c r="BL78" i="44"/>
  <c r="BK82" i="44"/>
  <c r="BL86" i="44"/>
  <c r="Q87" i="44"/>
  <c r="AA90" i="44"/>
  <c r="AA92" i="44" s="1"/>
  <c r="E16" i="39" s="1"/>
  <c r="H11" i="43"/>
  <c r="BL16" i="43"/>
  <c r="T17" i="43"/>
  <c r="E80" i="51"/>
  <c r="Q47" i="43"/>
  <c r="Z59" i="43"/>
  <c r="S21" i="43"/>
  <c r="W21" i="43" s="1"/>
  <c r="AH42" i="43"/>
  <c r="AT42" i="43"/>
  <c r="BF42" i="43"/>
  <c r="X28" i="43"/>
  <c r="V33" i="43"/>
  <c r="Z33" i="43" s="1"/>
  <c r="T35" i="43"/>
  <c r="X35" i="43" s="1"/>
  <c r="S44" i="43"/>
  <c r="AZ49" i="43"/>
  <c r="BL44" i="43"/>
  <c r="U46" i="43"/>
  <c r="Y46" i="43" s="1"/>
  <c r="U48" i="43"/>
  <c r="Y48" i="43" s="1"/>
  <c r="AY72" i="43"/>
  <c r="AC17" i="39" s="1"/>
  <c r="AJ64" i="43"/>
  <c r="AV64" i="43"/>
  <c r="BH64" i="43"/>
  <c r="BL58" i="43"/>
  <c r="T59" i="43"/>
  <c r="BK63" i="43"/>
  <c r="G63" i="43" s="1"/>
  <c r="H63" i="43" s="1"/>
  <c r="AC72" i="43"/>
  <c r="G17" i="39" s="1"/>
  <c r="AU72" i="43"/>
  <c r="Y17" i="39" s="1"/>
  <c r="BP11" i="42"/>
  <c r="I35" i="42"/>
  <c r="BR35" i="42"/>
  <c r="V35" i="42"/>
  <c r="Z35" i="42" s="1"/>
  <c r="U35" i="42"/>
  <c r="Y35" i="42" s="1"/>
  <c r="T35" i="42"/>
  <c r="X35" i="42" s="1"/>
  <c r="W35" i="42"/>
  <c r="AA35" i="42" s="1"/>
  <c r="AT56" i="42"/>
  <c r="W21" i="39" s="1"/>
  <c r="AX56" i="42"/>
  <c r="AA21" i="39" s="1"/>
  <c r="Y28" i="43"/>
  <c r="V46" i="43"/>
  <c r="Z46" i="43" s="1"/>
  <c r="V48" i="43"/>
  <c r="Z48" i="43" s="1"/>
  <c r="AS72" i="43"/>
  <c r="W17" i="39" s="1"/>
  <c r="U59" i="43"/>
  <c r="AZ64" i="43"/>
  <c r="E86" i="51"/>
  <c r="G71" i="43"/>
  <c r="T66" i="43"/>
  <c r="AE72" i="43"/>
  <c r="I17" i="39" s="1"/>
  <c r="AW72" i="43"/>
  <c r="AA17" i="39" s="1"/>
  <c r="V12" i="42"/>
  <c r="U12" i="42"/>
  <c r="T12" i="42"/>
  <c r="I12" i="42"/>
  <c r="S12" i="42" s="1"/>
  <c r="S15" i="42" s="1"/>
  <c r="S56" i="42" s="1"/>
  <c r="N21" i="20" s="1"/>
  <c r="W12" i="42"/>
  <c r="W13" i="42"/>
  <c r="V13" i="42"/>
  <c r="U13" i="42"/>
  <c r="T13" i="42"/>
  <c r="I13" i="42"/>
  <c r="N13" i="42" s="1"/>
  <c r="BP18" i="42"/>
  <c r="BT18" i="42" s="1"/>
  <c r="BX18" i="42" s="1"/>
  <c r="N18" i="42"/>
  <c r="N19" i="42" s="1"/>
  <c r="BM28" i="42"/>
  <c r="T22" i="42"/>
  <c r="X22" i="42" s="1"/>
  <c r="I22" i="42"/>
  <c r="W22" i="42"/>
  <c r="AA22" i="42" s="1"/>
  <c r="V22" i="42"/>
  <c r="Z22" i="42" s="1"/>
  <c r="U22" i="42"/>
  <c r="Y22" i="42" s="1"/>
  <c r="BQ41" i="42"/>
  <c r="BQ56" i="42" s="1"/>
  <c r="BT31" i="42"/>
  <c r="BX31" i="42" s="1"/>
  <c r="I33" i="42"/>
  <c r="BR33" i="42"/>
  <c r="BT33" i="42" s="1"/>
  <c r="BX33" i="42" s="1"/>
  <c r="U21" i="43"/>
  <c r="Y21" i="43" s="1"/>
  <c r="T24" i="43"/>
  <c r="V35" i="43"/>
  <c r="AM72" i="43"/>
  <c r="Q17" i="39" s="1"/>
  <c r="BJ64" i="43"/>
  <c r="BL55" i="43"/>
  <c r="H55" i="43" s="1"/>
  <c r="BL56" i="43"/>
  <c r="H56" i="43" s="1"/>
  <c r="P72" i="43"/>
  <c r="L17" i="20" s="1"/>
  <c r="BH71" i="43"/>
  <c r="BL69" i="43"/>
  <c r="H69" i="43" s="1"/>
  <c r="AO72" i="43"/>
  <c r="S17" i="39" s="1"/>
  <c r="BG72" i="43"/>
  <c r="AK17" i="39" s="1"/>
  <c r="M39" i="42"/>
  <c r="N39" i="42"/>
  <c r="BJ22" i="43"/>
  <c r="H24" i="43"/>
  <c r="U24" i="43"/>
  <c r="AB42" i="43"/>
  <c r="AN42" i="43"/>
  <c r="AZ42" i="43"/>
  <c r="S33" i="43"/>
  <c r="W33" i="43" s="1"/>
  <c r="T34" i="43"/>
  <c r="X34" i="43" s="1"/>
  <c r="BJ42" i="43"/>
  <c r="AG72" i="43"/>
  <c r="K17" i="39" s="1"/>
  <c r="BV64" i="43"/>
  <c r="AQ72" i="43"/>
  <c r="U17" i="39" s="1"/>
  <c r="BI72" i="43"/>
  <c r="AM17" i="39" s="1"/>
  <c r="V24" i="43"/>
  <c r="H33" i="43"/>
  <c r="T33" i="43"/>
  <c r="X33" i="43" s="1"/>
  <c r="H34" i="43"/>
  <c r="U34" i="43"/>
  <c r="Y34" i="43" s="1"/>
  <c r="U36" i="43"/>
  <c r="Y36" i="43" s="1"/>
  <c r="G45" i="43"/>
  <c r="S46" i="43"/>
  <c r="W46" i="43" s="1"/>
  <c r="S48" i="43"/>
  <c r="W48" i="43" s="1"/>
  <c r="AA72" i="43"/>
  <c r="E17" i="39" s="1"/>
  <c r="AF64" i="43"/>
  <c r="AR64" i="43"/>
  <c r="BD64" i="43"/>
  <c r="F82" i="51"/>
  <c r="BP67" i="43"/>
  <c r="BP68" i="43" s="1"/>
  <c r="D48" i="52" s="1"/>
  <c r="H48" i="52" s="1"/>
  <c r="F85" i="51"/>
  <c r="X67" i="43"/>
  <c r="AI72" i="43"/>
  <c r="M17" i="39" s="1"/>
  <c r="BA72" i="43"/>
  <c r="AE17" i="39" s="1"/>
  <c r="BJ71" i="43"/>
  <c r="N23" i="42"/>
  <c r="BP23" i="42"/>
  <c r="BT23" i="42" s="1"/>
  <c r="BX23" i="42" s="1"/>
  <c r="W26" i="42"/>
  <c r="V26" i="42"/>
  <c r="U26" i="42"/>
  <c r="T26" i="42"/>
  <c r="I26" i="42"/>
  <c r="BR34" i="42"/>
  <c r="BT34" i="42" s="1"/>
  <c r="BX34" i="42" s="1"/>
  <c r="I34" i="42"/>
  <c r="K52" i="42"/>
  <c r="R52" i="42"/>
  <c r="J52" i="42"/>
  <c r="U33" i="43"/>
  <c r="Y33" i="43" s="1"/>
  <c r="V34" i="43"/>
  <c r="Z34" i="43" s="1"/>
  <c r="BE72" i="43"/>
  <c r="AI17" i="39" s="1"/>
  <c r="BL52" i="43"/>
  <c r="H52" i="43" s="1"/>
  <c r="I58" i="43"/>
  <c r="BL63" i="43"/>
  <c r="Q67" i="43"/>
  <c r="U67" i="43"/>
  <c r="T67" i="43"/>
  <c r="N72" i="43"/>
  <c r="J17" i="20" s="1"/>
  <c r="AK72" i="43"/>
  <c r="O17" i="39" s="1"/>
  <c r="BC72" i="43"/>
  <c r="AG17" i="39" s="1"/>
  <c r="BM72" i="43"/>
  <c r="BP21" i="42"/>
  <c r="N21" i="42"/>
  <c r="T27" i="42"/>
  <c r="I27" i="42"/>
  <c r="W27" i="42"/>
  <c r="V27" i="42"/>
  <c r="U27" i="42"/>
  <c r="Y60" i="43"/>
  <c r="BU66" i="43"/>
  <c r="T69" i="43"/>
  <c r="V11" i="42"/>
  <c r="AA14" i="42"/>
  <c r="T25" i="42"/>
  <c r="X25" i="42" s="1"/>
  <c r="AE28" i="42"/>
  <c r="T30" i="42"/>
  <c r="V31" i="42"/>
  <c r="U36" i="42"/>
  <c r="Y36" i="42" s="1"/>
  <c r="T38" i="42"/>
  <c r="BM38" i="42"/>
  <c r="BR38" i="42" s="1"/>
  <c r="BT38" i="42" s="1"/>
  <c r="BX38" i="42" s="1"/>
  <c r="T39" i="42"/>
  <c r="X39" i="42" s="1"/>
  <c r="V40" i="42"/>
  <c r="Z40" i="42" s="1"/>
  <c r="BO56" i="42"/>
  <c r="H43" i="42"/>
  <c r="AW46" i="42"/>
  <c r="AW49" i="42" s="1"/>
  <c r="BC46" i="42"/>
  <c r="BC49" i="42" s="1"/>
  <c r="BL46" i="42"/>
  <c r="H46" i="42" s="1"/>
  <c r="E97" i="51" s="1"/>
  <c r="AR49" i="42"/>
  <c r="AR56" i="42" s="1"/>
  <c r="U21" i="39" s="1"/>
  <c r="U51" i="42"/>
  <c r="AE55" i="42"/>
  <c r="BM51" i="42"/>
  <c r="BL53" i="42"/>
  <c r="H53" i="42" s="1"/>
  <c r="E98" i="51" s="1"/>
  <c r="AJ56" i="42"/>
  <c r="M21" i="39" s="1"/>
  <c r="AQ53" i="42"/>
  <c r="AQ55" i="42" s="1"/>
  <c r="P24" i="41"/>
  <c r="S30" i="24"/>
  <c r="W30" i="24" s="1"/>
  <c r="G30" i="24"/>
  <c r="W11" i="42"/>
  <c r="T18" i="42"/>
  <c r="X18" i="42" s="1"/>
  <c r="T21" i="42"/>
  <c r="H28" i="42"/>
  <c r="W31" i="42"/>
  <c r="W47" i="42"/>
  <c r="AA47" i="42" s="1"/>
  <c r="W48" i="42"/>
  <c r="AA48" i="42" s="1"/>
  <c r="I48" i="42"/>
  <c r="V51" i="42"/>
  <c r="BE55" i="42"/>
  <c r="T52" i="42"/>
  <c r="X52" i="42" s="1"/>
  <c r="BH56" i="42"/>
  <c r="AK21" i="39" s="1"/>
  <c r="BD55" i="42"/>
  <c r="BD56" i="42" s="1"/>
  <c r="AG21" i="39" s="1"/>
  <c r="AG23" i="39" s="1"/>
  <c r="T12" i="41"/>
  <c r="X12" i="41" s="1"/>
  <c r="S12" i="41"/>
  <c r="W12" i="41" s="1"/>
  <c r="G12" i="41"/>
  <c r="U12" i="41"/>
  <c r="Y12" i="41" s="1"/>
  <c r="I17" i="41"/>
  <c r="H17" i="41"/>
  <c r="BE46" i="41"/>
  <c r="AJ22" i="39" s="1"/>
  <c r="Y39" i="41"/>
  <c r="I41" i="41"/>
  <c r="H41" i="41"/>
  <c r="Y12" i="24"/>
  <c r="Y25" i="24" s="1"/>
  <c r="U25" i="24"/>
  <c r="I11" i="42"/>
  <c r="X11" i="42"/>
  <c r="U18" i="42"/>
  <c r="Y18" i="42" s="1"/>
  <c r="U21" i="42"/>
  <c r="BP25" i="42"/>
  <c r="BT25" i="42" s="1"/>
  <c r="BX25" i="42" s="1"/>
  <c r="BM30" i="42"/>
  <c r="I31" i="42"/>
  <c r="N31" i="42" s="1"/>
  <c r="X32" i="42"/>
  <c r="W36" i="42"/>
  <c r="AA36" i="42" s="1"/>
  <c r="V39" i="42"/>
  <c r="Z39" i="42" s="1"/>
  <c r="AC46" i="42"/>
  <c r="AC49" i="42" s="1"/>
  <c r="AQ46" i="42"/>
  <c r="AQ49" i="42" s="1"/>
  <c r="AY46" i="42"/>
  <c r="AY49" i="42" s="1"/>
  <c r="BE46" i="42"/>
  <c r="BE49" i="42" s="1"/>
  <c r="T48" i="42"/>
  <c r="X48" i="42" s="1"/>
  <c r="AL49" i="42"/>
  <c r="W51" i="42"/>
  <c r="U52" i="42"/>
  <c r="Y52" i="42" s="1"/>
  <c r="BB56" i="42"/>
  <c r="AE21" i="39" s="1"/>
  <c r="BI53" i="42"/>
  <c r="BI55" i="42" s="1"/>
  <c r="BI56" i="42" s="1"/>
  <c r="AL21" i="39" s="1"/>
  <c r="AH55" i="42"/>
  <c r="AH56" i="42" s="1"/>
  <c r="K21" i="39" s="1"/>
  <c r="E102" i="51"/>
  <c r="U15" i="41"/>
  <c r="T15" i="41"/>
  <c r="R15" i="41"/>
  <c r="AG20" i="41"/>
  <c r="AO46" i="41"/>
  <c r="T22" i="39" s="1"/>
  <c r="BM13" i="42"/>
  <c r="X14" i="42"/>
  <c r="V18" i="42"/>
  <c r="Z18" i="42" s="1"/>
  <c r="V21" i="42"/>
  <c r="W30" i="42"/>
  <c r="Y37" i="42"/>
  <c r="I44" i="42"/>
  <c r="U48" i="42"/>
  <c r="Y48" i="42" s="1"/>
  <c r="AW55" i="42"/>
  <c r="V52" i="42"/>
  <c r="Z52" i="42" s="1"/>
  <c r="AV56" i="42"/>
  <c r="Y21" i="39" s="1"/>
  <c r="O56" i="42"/>
  <c r="J21" i="20" s="1"/>
  <c r="R12" i="41"/>
  <c r="V12" i="41" s="1"/>
  <c r="S15" i="41"/>
  <c r="F105" i="51"/>
  <c r="BI46" i="41"/>
  <c r="AN22" i="39" s="1"/>
  <c r="P25" i="41"/>
  <c r="I25" i="41"/>
  <c r="H25" i="41"/>
  <c r="H16" i="24"/>
  <c r="I16" i="24"/>
  <c r="Y14" i="42"/>
  <c r="W18" i="42"/>
  <c r="AA18" i="42" s="1"/>
  <c r="W21" i="42"/>
  <c r="Y32" i="42"/>
  <c r="AA32" i="42"/>
  <c r="Z37" i="42"/>
  <c r="Z38" i="42"/>
  <c r="BM43" i="42"/>
  <c r="AO49" i="42"/>
  <c r="AM56" i="42"/>
  <c r="P21" i="39" s="1"/>
  <c r="W52" i="42"/>
  <c r="AA52" i="42" s="1"/>
  <c r="BU56" i="42"/>
  <c r="AB56" i="42"/>
  <c r="E21" i="39" s="1"/>
  <c r="BJ56" i="42"/>
  <c r="AM21" i="39" s="1"/>
  <c r="R13" i="41"/>
  <c r="V13" i="41" s="1"/>
  <c r="F20" i="41"/>
  <c r="U13" i="41"/>
  <c r="Y13" i="41" s="1"/>
  <c r="T13" i="41"/>
  <c r="X13" i="41" s="1"/>
  <c r="S13" i="41"/>
  <c r="W13" i="41" s="1"/>
  <c r="G13" i="41"/>
  <c r="AK20" i="41"/>
  <c r="BP22" i="41"/>
  <c r="G27" i="41"/>
  <c r="L27" i="41" s="1"/>
  <c r="BP27" i="41"/>
  <c r="BR27" i="41" s="1"/>
  <c r="BV27" i="41" s="1"/>
  <c r="BR28" i="41"/>
  <c r="BV28" i="41" s="1"/>
  <c r="F110" i="51"/>
  <c r="L34" i="41"/>
  <c r="Y34" i="41"/>
  <c r="X34" i="41"/>
  <c r="BP34" i="41"/>
  <c r="H34" i="41"/>
  <c r="U11" i="42"/>
  <c r="I14" i="42"/>
  <c r="Z14" i="42"/>
  <c r="H17" i="42"/>
  <c r="BL41" i="42"/>
  <c r="M37" i="42"/>
  <c r="AA37" i="42"/>
  <c r="U40" i="42"/>
  <c r="Y40" i="42" s="1"/>
  <c r="I51" i="42"/>
  <c r="X51" i="42" s="1"/>
  <c r="AP56" i="42"/>
  <c r="S21" i="39" s="1"/>
  <c r="BK12" i="41"/>
  <c r="BK15" i="41"/>
  <c r="G15" i="41" s="1"/>
  <c r="BJ20" i="41"/>
  <c r="T29" i="41"/>
  <c r="X29" i="41" s="1"/>
  <c r="U29" i="41"/>
  <c r="Y29" i="41" s="1"/>
  <c r="S29" i="41"/>
  <c r="W29" i="41" s="1"/>
  <c r="G29" i="41"/>
  <c r="L29" i="41" s="1"/>
  <c r="H30" i="41"/>
  <c r="L30" i="41"/>
  <c r="I30" i="41"/>
  <c r="D68" i="52"/>
  <c r="H68" i="52" s="1"/>
  <c r="BO45" i="41"/>
  <c r="BO46" i="41" s="1"/>
  <c r="M16" i="41"/>
  <c r="BR16" i="41"/>
  <c r="BV16" i="41" s="1"/>
  <c r="AE37" i="41"/>
  <c r="AE46" i="41" s="1"/>
  <c r="J22" i="39" s="1"/>
  <c r="AQ37" i="41"/>
  <c r="AQ46" i="41" s="1"/>
  <c r="V22" i="39" s="1"/>
  <c r="BC37" i="41"/>
  <c r="T27" i="41"/>
  <c r="X27" i="41" s="1"/>
  <c r="U28" i="41"/>
  <c r="Y28" i="41" s="1"/>
  <c r="G31" i="41"/>
  <c r="L31" i="41" s="1"/>
  <c r="AD46" i="41"/>
  <c r="I22" i="39" s="1"/>
  <c r="AZ46" i="41"/>
  <c r="AE22" i="39" s="1"/>
  <c r="AC45" i="41"/>
  <c r="AO45" i="41"/>
  <c r="BA45" i="41"/>
  <c r="BK39" i="41"/>
  <c r="AM45" i="41"/>
  <c r="E112" i="51"/>
  <c r="S44" i="41"/>
  <c r="W44" i="41" s="1"/>
  <c r="R44" i="41"/>
  <c r="V44" i="41" s="1"/>
  <c r="R12" i="24"/>
  <c r="BK12" i="24"/>
  <c r="G21" i="24"/>
  <c r="S21" i="24"/>
  <c r="W21" i="24" s="1"/>
  <c r="F25" i="24"/>
  <c r="BK33" i="24"/>
  <c r="I31" i="24"/>
  <c r="R65" i="24"/>
  <c r="V65" i="24" s="1"/>
  <c r="T65" i="24"/>
  <c r="X65" i="24" s="1"/>
  <c r="S65" i="24"/>
  <c r="W65" i="24" s="1"/>
  <c r="G65" i="24"/>
  <c r="U65" i="24"/>
  <c r="Y65" i="24" s="1"/>
  <c r="AA20" i="41"/>
  <c r="F22" i="41"/>
  <c r="U27" i="41"/>
  <c r="Y27" i="41" s="1"/>
  <c r="S35" i="41"/>
  <c r="W35" i="41" s="1"/>
  <c r="AT46" i="41"/>
  <c r="Y22" i="39" s="1"/>
  <c r="F45" i="41"/>
  <c r="T39" i="41"/>
  <c r="BC45" i="41"/>
  <c r="BK41" i="41"/>
  <c r="T12" i="24"/>
  <c r="I42" i="24"/>
  <c r="K42" i="24" s="1"/>
  <c r="H42" i="24"/>
  <c r="Y42" i="24"/>
  <c r="BP42" i="24"/>
  <c r="BR42" i="24" s="1"/>
  <c r="BV42" i="24" s="1"/>
  <c r="T46" i="24"/>
  <c r="X46" i="24" s="1"/>
  <c r="G46" i="24"/>
  <c r="G28" i="41"/>
  <c r="L28" i="41" s="1"/>
  <c r="S33" i="41"/>
  <c r="X35" i="41"/>
  <c r="AN46" i="41"/>
  <c r="S22" i="39" s="1"/>
  <c r="G39" i="41"/>
  <c r="AG45" i="41"/>
  <c r="BR40" i="41"/>
  <c r="BV40" i="41" s="1"/>
  <c r="G15" i="24"/>
  <c r="G17" i="24"/>
  <c r="H24" i="24"/>
  <c r="I24" i="24"/>
  <c r="BJ25" i="24"/>
  <c r="BP29" i="24"/>
  <c r="BR29" i="24" s="1"/>
  <c r="BV29" i="24" s="1"/>
  <c r="G43" i="24"/>
  <c r="T43" i="24"/>
  <c r="T33" i="41"/>
  <c r="Y35" i="41"/>
  <c r="AA37" i="41"/>
  <c r="AH46" i="41"/>
  <c r="M22" i="39" s="1"/>
  <c r="AA45" i="41"/>
  <c r="BT46" i="41"/>
  <c r="R58" i="24"/>
  <c r="V58" i="24" s="1"/>
  <c r="U58" i="24"/>
  <c r="Y58" i="24" s="1"/>
  <c r="T58" i="24"/>
  <c r="X58" i="24" s="1"/>
  <c r="S58" i="24"/>
  <c r="W58" i="24" s="1"/>
  <c r="G58" i="24"/>
  <c r="R66" i="24"/>
  <c r="V66" i="24" s="1"/>
  <c r="S66" i="24"/>
  <c r="W66" i="24" s="1"/>
  <c r="U66" i="24"/>
  <c r="Y66" i="24" s="1"/>
  <c r="T66" i="24"/>
  <c r="X66" i="24" s="1"/>
  <c r="G66" i="24"/>
  <c r="H23" i="41"/>
  <c r="S28" i="41"/>
  <c r="W28" i="41" s="1"/>
  <c r="G33" i="41"/>
  <c r="U33" i="41"/>
  <c r="G35" i="41"/>
  <c r="AB46" i="41"/>
  <c r="G22" i="39" s="1"/>
  <c r="R45" i="41"/>
  <c r="BN44" i="41"/>
  <c r="BR44" i="41" s="1"/>
  <c r="BV44" i="41" s="1"/>
  <c r="S12" i="24"/>
  <c r="G12" i="24"/>
  <c r="G13" i="24"/>
  <c r="I18" i="24"/>
  <c r="H20" i="24"/>
  <c r="G35" i="24"/>
  <c r="F48" i="24"/>
  <c r="T35" i="24"/>
  <c r="I23" i="41"/>
  <c r="AJ46" i="41"/>
  <c r="O22" i="39" s="1"/>
  <c r="AR46" i="41"/>
  <c r="W22" i="39" s="1"/>
  <c r="BF46" i="41"/>
  <c r="AK22" i="39" s="1"/>
  <c r="S39" i="41"/>
  <c r="BJ45" i="41"/>
  <c r="U43" i="41"/>
  <c r="Y43" i="41" s="1"/>
  <c r="S14" i="24"/>
  <c r="W14" i="24" s="1"/>
  <c r="I23" i="24"/>
  <c r="H23" i="24"/>
  <c r="F28" i="24"/>
  <c r="BJ33" i="24"/>
  <c r="BI33" i="24"/>
  <c r="G47" i="24"/>
  <c r="T47" i="24"/>
  <c r="X47" i="24" s="1"/>
  <c r="BV54" i="24"/>
  <c r="R57" i="24"/>
  <c r="V57" i="24" s="1"/>
  <c r="S57" i="24"/>
  <c r="W57" i="24" s="1"/>
  <c r="G57" i="24"/>
  <c r="U57" i="24"/>
  <c r="Y57" i="24" s="1"/>
  <c r="T57" i="24"/>
  <c r="X57" i="24" s="1"/>
  <c r="G19" i="24"/>
  <c r="BU48" i="24"/>
  <c r="T53" i="24"/>
  <c r="S56" i="24"/>
  <c r="W56" i="24" s="1"/>
  <c r="T56" i="24"/>
  <c r="X56" i="24" s="1"/>
  <c r="U59" i="24"/>
  <c r="Y59" i="24" s="1"/>
  <c r="S60" i="24"/>
  <c r="W60" i="24" s="1"/>
  <c r="T61" i="24"/>
  <c r="X61" i="24" s="1"/>
  <c r="T63" i="24"/>
  <c r="X63" i="24" s="1"/>
  <c r="S70" i="24"/>
  <c r="W70" i="24" s="1"/>
  <c r="T70" i="24"/>
  <c r="X70" i="24" s="1"/>
  <c r="H73" i="24"/>
  <c r="I76" i="24"/>
  <c r="H76" i="24"/>
  <c r="AA89" i="24"/>
  <c r="F26" i="39" s="1"/>
  <c r="AG89" i="24"/>
  <c r="L26" i="39" s="1"/>
  <c r="AS89" i="24"/>
  <c r="X26" i="39" s="1"/>
  <c r="BE89" i="24"/>
  <c r="AJ26" i="39" s="1"/>
  <c r="S82" i="24"/>
  <c r="W82" i="24" s="1"/>
  <c r="F88" i="24"/>
  <c r="G82" i="24"/>
  <c r="T82" i="24"/>
  <c r="X82" i="24" s="1"/>
  <c r="R82" i="24"/>
  <c r="V82" i="24" s="1"/>
  <c r="AR89" i="24"/>
  <c r="W26" i="39" s="1"/>
  <c r="AX89" i="24"/>
  <c r="AC26" i="39" s="1"/>
  <c r="BM89" i="24"/>
  <c r="I13" i="25"/>
  <c r="BT13" i="25"/>
  <c r="H13" i="25"/>
  <c r="BN13" i="25"/>
  <c r="BR13" i="25" s="1"/>
  <c r="U61" i="24"/>
  <c r="Y61" i="24" s="1"/>
  <c r="R68" i="24"/>
  <c r="V68" i="24" s="1"/>
  <c r="U68" i="24"/>
  <c r="Y68" i="24" s="1"/>
  <c r="S68" i="24"/>
  <c r="W68" i="24" s="1"/>
  <c r="G68" i="24"/>
  <c r="H70" i="24"/>
  <c r="I70" i="24"/>
  <c r="U72" i="24"/>
  <c r="Y72" i="24" s="1"/>
  <c r="G72" i="24"/>
  <c r="R72" i="24"/>
  <c r="V72" i="24" s="1"/>
  <c r="S72" i="24"/>
  <c r="W72" i="24" s="1"/>
  <c r="S74" i="24"/>
  <c r="W74" i="24" s="1"/>
  <c r="U74" i="24"/>
  <c r="Y74" i="24" s="1"/>
  <c r="R74" i="24"/>
  <c r="V74" i="24" s="1"/>
  <c r="G74" i="24"/>
  <c r="T77" i="24"/>
  <c r="X77" i="24" s="1"/>
  <c r="R77" i="24"/>
  <c r="V77" i="24" s="1"/>
  <c r="G77" i="24"/>
  <c r="U77" i="24"/>
  <c r="Y77" i="24" s="1"/>
  <c r="AB89" i="24"/>
  <c r="G26" i="39" s="1"/>
  <c r="AH89" i="24"/>
  <c r="M26" i="39" s="1"/>
  <c r="AN89" i="24"/>
  <c r="S26" i="39" s="1"/>
  <c r="AT89" i="24"/>
  <c r="Y26" i="39" s="1"/>
  <c r="AZ89" i="24"/>
  <c r="AE26" i="39" s="1"/>
  <c r="BF89" i="24"/>
  <c r="AK26" i="39" s="1"/>
  <c r="AY89" i="24"/>
  <c r="AD26" i="39" s="1"/>
  <c r="BN89" i="24"/>
  <c r="C70" i="52" s="1"/>
  <c r="V16" i="25"/>
  <c r="BI48" i="24"/>
  <c r="BK35" i="24"/>
  <c r="BV45" i="24"/>
  <c r="BR61" i="24"/>
  <c r="BV61" i="24" s="1"/>
  <c r="BV56" i="24"/>
  <c r="H59" i="24"/>
  <c r="I59" i="24"/>
  <c r="BH79" i="24"/>
  <c r="BH89" i="24" s="1"/>
  <c r="AM26" i="39" s="1"/>
  <c r="BI67" i="24"/>
  <c r="BK67" i="24" s="1"/>
  <c r="BS67" i="24" s="1"/>
  <c r="BU67" i="24" s="1"/>
  <c r="BV67" i="24" s="1"/>
  <c r="BJ67" i="24"/>
  <c r="F67" i="24" s="1"/>
  <c r="S87" i="24"/>
  <c r="W87" i="24" s="1"/>
  <c r="T87" i="24"/>
  <c r="X87" i="24" s="1"/>
  <c r="R87" i="24"/>
  <c r="V87" i="24" s="1"/>
  <c r="G87" i="24"/>
  <c r="U87" i="24"/>
  <c r="Y87" i="24" s="1"/>
  <c r="BQ30" i="25"/>
  <c r="BQ56" i="25" s="1"/>
  <c r="F71" i="52" s="1"/>
  <c r="J89" i="24"/>
  <c r="G26" i="20" s="1"/>
  <c r="BT48" i="24"/>
  <c r="H53" i="24"/>
  <c r="I53" i="24"/>
  <c r="U60" i="24"/>
  <c r="Y60" i="24" s="1"/>
  <c r="G60" i="24"/>
  <c r="R63" i="24"/>
  <c r="V63" i="24" s="1"/>
  <c r="S63" i="24"/>
  <c r="W63" i="24" s="1"/>
  <c r="BV72" i="24"/>
  <c r="R75" i="24"/>
  <c r="V75" i="24" s="1"/>
  <c r="U75" i="24"/>
  <c r="Y75" i="24" s="1"/>
  <c r="S75" i="24"/>
  <c r="W75" i="24" s="1"/>
  <c r="R83" i="24"/>
  <c r="V83" i="24" s="1"/>
  <c r="T83" i="24"/>
  <c r="X83" i="24" s="1"/>
  <c r="S83" i="24"/>
  <c r="W83" i="24" s="1"/>
  <c r="G83" i="24"/>
  <c r="U83" i="24"/>
  <c r="Y83" i="24" s="1"/>
  <c r="Y84" i="24"/>
  <c r="X84" i="24"/>
  <c r="W84" i="24"/>
  <c r="G84" i="24"/>
  <c r="AC89" i="24"/>
  <c r="H26" i="39" s="1"/>
  <c r="AI89" i="24"/>
  <c r="N26" i="39" s="1"/>
  <c r="AO89" i="24"/>
  <c r="T26" i="39" s="1"/>
  <c r="AU89" i="24"/>
  <c r="Z26" i="39" s="1"/>
  <c r="BA89" i="24"/>
  <c r="AF26" i="39" s="1"/>
  <c r="BG89" i="24"/>
  <c r="AL26" i="39" s="1"/>
  <c r="BR38" i="24"/>
  <c r="BV38" i="24" s="1"/>
  <c r="AM89" i="24"/>
  <c r="R26" i="39" s="1"/>
  <c r="R53" i="24"/>
  <c r="BK53" i="24"/>
  <c r="H56" i="24"/>
  <c r="S59" i="24"/>
  <c r="W59" i="24" s="1"/>
  <c r="G61" i="24"/>
  <c r="I62" i="24"/>
  <c r="G63" i="24"/>
  <c r="R64" i="24"/>
  <c r="V64" i="24" s="1"/>
  <c r="U64" i="24"/>
  <c r="Y64" i="24" s="1"/>
  <c r="G64" i="24"/>
  <c r="BV66" i="24"/>
  <c r="G69" i="24"/>
  <c r="T69" i="24"/>
  <c r="X69" i="24" s="1"/>
  <c r="G71" i="24"/>
  <c r="T71" i="24"/>
  <c r="X71" i="24" s="1"/>
  <c r="BV75" i="24"/>
  <c r="S77" i="24"/>
  <c r="W77" i="24" s="1"/>
  <c r="U78" i="24"/>
  <c r="Y78" i="24" s="1"/>
  <c r="G78" i="24"/>
  <c r="T78" i="24"/>
  <c r="X78" i="24" s="1"/>
  <c r="R78" i="24"/>
  <c r="V78" i="24" s="1"/>
  <c r="AJ89" i="24"/>
  <c r="O26" i="39" s="1"/>
  <c r="AP89" i="24"/>
  <c r="U26" i="39" s="1"/>
  <c r="BB89" i="24"/>
  <c r="AG26" i="39" s="1"/>
  <c r="G12" i="25"/>
  <c r="BK16" i="25"/>
  <c r="BP27" i="25"/>
  <c r="BR27" i="25" s="1"/>
  <c r="BV27" i="25" s="1"/>
  <c r="I27" i="25"/>
  <c r="H27" i="25"/>
  <c r="T36" i="24"/>
  <c r="X36" i="24" s="1"/>
  <c r="G41" i="24"/>
  <c r="S53" i="24"/>
  <c r="S55" i="24"/>
  <c r="W55" i="24" s="1"/>
  <c r="T55" i="24"/>
  <c r="X55" i="24" s="1"/>
  <c r="R60" i="24"/>
  <c r="V60" i="24" s="1"/>
  <c r="S61" i="24"/>
  <c r="W61" i="24" s="1"/>
  <c r="S64" i="24"/>
  <c r="W64" i="24" s="1"/>
  <c r="R69" i="24"/>
  <c r="V69" i="24" s="1"/>
  <c r="R71" i="24"/>
  <c r="V71" i="24" s="1"/>
  <c r="BV73" i="24"/>
  <c r="G75" i="24"/>
  <c r="S78" i="24"/>
  <c r="W78" i="24" s="1"/>
  <c r="Z89" i="24"/>
  <c r="E26" i="39" s="1"/>
  <c r="AF89" i="24"/>
  <c r="K26" i="39" s="1"/>
  <c r="AL89" i="24"/>
  <c r="Q26" i="39" s="1"/>
  <c r="BD89" i="24"/>
  <c r="AI26" i="39" s="1"/>
  <c r="BV82" i="24"/>
  <c r="BV85" i="24"/>
  <c r="G54" i="24"/>
  <c r="U54" i="24"/>
  <c r="Y54" i="24" s="1"/>
  <c r="T76" i="24"/>
  <c r="X76" i="24" s="1"/>
  <c r="I81" i="24"/>
  <c r="X81" i="24"/>
  <c r="BT81" i="24"/>
  <c r="BK83" i="24"/>
  <c r="BT83" i="24" s="1"/>
  <c r="BU83" i="24" s="1"/>
  <c r="BV83" i="24" s="1"/>
  <c r="S86" i="24"/>
  <c r="W86" i="24" s="1"/>
  <c r="T18" i="25"/>
  <c r="T30" i="25" s="1"/>
  <c r="AQ19" i="25"/>
  <c r="AQ30" i="25" s="1"/>
  <c r="U21" i="25"/>
  <c r="Y21" i="25" s="1"/>
  <c r="BP25" i="25"/>
  <c r="BR25" i="25" s="1"/>
  <c r="BV25" i="25" s="1"/>
  <c r="H25" i="25"/>
  <c r="I25" i="25"/>
  <c r="BK26" i="25"/>
  <c r="S27" i="25"/>
  <c r="W27" i="25" s="1"/>
  <c r="U76" i="24"/>
  <c r="Y76" i="24" s="1"/>
  <c r="AQ16" i="25"/>
  <c r="BI16" i="25"/>
  <c r="U18" i="25"/>
  <c r="H24" i="25"/>
  <c r="BP24" i="25"/>
  <c r="BR24" i="25" s="1"/>
  <c r="BV24" i="25" s="1"/>
  <c r="S28" i="25"/>
  <c r="W28" i="25" s="1"/>
  <c r="G28" i="25"/>
  <c r="R38" i="25"/>
  <c r="V38" i="25" s="1"/>
  <c r="S38" i="25"/>
  <c r="W38" i="25" s="1"/>
  <c r="G38" i="25"/>
  <c r="U38" i="25"/>
  <c r="Y38" i="25" s="1"/>
  <c r="T38" i="25"/>
  <c r="X38" i="25" s="1"/>
  <c r="R41" i="25"/>
  <c r="V41" i="25" s="1"/>
  <c r="S41" i="25"/>
  <c r="W41" i="25" s="1"/>
  <c r="G41" i="25"/>
  <c r="U41" i="25"/>
  <c r="Y41" i="25" s="1"/>
  <c r="T41" i="25"/>
  <c r="X41" i="25" s="1"/>
  <c r="R16" i="25"/>
  <c r="G21" i="25"/>
  <c r="BP23" i="25"/>
  <c r="BR23" i="25" s="1"/>
  <c r="BV23" i="25" s="1"/>
  <c r="I23" i="25"/>
  <c r="S24" i="25"/>
  <c r="W24" i="25" s="1"/>
  <c r="S26" i="25"/>
  <c r="W26" i="25" s="1"/>
  <c r="G26" i="25"/>
  <c r="BK35" i="25"/>
  <c r="S36" i="25"/>
  <c r="W36" i="25" s="1"/>
  <c r="R36" i="25"/>
  <c r="V36" i="25" s="1"/>
  <c r="G36" i="25"/>
  <c r="U36" i="25"/>
  <c r="Y36" i="25" s="1"/>
  <c r="T36" i="25"/>
  <c r="X36" i="25" s="1"/>
  <c r="R44" i="25"/>
  <c r="V44" i="25" s="1"/>
  <c r="G44" i="25"/>
  <c r="U44" i="25"/>
  <c r="Y44" i="25" s="1"/>
  <c r="T44" i="25"/>
  <c r="X44" i="25" s="1"/>
  <c r="S44" i="25"/>
  <c r="W44" i="25" s="1"/>
  <c r="U85" i="24"/>
  <c r="Y85" i="24" s="1"/>
  <c r="G85" i="24"/>
  <c r="H86" i="24"/>
  <c r="BV86" i="24"/>
  <c r="AE16" i="25"/>
  <c r="T14" i="25"/>
  <c r="BG30" i="25"/>
  <c r="AY19" i="25"/>
  <c r="AM19" i="25"/>
  <c r="AM30" i="25" s="1"/>
  <c r="AA19" i="25"/>
  <c r="AA30" i="25" s="1"/>
  <c r="AW19" i="25"/>
  <c r="AW30" i="25" s="1"/>
  <c r="AW56" i="25" s="1"/>
  <c r="AB27" i="39" s="1"/>
  <c r="AI19" i="25"/>
  <c r="AI30" i="25" s="1"/>
  <c r="AG19" i="25"/>
  <c r="AG30" i="25" s="1"/>
  <c r="BA19" i="25"/>
  <c r="BA30" i="25" s="1"/>
  <c r="BK21" i="25"/>
  <c r="H23" i="25"/>
  <c r="S34" i="25"/>
  <c r="R34" i="25"/>
  <c r="F48" i="25"/>
  <c r="G34" i="25"/>
  <c r="T34" i="25"/>
  <c r="AE48" i="25"/>
  <c r="S35" i="25"/>
  <c r="W35" i="25" s="1"/>
  <c r="G35" i="25"/>
  <c r="T35" i="25"/>
  <c r="X35" i="25" s="1"/>
  <c r="R35" i="25"/>
  <c r="V35" i="25" s="1"/>
  <c r="R39" i="25"/>
  <c r="V39" i="25" s="1"/>
  <c r="S39" i="25"/>
  <c r="W39" i="25" s="1"/>
  <c r="G39" i="25"/>
  <c r="U39" i="25"/>
  <c r="Y39" i="25" s="1"/>
  <c r="T39" i="25"/>
  <c r="X39" i="25" s="1"/>
  <c r="R42" i="25"/>
  <c r="V42" i="25" s="1"/>
  <c r="S42" i="25"/>
  <c r="W42" i="25" s="1"/>
  <c r="G42" i="25"/>
  <c r="U42" i="25"/>
  <c r="Y42" i="25" s="1"/>
  <c r="T42" i="25"/>
  <c r="X42" i="25" s="1"/>
  <c r="AE89" i="24"/>
  <c r="J26" i="39" s="1"/>
  <c r="AK89" i="24"/>
  <c r="P26" i="39" s="1"/>
  <c r="AQ89" i="24"/>
  <c r="V26" i="39" s="1"/>
  <c r="AW89" i="24"/>
  <c r="AB26" i="39" s="1"/>
  <c r="BC89" i="24"/>
  <c r="AH26" i="39" s="1"/>
  <c r="U14" i="25"/>
  <c r="Y14" i="25" s="1"/>
  <c r="BK18" i="25"/>
  <c r="R21" i="25"/>
  <c r="V21" i="25" s="1"/>
  <c r="BK28" i="25"/>
  <c r="R45" i="25"/>
  <c r="V45" i="25" s="1"/>
  <c r="G45" i="25"/>
  <c r="U45" i="25"/>
  <c r="Y45" i="25" s="1"/>
  <c r="T45" i="25"/>
  <c r="X45" i="25" s="1"/>
  <c r="S45" i="25"/>
  <c r="W45" i="25" s="1"/>
  <c r="H81" i="24"/>
  <c r="BR88" i="24"/>
  <c r="R86" i="24"/>
  <c r="V86" i="24" s="1"/>
  <c r="BJ88" i="24"/>
  <c r="F12" i="25"/>
  <c r="G14" i="25"/>
  <c r="S18" i="25"/>
  <c r="AC30" i="25"/>
  <c r="AY30" i="25"/>
  <c r="BJ30" i="25"/>
  <c r="BJ56" i="25" s="1"/>
  <c r="G19" i="25"/>
  <c r="AO19" i="25"/>
  <c r="AO30" i="25" s="1"/>
  <c r="BE19" i="25"/>
  <c r="S21" i="25"/>
  <c r="W21" i="25" s="1"/>
  <c r="I22" i="25"/>
  <c r="BP29" i="25"/>
  <c r="BR29" i="25" s="1"/>
  <c r="BV29" i="25" s="1"/>
  <c r="H29" i="25"/>
  <c r="I29" i="25"/>
  <c r="AN56" i="25"/>
  <c r="S27" i="39" s="1"/>
  <c r="U34" i="25"/>
  <c r="BK36" i="25"/>
  <c r="R37" i="25"/>
  <c r="V37" i="25" s="1"/>
  <c r="S37" i="25"/>
  <c r="W37" i="25" s="1"/>
  <c r="G37" i="25"/>
  <c r="U37" i="25"/>
  <c r="Y37" i="25" s="1"/>
  <c r="T37" i="25"/>
  <c r="X37" i="25" s="1"/>
  <c r="R40" i="25"/>
  <c r="V40" i="25" s="1"/>
  <c r="S40" i="25"/>
  <c r="W40" i="25" s="1"/>
  <c r="G40" i="25"/>
  <c r="U40" i="25"/>
  <c r="Y40" i="25" s="1"/>
  <c r="T40" i="25"/>
  <c r="X40" i="25" s="1"/>
  <c r="R43" i="25"/>
  <c r="V43" i="25" s="1"/>
  <c r="S43" i="25"/>
  <c r="W43" i="25" s="1"/>
  <c r="G43" i="25"/>
  <c r="U43" i="25"/>
  <c r="Y43" i="25" s="1"/>
  <c r="T43" i="25"/>
  <c r="X43" i="25" s="1"/>
  <c r="BL56" i="25"/>
  <c r="AO48" i="25"/>
  <c r="AC44" i="25"/>
  <c r="AC48" i="25" s="1"/>
  <c r="S46" i="25"/>
  <c r="W46" i="25" s="1"/>
  <c r="S47" i="25"/>
  <c r="W47" i="25" s="1"/>
  <c r="AV56" i="25"/>
  <c r="AA27" i="39" s="1"/>
  <c r="W50" i="25"/>
  <c r="AD56" i="25"/>
  <c r="I27" i="39" s="1"/>
  <c r="AP56" i="25"/>
  <c r="U27" i="39" s="1"/>
  <c r="AQ48" i="25"/>
  <c r="BR48" i="25"/>
  <c r="K56" i="25"/>
  <c r="H27" i="20" s="1"/>
  <c r="Q56" i="25"/>
  <c r="N27" i="20" s="1"/>
  <c r="R53" i="25"/>
  <c r="V53" i="25" s="1"/>
  <c r="T53" i="25"/>
  <c r="X53" i="25" s="1"/>
  <c r="S53" i="25"/>
  <c r="W53" i="25" s="1"/>
  <c r="G53" i="25"/>
  <c r="U53" i="25"/>
  <c r="Y53" i="25" s="1"/>
  <c r="BD56" i="25"/>
  <c r="AI27" i="39" s="1"/>
  <c r="O56" i="25"/>
  <c r="L27" i="20" s="1"/>
  <c r="AT35" i="26"/>
  <c r="X28" i="39" s="1"/>
  <c r="AS48" i="25"/>
  <c r="AS56" i="25" s="1"/>
  <c r="X27" i="39" s="1"/>
  <c r="BE44" i="25"/>
  <c r="BE48" i="25" s="1"/>
  <c r="AS44" i="25"/>
  <c r="AG44" i="25"/>
  <c r="AG48" i="25" s="1"/>
  <c r="BG44" i="25"/>
  <c r="BG48" i="25" s="1"/>
  <c r="AU44" i="25"/>
  <c r="AU48" i="25" s="1"/>
  <c r="AI44" i="25"/>
  <c r="AI48" i="25" s="1"/>
  <c r="AK44" i="25"/>
  <c r="AK48" i="25" s="1"/>
  <c r="BA44" i="25"/>
  <c r="BA48" i="25" s="1"/>
  <c r="L56" i="25"/>
  <c r="I27" i="20" s="1"/>
  <c r="J56" i="25"/>
  <c r="G27" i="20" s="1"/>
  <c r="P56" i="25"/>
  <c r="M27" i="20" s="1"/>
  <c r="AH56" i="25"/>
  <c r="M27" i="39" s="1"/>
  <c r="BH56" i="25"/>
  <c r="AM27" i="39" s="1"/>
  <c r="I16" i="26"/>
  <c r="J16" i="26"/>
  <c r="BP16" i="26"/>
  <c r="AM44" i="25"/>
  <c r="AM48" i="25" s="1"/>
  <c r="BC44" i="25"/>
  <c r="BB56" i="25"/>
  <c r="AG27" i="39" s="1"/>
  <c r="BM56" i="25"/>
  <c r="BO56" i="25"/>
  <c r="D71" i="52" s="1"/>
  <c r="AJ56" i="25"/>
  <c r="O27" i="39" s="1"/>
  <c r="BS47" i="25"/>
  <c r="BU47" i="25" s="1"/>
  <c r="BV47" i="25" s="1"/>
  <c r="I47" i="25"/>
  <c r="X50" i="25"/>
  <c r="AA48" i="25"/>
  <c r="AY48" i="25"/>
  <c r="H47" i="25"/>
  <c r="AB56" i="25"/>
  <c r="G27" i="39" s="1"/>
  <c r="AZ56" i="25"/>
  <c r="AE27" i="39" s="1"/>
  <c r="G50" i="25"/>
  <c r="U50" i="25"/>
  <c r="AC55" i="25"/>
  <c r="AO55" i="25"/>
  <c r="BA55" i="25"/>
  <c r="BK50" i="25"/>
  <c r="BK55" i="25" s="1"/>
  <c r="I52" i="25"/>
  <c r="S54" i="25"/>
  <c r="W54" i="25" s="1"/>
  <c r="F55" i="25"/>
  <c r="AF56" i="25"/>
  <c r="K27" i="39" s="1"/>
  <c r="BK14" i="26"/>
  <c r="G12" i="26"/>
  <c r="S13" i="26"/>
  <c r="BL13" i="26"/>
  <c r="S16" i="26"/>
  <c r="AN18" i="26"/>
  <c r="BL16" i="26"/>
  <c r="P35" i="26"/>
  <c r="L28" i="20" s="1"/>
  <c r="BL32" i="26"/>
  <c r="BL34" i="26" s="1"/>
  <c r="AB34" i="26"/>
  <c r="AE35" i="26"/>
  <c r="I28" i="39" s="1"/>
  <c r="AM35" i="26"/>
  <c r="Q28" i="39" s="1"/>
  <c r="AV35" i="26"/>
  <c r="Z28" i="39" s="1"/>
  <c r="BH35" i="26"/>
  <c r="AL28" i="39" s="1"/>
  <c r="M56" i="25"/>
  <c r="J27" i="20" s="1"/>
  <c r="Z56" i="25"/>
  <c r="E27" i="39" s="1"/>
  <c r="T13" i="26"/>
  <c r="T16" i="26"/>
  <c r="G18" i="26"/>
  <c r="J32" i="26"/>
  <c r="I32" i="26"/>
  <c r="BQ32" i="26"/>
  <c r="BS32" i="26" s="1"/>
  <c r="BW32" i="26" s="1"/>
  <c r="R51" i="25"/>
  <c r="V51" i="25" s="1"/>
  <c r="N56" i="25"/>
  <c r="K27" i="20" s="1"/>
  <c r="U13" i="26"/>
  <c r="U16" i="26"/>
  <c r="N35" i="26"/>
  <c r="J28" i="20" s="1"/>
  <c r="AI55" i="25"/>
  <c r="AU55" i="25"/>
  <c r="BG55" i="25"/>
  <c r="S51" i="25"/>
  <c r="W51" i="25" s="1"/>
  <c r="BT52" i="25"/>
  <c r="BU52" i="25" s="1"/>
  <c r="BV52" i="25" s="1"/>
  <c r="BR53" i="25"/>
  <c r="AX56" i="25"/>
  <c r="AC27" i="39" s="1"/>
  <c r="BL12" i="26"/>
  <c r="V16" i="26"/>
  <c r="AH18" i="26"/>
  <c r="BF35" i="26"/>
  <c r="AJ28" i="39" s="1"/>
  <c r="BT35" i="26"/>
  <c r="T51" i="25"/>
  <c r="X51" i="25" s="1"/>
  <c r="AR56" i="25"/>
  <c r="W27" i="39" s="1"/>
  <c r="BL21" i="26"/>
  <c r="G51" i="25"/>
  <c r="R54" i="25"/>
  <c r="V54" i="25" s="1"/>
  <c r="AL56" i="25"/>
  <c r="Q27" i="39" s="1"/>
  <c r="BK18" i="26"/>
  <c r="H17" i="26"/>
  <c r="H18" i="26" s="1"/>
  <c r="AB22" i="26"/>
  <c r="H21" i="26"/>
  <c r="Y21" i="26"/>
  <c r="Y22" i="26" s="1"/>
  <c r="AI35" i="26"/>
  <c r="M28" i="39" s="1"/>
  <c r="BL28" i="26"/>
  <c r="M35" i="26"/>
  <c r="I28" i="20" s="1"/>
  <c r="AD34" i="26"/>
  <c r="AD35" i="26" s="1"/>
  <c r="H28" i="39" s="1"/>
  <c r="AL35" i="26"/>
  <c r="P28" i="39" s="1"/>
  <c r="BU35" i="26"/>
  <c r="AR22" i="26"/>
  <c r="V26" i="26"/>
  <c r="G27" i="26"/>
  <c r="H26" i="26"/>
  <c r="AC35" i="26"/>
  <c r="G28" i="39" s="1"/>
  <c r="J29" i="26"/>
  <c r="I29" i="26"/>
  <c r="J33" i="26"/>
  <c r="O35" i="26"/>
  <c r="K28" i="20" s="1"/>
  <c r="AG35" i="26"/>
  <c r="K28" i="39" s="1"/>
  <c r="AW35" i="26"/>
  <c r="AA28" i="39" s="1"/>
  <c r="BC35" i="26"/>
  <c r="AG28" i="39" s="1"/>
  <c r="BI35" i="26"/>
  <c r="AM28" i="39" s="1"/>
  <c r="AU35" i="26"/>
  <c r="Y28" i="39" s="1"/>
  <c r="BA35" i="26"/>
  <c r="AE28" i="39" s="1"/>
  <c r="BG35" i="26"/>
  <c r="AK28" i="39" s="1"/>
  <c r="H30" i="26"/>
  <c r="H34" i="26" s="1"/>
  <c r="T30" i="26"/>
  <c r="I33" i="26"/>
  <c r="AP35" i="26"/>
  <c r="T28" i="39" s="1"/>
  <c r="AX35" i="26"/>
  <c r="AB28" i="39" s="1"/>
  <c r="BD35" i="26"/>
  <c r="AH28" i="39" s="1"/>
  <c r="BN35" i="26"/>
  <c r="AF22" i="26"/>
  <c r="BB22" i="26"/>
  <c r="BV22" i="26"/>
  <c r="H25" i="26"/>
  <c r="K35" i="26"/>
  <c r="G28" i="20" s="1"/>
  <c r="Q35" i="26"/>
  <c r="M28" i="20" s="1"/>
  <c r="AA35" i="26"/>
  <c r="E28" i="39" s="1"/>
  <c r="AJ35" i="26"/>
  <c r="N28" i="39" s="1"/>
  <c r="AQ35" i="26"/>
  <c r="U28" i="39" s="1"/>
  <c r="AY35" i="26"/>
  <c r="AC28" i="39" s="1"/>
  <c r="BE35" i="26"/>
  <c r="AI28" i="39" s="1"/>
  <c r="BO35" i="26"/>
  <c r="C72" i="52" s="1"/>
  <c r="BJ22" i="26"/>
  <c r="BJ35" i="26" s="1"/>
  <c r="AN28" i="39" s="1"/>
  <c r="Y27" i="26"/>
  <c r="AO35" i="26"/>
  <c r="S28" i="39" s="1"/>
  <c r="AR34" i="26"/>
  <c r="BQ33" i="26"/>
  <c r="L35" i="26"/>
  <c r="H28" i="20" s="1"/>
  <c r="R35" i="26"/>
  <c r="N28" i="20" s="1"/>
  <c r="AK35" i="26"/>
  <c r="O28" i="39" s="1"/>
  <c r="AS35" i="26"/>
  <c r="W28" i="39" s="1"/>
  <c r="G34" i="26"/>
  <c r="BL26" i="26"/>
  <c r="BL27" i="26" s="1"/>
  <c r="AZ50" i="47"/>
  <c r="AN50" i="47"/>
  <c r="AH50" i="47"/>
  <c r="AH56" i="47" s="1"/>
  <c r="L10" i="39" s="1"/>
  <c r="BL44" i="47"/>
  <c r="H44" i="47" s="1"/>
  <c r="G44" i="47"/>
  <c r="H20" i="46" l="1"/>
  <c r="G20" i="46"/>
  <c r="V43" i="42"/>
  <c r="T43" i="42"/>
  <c r="Y29" i="45"/>
  <c r="W29" i="45"/>
  <c r="V29" i="45"/>
  <c r="X29" i="45"/>
  <c r="Z28" i="47"/>
  <c r="X28" i="47"/>
  <c r="W28" i="47"/>
  <c r="Y28" i="47"/>
  <c r="V19" i="41"/>
  <c r="Y19" i="41"/>
  <c r="X19" i="41"/>
  <c r="W19" i="41"/>
  <c r="AM56" i="25"/>
  <c r="R27" i="39" s="1"/>
  <c r="Y25" i="43"/>
  <c r="X25" i="43"/>
  <c r="AM66" i="46"/>
  <c r="S11" i="39" s="1"/>
  <c r="X41" i="43"/>
  <c r="Z41" i="43"/>
  <c r="W41" i="43"/>
  <c r="W42" i="43" s="1"/>
  <c r="Y41" i="43"/>
  <c r="I16" i="41"/>
  <c r="E53" i="46"/>
  <c r="E34" i="51" s="1"/>
  <c r="T51" i="46"/>
  <c r="R51" i="46"/>
  <c r="Q51" i="46"/>
  <c r="U51" i="46" s="1"/>
  <c r="S51" i="46"/>
  <c r="BL23" i="47"/>
  <c r="I21" i="48"/>
  <c r="Z12" i="47"/>
  <c r="Y12" i="47"/>
  <c r="X12" i="47"/>
  <c r="W12" i="47"/>
  <c r="T30" i="46"/>
  <c r="S30" i="46"/>
  <c r="W30" i="46" s="1"/>
  <c r="R30" i="46"/>
  <c r="V30" i="46" s="1"/>
  <c r="Q30" i="46"/>
  <c r="U30" i="46" s="1"/>
  <c r="V12" i="47"/>
  <c r="T12" i="47"/>
  <c r="S12" i="47"/>
  <c r="U12" i="47"/>
  <c r="W86" i="44"/>
  <c r="W89" i="44" s="1"/>
  <c r="S89" i="44"/>
  <c r="V27" i="45"/>
  <c r="W27" i="45"/>
  <c r="Y44" i="47"/>
  <c r="X44" i="47"/>
  <c r="Z44" i="47"/>
  <c r="W44" i="47"/>
  <c r="T32" i="44"/>
  <c r="S32" i="44"/>
  <c r="V32" i="44"/>
  <c r="U32" i="44"/>
  <c r="Y71" i="45"/>
  <c r="BP87" i="45"/>
  <c r="BR87" i="45" s="1"/>
  <c r="BV87" i="45" s="1"/>
  <c r="H20" i="45"/>
  <c r="T20" i="46"/>
  <c r="X20" i="46" s="1"/>
  <c r="Y15" i="41"/>
  <c r="X15" i="41"/>
  <c r="W15" i="41"/>
  <c r="V15" i="41"/>
  <c r="V71" i="45"/>
  <c r="AG66" i="46"/>
  <c r="M11" i="39" s="1"/>
  <c r="W87" i="45"/>
  <c r="AI46" i="41"/>
  <c r="N22" i="39" s="1"/>
  <c r="I37" i="24"/>
  <c r="U12" i="45"/>
  <c r="T12" i="45"/>
  <c r="S12" i="45"/>
  <c r="R12" i="45"/>
  <c r="V48" i="47"/>
  <c r="Z48" i="47" s="1"/>
  <c r="U48" i="47"/>
  <c r="Y48" i="47" s="1"/>
  <c r="S48" i="47"/>
  <c r="W48" i="47" s="1"/>
  <c r="T48" i="47"/>
  <c r="X48" i="47" s="1"/>
  <c r="BL18" i="26"/>
  <c r="C52" i="52"/>
  <c r="H52" i="52" s="1"/>
  <c r="BQ19" i="43"/>
  <c r="E32" i="52" s="1"/>
  <c r="H32" i="52" s="1"/>
  <c r="J19" i="43"/>
  <c r="F55" i="46"/>
  <c r="W55" i="46" s="1"/>
  <c r="W56" i="46" s="1"/>
  <c r="BF66" i="46"/>
  <c r="AL11" i="39" s="1"/>
  <c r="Q43" i="46"/>
  <c r="U43" i="46"/>
  <c r="R16" i="46"/>
  <c r="V16" i="46" s="1"/>
  <c r="V17" i="46" s="1"/>
  <c r="F16" i="46"/>
  <c r="F73" i="46" s="1"/>
  <c r="Q16" i="46"/>
  <c r="U16" i="46" s="1"/>
  <c r="U17" i="46" s="1"/>
  <c r="E17" i="46"/>
  <c r="S16" i="46"/>
  <c r="W16" i="46" s="1"/>
  <c r="W17" i="46" s="1"/>
  <c r="H49" i="47"/>
  <c r="J49" i="47" s="1"/>
  <c r="S47" i="47"/>
  <c r="W47" i="47" s="1"/>
  <c r="V47" i="47"/>
  <c r="Z47" i="47" s="1"/>
  <c r="T40" i="47"/>
  <c r="X40" i="47" s="1"/>
  <c r="G40" i="47"/>
  <c r="V40" i="47" s="1"/>
  <c r="Z40" i="47" s="1"/>
  <c r="AG56" i="47"/>
  <c r="K10" i="39" s="1"/>
  <c r="BA56" i="47"/>
  <c r="AE10" i="39" s="1"/>
  <c r="AE12" i="39" s="1"/>
  <c r="AM56" i="47"/>
  <c r="Q10" i="39" s="1"/>
  <c r="Q12" i="39" s="1"/>
  <c r="W10" i="47"/>
  <c r="AB13" i="47"/>
  <c r="BL13" i="47" s="1"/>
  <c r="U47" i="47"/>
  <c r="Y47" i="47" s="1"/>
  <c r="X10" i="47"/>
  <c r="L12" i="20"/>
  <c r="BL42" i="47"/>
  <c r="H42" i="47" s="1"/>
  <c r="AZ56" i="47"/>
  <c r="AD10" i="39" s="1"/>
  <c r="Z10" i="47"/>
  <c r="Y10" i="47"/>
  <c r="BJ56" i="47"/>
  <c r="AN10" i="39" s="1"/>
  <c r="BL25" i="47"/>
  <c r="BQ10" i="47"/>
  <c r="BS10" i="47" s="1"/>
  <c r="BW10" i="47" s="1"/>
  <c r="AE66" i="46"/>
  <c r="K11" i="39" s="1"/>
  <c r="K12" i="39" s="1"/>
  <c r="BL22" i="26"/>
  <c r="AN35" i="26"/>
  <c r="R28" i="39" s="1"/>
  <c r="I19" i="43"/>
  <c r="F66" i="51"/>
  <c r="I91" i="44"/>
  <c r="AI56" i="42"/>
  <c r="L21" i="39" s="1"/>
  <c r="AS56" i="42"/>
  <c r="V21" i="39" s="1"/>
  <c r="V23" i="39" s="1"/>
  <c r="V30" i="45"/>
  <c r="F45" i="51"/>
  <c r="H24" i="44"/>
  <c r="M24" i="44" s="1"/>
  <c r="AT33" i="44"/>
  <c r="Z27" i="42"/>
  <c r="AC56" i="47"/>
  <c r="G10" i="39" s="1"/>
  <c r="AY46" i="41"/>
  <c r="AD22" i="39" s="1"/>
  <c r="BL40" i="44"/>
  <c r="BG56" i="42"/>
  <c r="AJ21" i="39" s="1"/>
  <c r="AJ23" i="39" s="1"/>
  <c r="K12" i="20"/>
  <c r="J91" i="44"/>
  <c r="N12" i="44"/>
  <c r="N13" i="44" s="1"/>
  <c r="N16" i="44" s="1"/>
  <c r="N92" i="44" s="1"/>
  <c r="J16" i="20" s="1"/>
  <c r="BP26" i="41"/>
  <c r="F108" i="51"/>
  <c r="P26" i="41"/>
  <c r="I26" i="41"/>
  <c r="AA31" i="42"/>
  <c r="AA27" i="42"/>
  <c r="W16" i="45"/>
  <c r="AS56" i="47"/>
  <c r="W10" i="39" s="1"/>
  <c r="K45" i="42"/>
  <c r="F96" i="51"/>
  <c r="E60" i="52"/>
  <c r="H60" i="52" s="1"/>
  <c r="AF35" i="26"/>
  <c r="J28" i="39" s="1"/>
  <c r="J29" i="39" s="1"/>
  <c r="V45" i="41"/>
  <c r="AS46" i="41"/>
  <c r="X22" i="39" s="1"/>
  <c r="AQ56" i="25"/>
  <c r="V27" i="39" s="1"/>
  <c r="X27" i="42"/>
  <c r="BV56" i="47"/>
  <c r="G4" i="52" s="1"/>
  <c r="S22" i="47"/>
  <c r="E11" i="51"/>
  <c r="AE56" i="25"/>
  <c r="J27" i="39" s="1"/>
  <c r="U30" i="25"/>
  <c r="BI79" i="24"/>
  <c r="BI89" i="24" s="1"/>
  <c r="AN26" i="39" s="1"/>
  <c r="AP26" i="39" s="1"/>
  <c r="F92" i="51"/>
  <c r="K14" i="42"/>
  <c r="R14" i="42"/>
  <c r="R15" i="42" s="1"/>
  <c r="Y27" i="42"/>
  <c r="BP91" i="44"/>
  <c r="AF90" i="44"/>
  <c r="AF92" i="44" s="1"/>
  <c r="J16" i="39" s="1"/>
  <c r="T106" i="45"/>
  <c r="BS28" i="43"/>
  <c r="BW28" i="43" s="1"/>
  <c r="E35" i="52"/>
  <c r="H35" i="52" s="1"/>
  <c r="F73" i="52"/>
  <c r="H7" i="53" s="1"/>
  <c r="X59" i="43"/>
  <c r="Z61" i="43"/>
  <c r="BQ36" i="43"/>
  <c r="BS36" i="43" s="1"/>
  <c r="BW36" i="43" s="1"/>
  <c r="Y61" i="43"/>
  <c r="I38" i="43"/>
  <c r="Q18" i="43"/>
  <c r="Z12" i="43"/>
  <c r="Q69" i="43"/>
  <c r="I69" i="43"/>
  <c r="J47" i="43"/>
  <c r="I62" i="43"/>
  <c r="Y13" i="43"/>
  <c r="J62" i="43"/>
  <c r="Z27" i="43"/>
  <c r="BL14" i="43"/>
  <c r="J12" i="43"/>
  <c r="BQ58" i="43"/>
  <c r="E43" i="52" s="1"/>
  <c r="H43" i="52" s="1"/>
  <c r="BQ40" i="43"/>
  <c r="E39" i="52" s="1"/>
  <c r="H39" i="52" s="1"/>
  <c r="BP12" i="43"/>
  <c r="BS12" i="43" s="1"/>
  <c r="BW12" i="43" s="1"/>
  <c r="S80" i="45"/>
  <c r="S106" i="45" s="1"/>
  <c r="BP88" i="45"/>
  <c r="BR88" i="45" s="1"/>
  <c r="BV88" i="45" s="1"/>
  <c r="V88" i="45"/>
  <c r="AL56" i="42"/>
  <c r="O21" i="39" s="1"/>
  <c r="O23" i="39" s="1"/>
  <c r="AH35" i="26"/>
  <c r="L28" i="39" s="1"/>
  <c r="BI56" i="25"/>
  <c r="AN27" i="39" s="1"/>
  <c r="W14" i="25"/>
  <c r="W16" i="25" s="1"/>
  <c r="AO26" i="39"/>
  <c r="M38" i="42"/>
  <c r="Y38" i="42"/>
  <c r="Z31" i="42"/>
  <c r="V89" i="44"/>
  <c r="Q48" i="43"/>
  <c r="Q49" i="43" s="1"/>
  <c r="BQ53" i="44"/>
  <c r="BS53" i="44" s="1"/>
  <c r="BW53" i="44" s="1"/>
  <c r="AT90" i="44"/>
  <c r="AT92" i="44" s="1"/>
  <c r="X16" i="39" s="1"/>
  <c r="W59" i="44"/>
  <c r="M84" i="45"/>
  <c r="BN48" i="45"/>
  <c r="BR48" i="45" s="1"/>
  <c r="BV48" i="45" s="1"/>
  <c r="X43" i="46"/>
  <c r="BC66" i="46"/>
  <c r="AI11" i="39" s="1"/>
  <c r="AI12" i="39" s="1"/>
  <c r="AQ56" i="47"/>
  <c r="U10" i="39" s="1"/>
  <c r="U12" i="39" s="1"/>
  <c r="Z25" i="42"/>
  <c r="AB37" i="47"/>
  <c r="V88" i="24"/>
  <c r="AC46" i="41"/>
  <c r="H22" i="39" s="1"/>
  <c r="AK46" i="41"/>
  <c r="P22" i="39" s="1"/>
  <c r="P23" i="39" s="1"/>
  <c r="BU67" i="43"/>
  <c r="Y26" i="42"/>
  <c r="I53" i="44"/>
  <c r="Q53" i="44"/>
  <c r="AZ90" i="44"/>
  <c r="AZ92" i="44" s="1"/>
  <c r="AD16" i="39" s="1"/>
  <c r="BF92" i="44"/>
  <c r="AJ16" i="39" s="1"/>
  <c r="BQ59" i="44"/>
  <c r="BS59" i="44" s="1"/>
  <c r="BW59" i="44" s="1"/>
  <c r="AC66" i="46"/>
  <c r="I11" i="39" s="1"/>
  <c r="I12" i="39" s="1"/>
  <c r="BP84" i="45"/>
  <c r="BR84" i="45" s="1"/>
  <c r="BV84" i="45" s="1"/>
  <c r="V48" i="45"/>
  <c r="F30" i="46"/>
  <c r="G30" i="46" s="1"/>
  <c r="V34" i="45"/>
  <c r="I12" i="20"/>
  <c r="I73" i="44"/>
  <c r="Q78" i="44"/>
  <c r="J78" i="44"/>
  <c r="AA15" i="47"/>
  <c r="AA14" i="47"/>
  <c r="BV35" i="26"/>
  <c r="G72" i="52" s="1"/>
  <c r="H46" i="25"/>
  <c r="AC23" i="39"/>
  <c r="AM23" i="39"/>
  <c r="P17" i="41"/>
  <c r="I24" i="41"/>
  <c r="I71" i="44"/>
  <c r="BQ71" i="44"/>
  <c r="BS71" i="44" s="1"/>
  <c r="BW71" i="44" s="1"/>
  <c r="R106" i="45"/>
  <c r="X59" i="44"/>
  <c r="V84" i="45"/>
  <c r="M48" i="45"/>
  <c r="AF66" i="46"/>
  <c r="L11" i="39" s="1"/>
  <c r="L12" i="39" s="1"/>
  <c r="BK50" i="47"/>
  <c r="X30" i="46"/>
  <c r="BP34" i="45"/>
  <c r="BR34" i="45" s="1"/>
  <c r="BV34" i="45" s="1"/>
  <c r="T22" i="47"/>
  <c r="BT71" i="43"/>
  <c r="BT72" i="43" s="1"/>
  <c r="BK17" i="45"/>
  <c r="Y25" i="42"/>
  <c r="J73" i="44"/>
  <c r="G12" i="45"/>
  <c r="F17" i="45"/>
  <c r="E40" i="51" s="1"/>
  <c r="BM19" i="42"/>
  <c r="I46" i="25"/>
  <c r="BB35" i="26"/>
  <c r="AF28" i="39" s="1"/>
  <c r="AG46" i="41"/>
  <c r="L22" i="39" s="1"/>
  <c r="X38" i="42"/>
  <c r="BQ73" i="44"/>
  <c r="BS73" i="44" s="1"/>
  <c r="BW73" i="44" s="1"/>
  <c r="BD90" i="44"/>
  <c r="BD92" i="44" s="1"/>
  <c r="AH16" i="39" s="1"/>
  <c r="Q71" i="44"/>
  <c r="AN90" i="44"/>
  <c r="AN92" i="44" s="1"/>
  <c r="R16" i="39" s="1"/>
  <c r="BK106" i="45"/>
  <c r="I59" i="44"/>
  <c r="M49" i="45"/>
  <c r="H23" i="44"/>
  <c r="W48" i="45"/>
  <c r="AQ66" i="46"/>
  <c r="W11" i="39" s="1"/>
  <c r="BL40" i="47"/>
  <c r="H40" i="47" s="1"/>
  <c r="X34" i="45"/>
  <c r="U22" i="47"/>
  <c r="BQ57" i="43"/>
  <c r="BS57" i="43" s="1"/>
  <c r="BW57" i="43" s="1"/>
  <c r="BR67" i="43"/>
  <c r="BR68" i="43" s="1"/>
  <c r="BS68" i="43" s="1"/>
  <c r="BP20" i="25"/>
  <c r="BR20" i="25" s="1"/>
  <c r="G20" i="25"/>
  <c r="AG56" i="42"/>
  <c r="J21" i="39" s="1"/>
  <c r="J23" i="39" s="1"/>
  <c r="AK56" i="25"/>
  <c r="P27" i="39" s="1"/>
  <c r="AU46" i="41"/>
  <c r="Z22" i="39" s="1"/>
  <c r="T31" i="44"/>
  <c r="E60" i="51"/>
  <c r="U31" i="44"/>
  <c r="S31" i="44"/>
  <c r="H70" i="43"/>
  <c r="J70" i="43" s="1"/>
  <c r="BA46" i="41"/>
  <c r="AF22" i="39" s="1"/>
  <c r="W34" i="41"/>
  <c r="BG46" i="41"/>
  <c r="AL22" i="39" s="1"/>
  <c r="AL23" i="39" s="1"/>
  <c r="P23" i="41"/>
  <c r="BR23" i="41"/>
  <c r="BV23" i="41" s="1"/>
  <c r="BK56" i="42"/>
  <c r="AN21" i="39" s="1"/>
  <c r="AN23" i="39" s="1"/>
  <c r="BM53" i="42"/>
  <c r="BR53" i="42" s="1"/>
  <c r="AY56" i="42"/>
  <c r="AB21" i="39" s="1"/>
  <c r="AB23" i="39" s="1"/>
  <c r="BA56" i="42"/>
  <c r="AD21" i="39" s="1"/>
  <c r="AD23" i="39" s="1"/>
  <c r="AK56" i="42"/>
  <c r="N21" i="39" s="1"/>
  <c r="N23" i="39" s="1"/>
  <c r="BR32" i="42"/>
  <c r="E57" i="52" s="1"/>
  <c r="H57" i="52" s="1"/>
  <c r="BS13" i="44"/>
  <c r="BW13" i="44" s="1"/>
  <c r="AM12" i="39"/>
  <c r="BC56" i="47"/>
  <c r="AG10" i="39" s="1"/>
  <c r="AG12" i="39" s="1"/>
  <c r="I29" i="39"/>
  <c r="AY56" i="25"/>
  <c r="AD27" i="39" s="1"/>
  <c r="AD29" i="39" s="1"/>
  <c r="BK19" i="25"/>
  <c r="BK30" i="25" s="1"/>
  <c r="BK56" i="25" s="1"/>
  <c r="AG56" i="25"/>
  <c r="L27" i="39" s="1"/>
  <c r="D69" i="52"/>
  <c r="F6" i="53" s="1"/>
  <c r="V55" i="25"/>
  <c r="AO56" i="25"/>
  <c r="T27" i="39" s="1"/>
  <c r="T29" i="39" s="1"/>
  <c r="BK44" i="25"/>
  <c r="K29" i="39"/>
  <c r="M29" i="39"/>
  <c r="AQ56" i="42"/>
  <c r="T21" i="39" s="1"/>
  <c r="T23" i="39" s="1"/>
  <c r="Q41" i="43"/>
  <c r="V51" i="45"/>
  <c r="H30" i="45"/>
  <c r="X30" i="45"/>
  <c r="BN32" i="45"/>
  <c r="BR32" i="45" s="1"/>
  <c r="BV32" i="45" s="1"/>
  <c r="AH66" i="46"/>
  <c r="N11" i="39" s="1"/>
  <c r="BE107" i="45"/>
  <c r="BE108" i="45" s="1"/>
  <c r="AJ15" i="39" s="1"/>
  <c r="Q43" i="44"/>
  <c r="I43" i="44"/>
  <c r="BP40" i="42"/>
  <c r="BT40" i="42" s="1"/>
  <c r="BX40" i="42" s="1"/>
  <c r="M40" i="42"/>
  <c r="AA66" i="46"/>
  <c r="G11" i="39" s="1"/>
  <c r="I28" i="43"/>
  <c r="J28" i="43"/>
  <c r="I38" i="24"/>
  <c r="H38" i="24"/>
  <c r="J58" i="44"/>
  <c r="I58" i="44"/>
  <c r="H46" i="46"/>
  <c r="G46" i="46"/>
  <c r="BK48" i="25"/>
  <c r="BR68" i="24"/>
  <c r="BV68" i="24" s="1"/>
  <c r="AO56" i="42"/>
  <c r="R21" i="39" s="1"/>
  <c r="Y31" i="42"/>
  <c r="Z26" i="42"/>
  <c r="I28" i="42"/>
  <c r="X13" i="42"/>
  <c r="X12" i="42"/>
  <c r="X15" i="42" s="1"/>
  <c r="BL82" i="44"/>
  <c r="AP90" i="44"/>
  <c r="AP92" i="44" s="1"/>
  <c r="T16" i="39" s="1"/>
  <c r="BN64" i="45"/>
  <c r="BR64" i="45" s="1"/>
  <c r="BV64" i="45" s="1"/>
  <c r="W51" i="45"/>
  <c r="W85" i="45"/>
  <c r="BO61" i="46"/>
  <c r="BQ61" i="46" s="1"/>
  <c r="BU61" i="46" s="1"/>
  <c r="AB66" i="46"/>
  <c r="H11" i="39" s="1"/>
  <c r="BP30" i="45"/>
  <c r="BR30" i="45" s="1"/>
  <c r="BV30" i="45" s="1"/>
  <c r="BP32" i="24"/>
  <c r="BR32" i="24" s="1"/>
  <c r="BV32" i="24" s="1"/>
  <c r="H32" i="24"/>
  <c r="I32" i="24"/>
  <c r="AF56" i="42"/>
  <c r="I21" i="39" s="1"/>
  <c r="I23" i="39" s="1"/>
  <c r="BW52" i="42"/>
  <c r="H31" i="24"/>
  <c r="BP31" i="24"/>
  <c r="BR31" i="24" s="1"/>
  <c r="BV31" i="24" s="1"/>
  <c r="F112" i="51"/>
  <c r="I44" i="41"/>
  <c r="I45" i="41" s="1"/>
  <c r="H44" i="24"/>
  <c r="I44" i="24"/>
  <c r="G40" i="46"/>
  <c r="H40" i="46"/>
  <c r="U88" i="24"/>
  <c r="U45" i="41"/>
  <c r="AX90" i="44"/>
  <c r="AX92" i="44" s="1"/>
  <c r="AB16" i="39" s="1"/>
  <c r="Q38" i="43"/>
  <c r="BJ90" i="44"/>
  <c r="BJ92" i="44" s="1"/>
  <c r="AN16" i="39" s="1"/>
  <c r="M50" i="45"/>
  <c r="AA107" i="45"/>
  <c r="AA108" i="45" s="1"/>
  <c r="F15" i="39" s="1"/>
  <c r="X51" i="45"/>
  <c r="BI53" i="46"/>
  <c r="V85" i="45"/>
  <c r="AR66" i="46"/>
  <c r="X11" i="39" s="1"/>
  <c r="Y30" i="45"/>
  <c r="AX72" i="43"/>
  <c r="AB17" i="39" s="1"/>
  <c r="AR72" i="43"/>
  <c r="V17" i="39" s="1"/>
  <c r="AD72" i="43"/>
  <c r="H17" i="39" s="1"/>
  <c r="I45" i="24"/>
  <c r="H45" i="24"/>
  <c r="I22" i="24"/>
  <c r="H22" i="24"/>
  <c r="H54" i="25"/>
  <c r="BT54" i="25"/>
  <c r="BU54" i="25" s="1"/>
  <c r="BV54" i="25" s="1"/>
  <c r="I54" i="25"/>
  <c r="H50" i="46"/>
  <c r="G50" i="46"/>
  <c r="AA29" i="39"/>
  <c r="O29" i="39"/>
  <c r="Y88" i="24"/>
  <c r="Y29" i="39"/>
  <c r="I30" i="45"/>
  <c r="BP47" i="47"/>
  <c r="BS47" i="47" s="1"/>
  <c r="BW47" i="47" s="1"/>
  <c r="I29" i="24"/>
  <c r="H29" i="24"/>
  <c r="X35" i="46"/>
  <c r="X36" i="46" s="1"/>
  <c r="T36" i="46"/>
  <c r="AA25" i="42"/>
  <c r="H35" i="46"/>
  <c r="H36" i="46" s="1"/>
  <c r="G35" i="46"/>
  <c r="G36" i="46" s="1"/>
  <c r="J12" i="20"/>
  <c r="G29" i="39"/>
  <c r="W55" i="25"/>
  <c r="BK35" i="26"/>
  <c r="AA56" i="25"/>
  <c r="BE30" i="25"/>
  <c r="BE56" i="25" s="1"/>
  <c r="AJ27" i="39" s="1"/>
  <c r="AJ29" i="39" s="1"/>
  <c r="W88" i="24"/>
  <c r="T55" i="42"/>
  <c r="AE56" i="42"/>
  <c r="H21" i="39" s="1"/>
  <c r="AA13" i="42"/>
  <c r="BL16" i="44"/>
  <c r="BH66" i="46"/>
  <c r="AN11" i="39" s="1"/>
  <c r="BJ24" i="46"/>
  <c r="BN24" i="46" s="1"/>
  <c r="BQ24" i="46" s="1"/>
  <c r="BU24" i="46" s="1"/>
  <c r="Y32" i="45"/>
  <c r="I39" i="24"/>
  <c r="H39" i="24"/>
  <c r="BQ59" i="43"/>
  <c r="BS59" i="43" s="1"/>
  <c r="BW59" i="43" s="1"/>
  <c r="J39" i="43"/>
  <c r="Y62" i="43"/>
  <c r="M36" i="43"/>
  <c r="M42" i="43" s="1"/>
  <c r="M72" i="43" s="1"/>
  <c r="I17" i="20" s="1"/>
  <c r="Y58" i="43"/>
  <c r="W59" i="43"/>
  <c r="Q62" i="43"/>
  <c r="BL71" i="43"/>
  <c r="AV72" i="43"/>
  <c r="Z17" i="39" s="1"/>
  <c r="Y59" i="43"/>
  <c r="J61" i="43"/>
  <c r="F84" i="51"/>
  <c r="BQ21" i="43"/>
  <c r="BS21" i="43" s="1"/>
  <c r="BW21" i="43" s="1"/>
  <c r="BQ45" i="43"/>
  <c r="BS45" i="43" s="1"/>
  <c r="BW45" i="43" s="1"/>
  <c r="I66" i="43"/>
  <c r="J66" i="43"/>
  <c r="AF72" i="43"/>
  <c r="J17" i="39" s="1"/>
  <c r="AH72" i="43"/>
  <c r="L17" i="39" s="1"/>
  <c r="AL72" i="43"/>
  <c r="P17" i="39" s="1"/>
  <c r="V14" i="43"/>
  <c r="BB72" i="43"/>
  <c r="AF17" i="39" s="1"/>
  <c r="Q28" i="43"/>
  <c r="BA107" i="45"/>
  <c r="BA108" i="45" s="1"/>
  <c r="AF15" i="39" s="1"/>
  <c r="AC107" i="45"/>
  <c r="AC108" i="45" s="1"/>
  <c r="H15" i="39" s="1"/>
  <c r="L59" i="45"/>
  <c r="V33" i="45"/>
  <c r="Q68" i="45"/>
  <c r="Q78" i="45" s="1"/>
  <c r="Q107" i="45" s="1"/>
  <c r="Q108" i="45" s="1"/>
  <c r="N15" i="20" s="1"/>
  <c r="M71" i="45"/>
  <c r="BN60" i="45"/>
  <c r="BR60" i="45" s="1"/>
  <c r="BV60" i="45" s="1"/>
  <c r="V59" i="45"/>
  <c r="X33" i="45"/>
  <c r="Y15" i="45"/>
  <c r="W71" i="45"/>
  <c r="W59" i="45"/>
  <c r="Y33" i="45"/>
  <c r="W15" i="45"/>
  <c r="M92" i="45"/>
  <c r="BN47" i="45"/>
  <c r="BR47" i="45" s="1"/>
  <c r="BV47" i="45" s="1"/>
  <c r="X59" i="45"/>
  <c r="Y59" i="45"/>
  <c r="AM107" i="45"/>
  <c r="AM108" i="45" s="1"/>
  <c r="R15" i="39" s="1"/>
  <c r="AK107" i="45"/>
  <c r="AK108" i="45" s="1"/>
  <c r="P15" i="39" s="1"/>
  <c r="AS107" i="45"/>
  <c r="AS108" i="45" s="1"/>
  <c r="X15" i="39" s="1"/>
  <c r="BN75" i="45"/>
  <c r="BR75" i="45" s="1"/>
  <c r="BV75" i="45" s="1"/>
  <c r="M75" i="45"/>
  <c r="M33" i="45"/>
  <c r="BN39" i="45"/>
  <c r="BR39" i="45" s="1"/>
  <c r="BV39" i="45" s="1"/>
  <c r="W34" i="45"/>
  <c r="V32" i="45"/>
  <c r="X90" i="45"/>
  <c r="M39" i="45"/>
  <c r="BP90" i="45"/>
  <c r="BR90" i="45" s="1"/>
  <c r="BV90" i="45" s="1"/>
  <c r="V83" i="45"/>
  <c r="W33" i="45"/>
  <c r="M34" i="45"/>
  <c r="M32" i="45"/>
  <c r="BI107" i="45"/>
  <c r="BK54" i="45"/>
  <c r="BC107" i="45"/>
  <c r="BC108" i="45" s="1"/>
  <c r="AH15" i="39" s="1"/>
  <c r="AO107" i="45"/>
  <c r="AO108" i="45" s="1"/>
  <c r="T15" i="39" s="1"/>
  <c r="AI107" i="45"/>
  <c r="AI108" i="45" s="1"/>
  <c r="N15" i="39" s="1"/>
  <c r="AE107" i="45"/>
  <c r="AE108" i="45" s="1"/>
  <c r="J15" i="39" s="1"/>
  <c r="BI108" i="45"/>
  <c r="AN15" i="39" s="1"/>
  <c r="M90" i="45"/>
  <c r="BN58" i="45"/>
  <c r="BR58" i="45" s="1"/>
  <c r="BV58" i="45" s="1"/>
  <c r="M81" i="45"/>
  <c r="BP83" i="45"/>
  <c r="BR83" i="45" s="1"/>
  <c r="BV83" i="45" s="1"/>
  <c r="W75" i="45"/>
  <c r="W39" i="45"/>
  <c r="BO16" i="45"/>
  <c r="BR16" i="45" s="1"/>
  <c r="BV16" i="45" s="1"/>
  <c r="V16" i="45"/>
  <c r="Y90" i="45"/>
  <c r="L58" i="45"/>
  <c r="W83" i="45"/>
  <c r="V75" i="45"/>
  <c r="X39" i="45"/>
  <c r="X16" i="45"/>
  <c r="V58" i="45"/>
  <c r="H16" i="45"/>
  <c r="W90" i="45"/>
  <c r="W58" i="45"/>
  <c r="AY107" i="45"/>
  <c r="AY108" i="45" s="1"/>
  <c r="AD15" i="39" s="1"/>
  <c r="X83" i="45"/>
  <c r="X75" i="45"/>
  <c r="G43" i="45"/>
  <c r="Y39" i="45"/>
  <c r="Y16" i="45"/>
  <c r="AG107" i="45"/>
  <c r="AG108" i="45" s="1"/>
  <c r="L15" i="39" s="1"/>
  <c r="BP78" i="45"/>
  <c r="AU107" i="45"/>
  <c r="AU108" i="45" s="1"/>
  <c r="Z15" i="39" s="1"/>
  <c r="AQ107" i="45"/>
  <c r="AQ108" i="45" s="1"/>
  <c r="V15" i="39" s="1"/>
  <c r="BP81" i="45"/>
  <c r="BR81" i="45" s="1"/>
  <c r="BV81" i="45" s="1"/>
  <c r="BP91" i="45"/>
  <c r="BR91" i="45" s="1"/>
  <c r="BV91" i="45" s="1"/>
  <c r="Y52" i="45"/>
  <c r="W81" i="45"/>
  <c r="V91" i="45"/>
  <c r="BN52" i="45"/>
  <c r="BR52" i="45" s="1"/>
  <c r="BV52" i="45" s="1"/>
  <c r="BN53" i="45"/>
  <c r="BR53" i="45" s="1"/>
  <c r="BV53" i="45" s="1"/>
  <c r="Y91" i="45"/>
  <c r="BN65" i="45"/>
  <c r="BR65" i="45" s="1"/>
  <c r="BV65" i="45" s="1"/>
  <c r="V52" i="45"/>
  <c r="AW107" i="45"/>
  <c r="AW108" i="45" s="1"/>
  <c r="AB15" i="39" s="1"/>
  <c r="BK26" i="45"/>
  <c r="G26" i="45" s="1"/>
  <c r="BG107" i="45"/>
  <c r="BG108" i="45" s="1"/>
  <c r="AL15" i="39" s="1"/>
  <c r="U71" i="43"/>
  <c r="AR90" i="44"/>
  <c r="AR92" i="44" s="1"/>
  <c r="V16" i="39" s="1"/>
  <c r="Q46" i="44"/>
  <c r="J46" i="44"/>
  <c r="I46" i="44"/>
  <c r="BH90" i="44"/>
  <c r="BH92" i="44" s="1"/>
  <c r="AL16" i="39" s="1"/>
  <c r="BB90" i="44"/>
  <c r="BB92" i="44" s="1"/>
  <c r="AF16" i="39" s="1"/>
  <c r="W18" i="39"/>
  <c r="BL31" i="44"/>
  <c r="BQ31" i="44" s="1"/>
  <c r="AD90" i="44"/>
  <c r="AD92" i="44" s="1"/>
  <c r="H16" i="39" s="1"/>
  <c r="BD72" i="43"/>
  <c r="AH17" i="39" s="1"/>
  <c r="BK64" i="43"/>
  <c r="BK72" i="43" s="1"/>
  <c r="AJ72" i="43"/>
  <c r="N17" i="39" s="1"/>
  <c r="F79" i="51"/>
  <c r="BQ18" i="43"/>
  <c r="BS18" i="43" s="1"/>
  <c r="BW18" i="43" s="1"/>
  <c r="W12" i="43"/>
  <c r="BP13" i="43"/>
  <c r="BS13" i="43" s="1"/>
  <c r="BW13" i="43" s="1"/>
  <c r="BL22" i="43"/>
  <c r="AT72" i="43"/>
  <c r="X17" i="39" s="1"/>
  <c r="AP72" i="43"/>
  <c r="T17" i="39" s="1"/>
  <c r="I37" i="43"/>
  <c r="BF72" i="43"/>
  <c r="AJ17" i="39" s="1"/>
  <c r="J40" i="43"/>
  <c r="J37" i="43"/>
  <c r="X12" i="43"/>
  <c r="I18" i="39"/>
  <c r="AZ72" i="43"/>
  <c r="AD17" i="39" s="1"/>
  <c r="BQ39" i="43"/>
  <c r="BS39" i="43" s="1"/>
  <c r="BW39" i="43" s="1"/>
  <c r="BJ72" i="43"/>
  <c r="AN17" i="39" s="1"/>
  <c r="AN72" i="43"/>
  <c r="R17" i="39" s="1"/>
  <c r="I39" i="43"/>
  <c r="AB72" i="43"/>
  <c r="F17" i="39" s="1"/>
  <c r="S42" i="43"/>
  <c r="BQ48" i="43"/>
  <c r="BS48" i="43" s="1"/>
  <c r="BW48" i="43" s="1"/>
  <c r="I45" i="43"/>
  <c r="BP71" i="43"/>
  <c r="T22" i="43"/>
  <c r="Y14" i="43"/>
  <c r="S64" i="43"/>
  <c r="F83" i="51"/>
  <c r="BQ60" i="43"/>
  <c r="E44" i="52" s="1"/>
  <c r="I60" i="43"/>
  <c r="AM46" i="41"/>
  <c r="R22" i="39" s="1"/>
  <c r="BK37" i="41"/>
  <c r="AE23" i="39"/>
  <c r="J14" i="42"/>
  <c r="BT14" i="42"/>
  <c r="BX14" i="42" s="1"/>
  <c r="BM15" i="42"/>
  <c r="AA23" i="39"/>
  <c r="G23" i="39"/>
  <c r="AI23" i="39"/>
  <c r="X23" i="39"/>
  <c r="AO15" i="39"/>
  <c r="BJ36" i="45"/>
  <c r="BJ107" i="45" s="1"/>
  <c r="BJ108" i="45" s="1"/>
  <c r="C55" i="52"/>
  <c r="H55" i="52" s="1"/>
  <c r="AC56" i="42"/>
  <c r="F21" i="39" s="1"/>
  <c r="BE56" i="42"/>
  <c r="AH21" i="39" s="1"/>
  <c r="BP19" i="41"/>
  <c r="BR19" i="41" s="1"/>
  <c r="BV19" i="41" s="1"/>
  <c r="I19" i="41"/>
  <c r="H19" i="41"/>
  <c r="P19" i="41"/>
  <c r="Y23" i="39"/>
  <c r="R20" i="41"/>
  <c r="R46" i="41" s="1"/>
  <c r="K23" i="39"/>
  <c r="E23" i="39"/>
  <c r="V18" i="41"/>
  <c r="W23" i="39"/>
  <c r="BJ46" i="41"/>
  <c r="BK20" i="41"/>
  <c r="G18" i="41"/>
  <c r="F104" i="51" s="1"/>
  <c r="G88" i="24"/>
  <c r="AJ56" i="47"/>
  <c r="N10" i="39" s="1"/>
  <c r="H22" i="47"/>
  <c r="V22" i="47"/>
  <c r="J41" i="43"/>
  <c r="F80" i="51"/>
  <c r="I41" i="43"/>
  <c r="BQ41" i="43"/>
  <c r="BS41" i="43" s="1"/>
  <c r="BW41" i="43" s="1"/>
  <c r="BL42" i="43"/>
  <c r="O12" i="39"/>
  <c r="AW56" i="47"/>
  <c r="AA10" i="39" s="1"/>
  <c r="AA12" i="39" s="1"/>
  <c r="AX56" i="47"/>
  <c r="AB10" i="39" s="1"/>
  <c r="AO56" i="47"/>
  <c r="S10" i="39" s="1"/>
  <c r="S12" i="39" s="1"/>
  <c r="AN56" i="47"/>
  <c r="R10" i="39" s="1"/>
  <c r="AF56" i="47"/>
  <c r="J10" i="39" s="1"/>
  <c r="AP56" i="47"/>
  <c r="T10" i="39" s="1"/>
  <c r="AV56" i="47"/>
  <c r="Z10" i="39" s="1"/>
  <c r="Z66" i="46"/>
  <c r="F11" i="39" s="1"/>
  <c r="H23" i="47"/>
  <c r="BP23" i="47"/>
  <c r="BS23" i="47" s="1"/>
  <c r="BW23" i="47" s="1"/>
  <c r="BD66" i="46"/>
  <c r="AJ11" i="39" s="1"/>
  <c r="BQ32" i="44"/>
  <c r="H32" i="44"/>
  <c r="F27" i="39"/>
  <c r="U23" i="39"/>
  <c r="AX66" i="46"/>
  <c r="AD11" i="39" s="1"/>
  <c r="AD12" i="39" s="1"/>
  <c r="X30" i="26"/>
  <c r="X34" i="26" s="1"/>
  <c r="T34" i="26"/>
  <c r="T12" i="26"/>
  <c r="U12" i="26"/>
  <c r="G14" i="26"/>
  <c r="G35" i="26" s="1"/>
  <c r="V12" i="26"/>
  <c r="S12" i="26"/>
  <c r="H12" i="26"/>
  <c r="BS16" i="26"/>
  <c r="AO27" i="39"/>
  <c r="U48" i="25"/>
  <c r="Y34" i="25"/>
  <c r="Y48" i="25" s="1"/>
  <c r="AB29" i="39"/>
  <c r="BS35" i="25"/>
  <c r="BU35" i="25" s="1"/>
  <c r="BV35" i="25" s="1"/>
  <c r="I35" i="25"/>
  <c r="H35" i="25"/>
  <c r="R48" i="25"/>
  <c r="V34" i="25"/>
  <c r="V48" i="25" s="1"/>
  <c r="H26" i="25"/>
  <c r="BP26" i="25"/>
  <c r="BR26" i="25" s="1"/>
  <c r="BV26" i="25" s="1"/>
  <c r="I26" i="25"/>
  <c r="I41" i="25"/>
  <c r="H41" i="25"/>
  <c r="BS41" i="25"/>
  <c r="BU41" i="25" s="1"/>
  <c r="BV41" i="25" s="1"/>
  <c r="W53" i="24"/>
  <c r="BK88" i="24"/>
  <c r="H78" i="24"/>
  <c r="I78" i="24"/>
  <c r="I63" i="24"/>
  <c r="H63" i="24"/>
  <c r="BK79" i="24"/>
  <c r="BT53" i="24"/>
  <c r="BS53" i="24"/>
  <c r="I83" i="24"/>
  <c r="H83" i="24"/>
  <c r="AM29" i="39"/>
  <c r="I74" i="24"/>
  <c r="H74" i="24"/>
  <c r="H72" i="24"/>
  <c r="I72" i="24"/>
  <c r="F33" i="24"/>
  <c r="S28" i="24"/>
  <c r="G28" i="24"/>
  <c r="W12" i="24"/>
  <c r="W25" i="24" s="1"/>
  <c r="S25" i="24"/>
  <c r="E106" i="51"/>
  <c r="E113" i="51" s="1"/>
  <c r="S22" i="41"/>
  <c r="F37" i="41"/>
  <c r="F46" i="41" s="1"/>
  <c r="G22" i="41"/>
  <c r="U22" i="41"/>
  <c r="T22" i="41"/>
  <c r="H21" i="24"/>
  <c r="I21" i="24"/>
  <c r="F102" i="51"/>
  <c r="O15" i="41"/>
  <c r="I15" i="41"/>
  <c r="N15" i="41"/>
  <c r="H15" i="41"/>
  <c r="L15" i="41"/>
  <c r="Q15" i="41"/>
  <c r="K15" i="41"/>
  <c r="P15" i="41"/>
  <c r="J15" i="41"/>
  <c r="BP15" i="41"/>
  <c r="M15" i="41"/>
  <c r="V41" i="42"/>
  <c r="N11" i="42"/>
  <c r="N15" i="42" s="1"/>
  <c r="I15" i="42"/>
  <c r="BP30" i="24"/>
  <c r="BR30" i="24" s="1"/>
  <c r="BV30" i="24" s="1"/>
  <c r="I30" i="24"/>
  <c r="H30" i="24"/>
  <c r="Z11" i="42"/>
  <c r="V15" i="42"/>
  <c r="N34" i="42"/>
  <c r="AA34" i="42"/>
  <c r="Z34" i="42"/>
  <c r="Y34" i="42"/>
  <c r="X34" i="42"/>
  <c r="F78" i="51"/>
  <c r="BP34" i="43"/>
  <c r="I34" i="43"/>
  <c r="O34" i="43"/>
  <c r="J34" i="43"/>
  <c r="I56" i="43"/>
  <c r="BO56" i="43"/>
  <c r="BS56" i="43" s="1"/>
  <c r="BW56" i="43" s="1"/>
  <c r="J56" i="43"/>
  <c r="Q56" i="43"/>
  <c r="T42" i="43"/>
  <c r="X24" i="43"/>
  <c r="BL49" i="42"/>
  <c r="E51" i="52"/>
  <c r="BT35" i="42"/>
  <c r="BX35" i="42" s="1"/>
  <c r="Q35" i="44"/>
  <c r="H40" i="44"/>
  <c r="F62" i="51" s="1"/>
  <c r="J35" i="44"/>
  <c r="BQ35" i="44"/>
  <c r="I35" i="44"/>
  <c r="Z14" i="43"/>
  <c r="V64" i="43"/>
  <c r="S22" i="43"/>
  <c r="BL89" i="44"/>
  <c r="Y40" i="44"/>
  <c r="AH33" i="44"/>
  <c r="AH90" i="44" s="1"/>
  <c r="AH92" i="44" s="1"/>
  <c r="L16" i="39" s="1"/>
  <c r="U13" i="44"/>
  <c r="U16" i="44" s="1"/>
  <c r="Y12" i="44"/>
  <c r="Y13" i="44" s="1"/>
  <c r="Y16" i="44" s="1"/>
  <c r="U43" i="45"/>
  <c r="T43" i="45"/>
  <c r="F54" i="45"/>
  <c r="S43" i="45"/>
  <c r="R43" i="45"/>
  <c r="M18" i="39"/>
  <c r="BK33" i="44"/>
  <c r="BK90" i="44" s="1"/>
  <c r="BK92" i="44" s="1"/>
  <c r="I101" i="45"/>
  <c r="BP101" i="45"/>
  <c r="G80" i="45"/>
  <c r="G106" i="45" s="1"/>
  <c r="BN61" i="45"/>
  <c r="BR61" i="45" s="1"/>
  <c r="BV61" i="45" s="1"/>
  <c r="J61" i="45"/>
  <c r="V13" i="44"/>
  <c r="V16" i="44" s="1"/>
  <c r="Z12" i="44"/>
  <c r="Z13" i="44" s="1"/>
  <c r="Z16" i="44" s="1"/>
  <c r="Y56" i="45"/>
  <c r="U78" i="45"/>
  <c r="BP35" i="45"/>
  <c r="BR35" i="45" s="1"/>
  <c r="BV35" i="45" s="1"/>
  <c r="V35" i="45"/>
  <c r="W35" i="45"/>
  <c r="Y35" i="45"/>
  <c r="X35" i="45"/>
  <c r="M35" i="45"/>
  <c r="E42" i="51"/>
  <c r="R26" i="45"/>
  <c r="R36" i="45" s="1"/>
  <c r="S26" i="45"/>
  <c r="S36" i="45" s="1"/>
  <c r="U26" i="45"/>
  <c r="U36" i="45" s="1"/>
  <c r="T26" i="45"/>
  <c r="T36" i="45" s="1"/>
  <c r="H42" i="46"/>
  <c r="G42" i="46"/>
  <c r="H18" i="20"/>
  <c r="U38" i="45"/>
  <c r="U41" i="45" s="1"/>
  <c r="T38" i="45"/>
  <c r="T41" i="45" s="1"/>
  <c r="S38" i="45"/>
  <c r="S41" i="45" s="1"/>
  <c r="R38" i="45"/>
  <c r="R41" i="45" s="1"/>
  <c r="F41" i="45"/>
  <c r="G25" i="45"/>
  <c r="BI33" i="46"/>
  <c r="E27" i="46"/>
  <c r="Y33" i="47"/>
  <c r="BJ30" i="46"/>
  <c r="BN30" i="46" s="1"/>
  <c r="BQ30" i="46" s="1"/>
  <c r="BU30" i="46" s="1"/>
  <c r="BB56" i="47"/>
  <c r="AF10" i="39" s="1"/>
  <c r="BO14" i="45"/>
  <c r="BR14" i="45" s="1"/>
  <c r="BV14" i="45" s="1"/>
  <c r="H14" i="45"/>
  <c r="I14" i="45"/>
  <c r="BF56" i="47"/>
  <c r="AJ10" i="39" s="1"/>
  <c r="F14" i="46"/>
  <c r="BN14" i="46"/>
  <c r="BQ14" i="46" s="1"/>
  <c r="BU14" i="46" s="1"/>
  <c r="AL56" i="47"/>
  <c r="P10" i="39" s="1"/>
  <c r="BK30" i="47"/>
  <c r="G18" i="47"/>
  <c r="H59" i="46"/>
  <c r="F62" i="46"/>
  <c r="G59" i="46"/>
  <c r="BO59" i="46"/>
  <c r="BQ35" i="46"/>
  <c r="BN36" i="46"/>
  <c r="BI25" i="46"/>
  <c r="BP48" i="47"/>
  <c r="BS48" i="47" s="1"/>
  <c r="BW48" i="47" s="1"/>
  <c r="H48" i="47"/>
  <c r="G13" i="47"/>
  <c r="E6" i="51" s="1"/>
  <c r="BL46" i="47"/>
  <c r="BP46" i="47" s="1"/>
  <c r="BS46" i="47" s="1"/>
  <c r="BW46" i="47" s="1"/>
  <c r="F19" i="51"/>
  <c r="Z34" i="47"/>
  <c r="J34" i="47"/>
  <c r="BL21" i="47"/>
  <c r="F16" i="51"/>
  <c r="J28" i="47"/>
  <c r="I28" i="47"/>
  <c r="F47" i="51"/>
  <c r="BP95" i="45"/>
  <c r="I95" i="45"/>
  <c r="BQ72" i="44"/>
  <c r="BS72" i="44" s="1"/>
  <c r="BW72" i="44" s="1"/>
  <c r="Q72" i="44"/>
  <c r="J72" i="44"/>
  <c r="I72" i="44"/>
  <c r="W82" i="45"/>
  <c r="V82" i="45"/>
  <c r="BP82" i="45"/>
  <c r="BR82" i="45" s="1"/>
  <c r="BV82" i="45" s="1"/>
  <c r="M82" i="45"/>
  <c r="BK78" i="45"/>
  <c r="G78" i="45"/>
  <c r="M56" i="45"/>
  <c r="BN56" i="45"/>
  <c r="H32" i="46"/>
  <c r="G32" i="46"/>
  <c r="F44" i="51"/>
  <c r="H29" i="45"/>
  <c r="BP29" i="45"/>
  <c r="I29" i="45"/>
  <c r="BQ45" i="46"/>
  <c r="F46" i="51"/>
  <c r="I93" i="45"/>
  <c r="H93" i="45"/>
  <c r="BP93" i="45"/>
  <c r="H60" i="46"/>
  <c r="G60" i="46"/>
  <c r="BO60" i="46"/>
  <c r="BQ60" i="46" s="1"/>
  <c r="BU60" i="46" s="1"/>
  <c r="BM65" i="46"/>
  <c r="BM66" i="46" s="1"/>
  <c r="C5" i="52" s="1"/>
  <c r="V45" i="46"/>
  <c r="R19" i="45"/>
  <c r="S19" i="45"/>
  <c r="U19" i="45"/>
  <c r="T19" i="45"/>
  <c r="F22" i="45"/>
  <c r="E41" i="51" s="1"/>
  <c r="U45" i="46"/>
  <c r="V35" i="46"/>
  <c r="V36" i="46" s="1"/>
  <c r="R36" i="46"/>
  <c r="BB66" i="46"/>
  <c r="AH11" i="39" s="1"/>
  <c r="AH12" i="39" s="1"/>
  <c r="BT33" i="46"/>
  <c r="BT66" i="46" s="1"/>
  <c r="G5" i="52" s="1"/>
  <c r="V20" i="46"/>
  <c r="AN66" i="46"/>
  <c r="T11" i="39" s="1"/>
  <c r="T24" i="46"/>
  <c r="X24" i="46" s="1"/>
  <c r="F24" i="46"/>
  <c r="S24" i="46"/>
  <c r="W24" i="46" s="1"/>
  <c r="Q24" i="46"/>
  <c r="U24" i="46" s="1"/>
  <c r="R24" i="46"/>
  <c r="V24" i="46" s="1"/>
  <c r="BJ12" i="46"/>
  <c r="AL66" i="46"/>
  <c r="R11" i="39" s="1"/>
  <c r="Q21" i="46"/>
  <c r="U21" i="46" s="1"/>
  <c r="R21" i="46"/>
  <c r="V21" i="46" s="1"/>
  <c r="S21" i="46"/>
  <c r="F21" i="46"/>
  <c r="E25" i="46"/>
  <c r="E31" i="51" s="1"/>
  <c r="T21" i="46"/>
  <c r="H53" i="47"/>
  <c r="BP53" i="47"/>
  <c r="BS53" i="47" s="1"/>
  <c r="BW53" i="47" s="1"/>
  <c r="Y12" i="39"/>
  <c r="X13" i="45"/>
  <c r="V59" i="46"/>
  <c r="V62" i="46" s="1"/>
  <c r="R62" i="46"/>
  <c r="BJ62" i="46"/>
  <c r="F17" i="51"/>
  <c r="J29" i="47"/>
  <c r="I29" i="47"/>
  <c r="BL18" i="47"/>
  <c r="G18" i="25"/>
  <c r="H69" i="24"/>
  <c r="I69" i="24"/>
  <c r="T45" i="41"/>
  <c r="X39" i="41"/>
  <c r="X45" i="41" s="1"/>
  <c r="BK45" i="41"/>
  <c r="BP39" i="41"/>
  <c r="E63" i="52"/>
  <c r="H63" i="52" s="1"/>
  <c r="BR22" i="41"/>
  <c r="F94" i="51"/>
  <c r="K35" i="42"/>
  <c r="J35" i="42"/>
  <c r="BL49" i="43"/>
  <c r="H44" i="43"/>
  <c r="X17" i="43"/>
  <c r="X22" i="43" s="1"/>
  <c r="W17" i="43"/>
  <c r="W22" i="43" s="1"/>
  <c r="H22" i="43"/>
  <c r="Y17" i="43"/>
  <c r="Y22" i="43" s="1"/>
  <c r="Q17" i="43"/>
  <c r="J17" i="43"/>
  <c r="Z17" i="43"/>
  <c r="Z22" i="43" s="1"/>
  <c r="BQ17" i="43"/>
  <c r="BQ36" i="44"/>
  <c r="BS36" i="44" s="1"/>
  <c r="BW36" i="44" s="1"/>
  <c r="I36" i="44"/>
  <c r="Q36" i="44"/>
  <c r="J36" i="44"/>
  <c r="O25" i="43"/>
  <c r="BQ25" i="43"/>
  <c r="BS25" i="43" s="1"/>
  <c r="BW25" i="43" s="1"/>
  <c r="BL22" i="44"/>
  <c r="E61" i="51"/>
  <c r="X32" i="44"/>
  <c r="Z32" i="44"/>
  <c r="Y32" i="44"/>
  <c r="W57" i="45"/>
  <c r="V57" i="45"/>
  <c r="BN57" i="45"/>
  <c r="BR57" i="45" s="1"/>
  <c r="BV57" i="45" s="1"/>
  <c r="Y57" i="45"/>
  <c r="X57" i="45"/>
  <c r="M57" i="45"/>
  <c r="BS33" i="26"/>
  <c r="BW33" i="26" s="1"/>
  <c r="V18" i="26"/>
  <c r="Z16" i="26"/>
  <c r="Z18" i="26" s="1"/>
  <c r="T55" i="25"/>
  <c r="BT53" i="25"/>
  <c r="BU53" i="25" s="1"/>
  <c r="BV53" i="25" s="1"/>
  <c r="I53" i="25"/>
  <c r="H53" i="25"/>
  <c r="I40" i="25"/>
  <c r="H40" i="25"/>
  <c r="BS40" i="25"/>
  <c r="BU40" i="25" s="1"/>
  <c r="BV40" i="25" s="1"/>
  <c r="S30" i="25"/>
  <c r="P29" i="39"/>
  <c r="I42" i="25"/>
  <c r="H42" i="25"/>
  <c r="BS42" i="25"/>
  <c r="BU42" i="25" s="1"/>
  <c r="BV42" i="25" s="1"/>
  <c r="H36" i="25"/>
  <c r="BS36" i="25"/>
  <c r="BU36" i="25" s="1"/>
  <c r="BV36" i="25" s="1"/>
  <c r="I36" i="25"/>
  <c r="H28" i="25"/>
  <c r="BP28" i="25"/>
  <c r="BR28" i="25" s="1"/>
  <c r="BV28" i="25" s="1"/>
  <c r="I28" i="25"/>
  <c r="BT88" i="24"/>
  <c r="BT89" i="24" s="1"/>
  <c r="BU81" i="24"/>
  <c r="AI29" i="39"/>
  <c r="H75" i="24"/>
  <c r="I75" i="24"/>
  <c r="AG29" i="39"/>
  <c r="S88" i="24"/>
  <c r="I61" i="24"/>
  <c r="H61" i="24"/>
  <c r="AK29" i="39"/>
  <c r="AC29" i="39"/>
  <c r="I57" i="24"/>
  <c r="H57" i="24"/>
  <c r="AO22" i="39"/>
  <c r="U20" i="41"/>
  <c r="V12" i="24"/>
  <c r="V25" i="24" s="1"/>
  <c r="R25" i="24"/>
  <c r="Y11" i="42"/>
  <c r="U15" i="42"/>
  <c r="I43" i="42"/>
  <c r="BP43" i="42"/>
  <c r="C54" i="52" s="1"/>
  <c r="H54" i="52" s="1"/>
  <c r="U28" i="42"/>
  <c r="Y21" i="42"/>
  <c r="Y28" i="42" s="1"/>
  <c r="E61" i="52"/>
  <c r="H61" i="52" s="1"/>
  <c r="BR18" i="41"/>
  <c r="BC56" i="42"/>
  <c r="AF21" i="39" s="1"/>
  <c r="AA26" i="42"/>
  <c r="F86" i="51"/>
  <c r="BQ66" i="43"/>
  <c r="Q66" i="43"/>
  <c r="Y66" i="43"/>
  <c r="H71" i="43"/>
  <c r="X66" i="43"/>
  <c r="V45" i="43"/>
  <c r="U45" i="43"/>
  <c r="T45" i="43"/>
  <c r="S45" i="43"/>
  <c r="W45" i="43" s="1"/>
  <c r="F77" i="51"/>
  <c r="I33" i="43"/>
  <c r="Q33" i="43"/>
  <c r="O33" i="43"/>
  <c r="BQ33" i="43"/>
  <c r="J33" i="43"/>
  <c r="H42" i="43"/>
  <c r="BQ24" i="43"/>
  <c r="J24" i="43"/>
  <c r="I24" i="43"/>
  <c r="Q24" i="43"/>
  <c r="F88" i="51"/>
  <c r="Y69" i="43"/>
  <c r="J69" i="43"/>
  <c r="BQ69" i="43"/>
  <c r="X69" i="43"/>
  <c r="Y13" i="42"/>
  <c r="Y12" i="42"/>
  <c r="X31" i="42"/>
  <c r="BL64" i="43"/>
  <c r="BP11" i="43"/>
  <c r="I11" i="43"/>
  <c r="I14" i="43" s="1"/>
  <c r="H14" i="43"/>
  <c r="F70" i="51" s="1"/>
  <c r="J11" i="43"/>
  <c r="F81" i="51"/>
  <c r="H64" i="43"/>
  <c r="BQ51" i="43"/>
  <c r="Q51" i="43"/>
  <c r="J51" i="43"/>
  <c r="I51" i="43"/>
  <c r="X51" i="43"/>
  <c r="W51" i="43"/>
  <c r="BQ51" i="44"/>
  <c r="BS51" i="44" s="1"/>
  <c r="BW51" i="44" s="1"/>
  <c r="Q51" i="44"/>
  <c r="J51" i="44"/>
  <c r="I51" i="44"/>
  <c r="Y51" i="44"/>
  <c r="T40" i="44"/>
  <c r="X35" i="44"/>
  <c r="X40" i="44" s="1"/>
  <c r="F71" i="51"/>
  <c r="BQ20" i="43"/>
  <c r="J20" i="43"/>
  <c r="Q20" i="43"/>
  <c r="Y66" i="44"/>
  <c r="Y82" i="44" s="1"/>
  <c r="U82" i="44"/>
  <c r="V22" i="43"/>
  <c r="G18" i="39"/>
  <c r="BS66" i="44"/>
  <c r="BP96" i="45"/>
  <c r="BR96" i="45" s="1"/>
  <c r="BV96" i="45" s="1"/>
  <c r="J96" i="45"/>
  <c r="J106" i="45" s="1"/>
  <c r="BS21" i="44"/>
  <c r="BW21" i="44" s="1"/>
  <c r="Y18" i="39"/>
  <c r="M72" i="45"/>
  <c r="BN72" i="45"/>
  <c r="BR72" i="45" s="1"/>
  <c r="BV72" i="45" s="1"/>
  <c r="AK18" i="39"/>
  <c r="BP99" i="45"/>
  <c r="BR99" i="45" s="1"/>
  <c r="BV99" i="45" s="1"/>
  <c r="I99" i="45"/>
  <c r="H99" i="45"/>
  <c r="R78" i="45"/>
  <c r="V56" i="45"/>
  <c r="BN31" i="45"/>
  <c r="BR31" i="45" s="1"/>
  <c r="BV31" i="45" s="1"/>
  <c r="V31" i="45"/>
  <c r="W31" i="45"/>
  <c r="M31" i="45"/>
  <c r="Y31" i="45"/>
  <c r="X31" i="45"/>
  <c r="BJ65" i="46"/>
  <c r="F64" i="46"/>
  <c r="BN64" i="46"/>
  <c r="BN65" i="46" s="1"/>
  <c r="H31" i="46"/>
  <c r="G31" i="46"/>
  <c r="L18" i="20"/>
  <c r="BR68" i="45"/>
  <c r="BV68" i="45" s="1"/>
  <c r="BO78" i="45"/>
  <c r="BO107" i="45" s="1"/>
  <c r="G54" i="45"/>
  <c r="BN43" i="45"/>
  <c r="M43" i="45"/>
  <c r="AM18" i="39"/>
  <c r="BN63" i="45"/>
  <c r="BR63" i="45" s="1"/>
  <c r="BV63" i="45" s="1"/>
  <c r="J63" i="45"/>
  <c r="S43" i="46"/>
  <c r="W39" i="46"/>
  <c r="W43" i="46" s="1"/>
  <c r="M73" i="45"/>
  <c r="BN73" i="45"/>
  <c r="BR73" i="45" s="1"/>
  <c r="BV73" i="45" s="1"/>
  <c r="J62" i="45"/>
  <c r="BN62" i="45"/>
  <c r="BR62" i="45" s="1"/>
  <c r="BV62" i="45" s="1"/>
  <c r="AV66" i="46"/>
  <c r="AB11" i="39" s="1"/>
  <c r="BN27" i="46"/>
  <c r="BJ33" i="46"/>
  <c r="U20" i="46"/>
  <c r="H47" i="46"/>
  <c r="G47" i="46"/>
  <c r="BJ21" i="46"/>
  <c r="BN21" i="46" s="1"/>
  <c r="BQ21" i="46" s="1"/>
  <c r="BU21" i="46" s="1"/>
  <c r="F30" i="51"/>
  <c r="M12" i="39"/>
  <c r="BP20" i="47"/>
  <c r="BS20" i="47" s="1"/>
  <c r="BW20" i="47" s="1"/>
  <c r="H20" i="47"/>
  <c r="BO13" i="45"/>
  <c r="H13" i="45"/>
  <c r="I13" i="45"/>
  <c r="S62" i="46"/>
  <c r="W59" i="46"/>
  <c r="W62" i="46" s="1"/>
  <c r="BI15" i="46"/>
  <c r="E12" i="46"/>
  <c r="V42" i="47"/>
  <c r="Z42" i="47" s="1"/>
  <c r="U42" i="47"/>
  <c r="Y42" i="47" s="1"/>
  <c r="T42" i="47"/>
  <c r="X42" i="47" s="1"/>
  <c r="S42" i="47"/>
  <c r="W42" i="47" s="1"/>
  <c r="S39" i="47"/>
  <c r="V39" i="47"/>
  <c r="U39" i="47"/>
  <c r="T39" i="47"/>
  <c r="T23" i="46"/>
  <c r="X23" i="46" s="1"/>
  <c r="F23" i="46"/>
  <c r="S23" i="46"/>
  <c r="W23" i="46" s="1"/>
  <c r="Q23" i="46"/>
  <c r="U23" i="46" s="1"/>
  <c r="R23" i="46"/>
  <c r="V23" i="46" s="1"/>
  <c r="BL22" i="47"/>
  <c r="BP22" i="47" s="1"/>
  <c r="BS22" i="47" s="1"/>
  <c r="BW22" i="47" s="1"/>
  <c r="BL39" i="47"/>
  <c r="AC12" i="39"/>
  <c r="F4" i="51"/>
  <c r="J12" i="47"/>
  <c r="I12" i="47"/>
  <c r="T18" i="26"/>
  <c r="X16" i="26"/>
  <c r="X18" i="26" s="1"/>
  <c r="U55" i="25"/>
  <c r="Y50" i="25"/>
  <c r="Y55" i="25" s="1"/>
  <c r="BP17" i="26"/>
  <c r="BS17" i="26" s="1"/>
  <c r="BW17" i="26" s="1"/>
  <c r="J17" i="26"/>
  <c r="J18" i="26" s="1"/>
  <c r="I17" i="26"/>
  <c r="I18" i="26" s="1"/>
  <c r="I50" i="25"/>
  <c r="G55" i="25"/>
  <c r="BT50" i="25"/>
  <c r="H50" i="25"/>
  <c r="I37" i="25"/>
  <c r="BS37" i="25"/>
  <c r="BU37" i="25" s="1"/>
  <c r="BV37" i="25" s="1"/>
  <c r="H37" i="25"/>
  <c r="W34" i="25"/>
  <c r="W48" i="25" s="1"/>
  <c r="S48" i="25"/>
  <c r="T16" i="25"/>
  <c r="X14" i="25"/>
  <c r="X16" i="25" s="1"/>
  <c r="I41" i="24"/>
  <c r="BP41" i="24"/>
  <c r="BR41" i="24" s="1"/>
  <c r="BV41" i="24" s="1"/>
  <c r="H41" i="24"/>
  <c r="V53" i="24"/>
  <c r="H60" i="24"/>
  <c r="I60" i="24"/>
  <c r="X53" i="24"/>
  <c r="F109" i="51"/>
  <c r="W33" i="41"/>
  <c r="I33" i="41"/>
  <c r="X33" i="41"/>
  <c r="H33" i="41"/>
  <c r="BN33" i="41"/>
  <c r="P33" i="41"/>
  <c r="Y33" i="41"/>
  <c r="L33" i="41"/>
  <c r="L37" i="41" s="1"/>
  <c r="BT12" i="24"/>
  <c r="BU12" i="24" s="1"/>
  <c r="BV12" i="24" s="1"/>
  <c r="BK25" i="24"/>
  <c r="U42" i="43"/>
  <c r="Y24" i="43"/>
  <c r="K55" i="43"/>
  <c r="K64" i="43" s="1"/>
  <c r="K72" i="43" s="1"/>
  <c r="G17" i="20" s="1"/>
  <c r="BQ55" i="43"/>
  <c r="BS55" i="43" s="1"/>
  <c r="BW55" i="43" s="1"/>
  <c r="W55" i="43"/>
  <c r="Q55" i="43"/>
  <c r="Z55" i="43"/>
  <c r="R55" i="43"/>
  <c r="R64" i="43" s="1"/>
  <c r="R72" i="43" s="1"/>
  <c r="N17" i="20" s="1"/>
  <c r="Y55" i="43"/>
  <c r="X55" i="43"/>
  <c r="Z33" i="42"/>
  <c r="Y33" i="42"/>
  <c r="X33" i="42"/>
  <c r="N33" i="42"/>
  <c r="AA33" i="42"/>
  <c r="N22" i="42"/>
  <c r="BP22" i="42"/>
  <c r="BT22" i="42" s="1"/>
  <c r="BX22" i="42" s="1"/>
  <c r="Y84" i="44"/>
  <c r="U89" i="44"/>
  <c r="Y85" i="44"/>
  <c r="Q85" i="44"/>
  <c r="X85" i="44"/>
  <c r="X89" i="44" s="1"/>
  <c r="BQ85" i="44"/>
  <c r="BS85" i="44" s="1"/>
  <c r="BW85" i="44" s="1"/>
  <c r="J85" i="44"/>
  <c r="Z85" i="44"/>
  <c r="Z89" i="44" s="1"/>
  <c r="I85" i="44"/>
  <c r="U18" i="26"/>
  <c r="Y16" i="26"/>
  <c r="Y18" i="26" s="1"/>
  <c r="AR35" i="26"/>
  <c r="V28" i="39" s="1"/>
  <c r="BP12" i="26"/>
  <c r="BL14" i="26"/>
  <c r="BG56" i="25"/>
  <c r="AL27" i="39" s="1"/>
  <c r="AL29" i="39" s="1"/>
  <c r="W16" i="26"/>
  <c r="W18" i="26" s="1"/>
  <c r="S18" i="26"/>
  <c r="R55" i="25"/>
  <c r="BA56" i="25"/>
  <c r="AF27" i="39" s="1"/>
  <c r="X55" i="25"/>
  <c r="I43" i="25"/>
  <c r="H43" i="25"/>
  <c r="BS43" i="25"/>
  <c r="BU43" i="25" s="1"/>
  <c r="BV43" i="25" s="1"/>
  <c r="BT14" i="25"/>
  <c r="BU14" i="25" s="1"/>
  <c r="I14" i="25"/>
  <c r="BN14" i="25"/>
  <c r="BR14" i="25" s="1"/>
  <c r="H14" i="25"/>
  <c r="BS45" i="25"/>
  <c r="BU45" i="25" s="1"/>
  <c r="BV45" i="25" s="1"/>
  <c r="I45" i="25"/>
  <c r="H45" i="25"/>
  <c r="T48" i="25"/>
  <c r="X34" i="25"/>
  <c r="X48" i="25" s="1"/>
  <c r="X88" i="24"/>
  <c r="Q29" i="39"/>
  <c r="U29" i="39"/>
  <c r="I64" i="24"/>
  <c r="H64" i="24"/>
  <c r="I87" i="24"/>
  <c r="H87" i="24"/>
  <c r="AE29" i="39"/>
  <c r="H77" i="24"/>
  <c r="I77" i="24"/>
  <c r="W29" i="39"/>
  <c r="H47" i="24"/>
  <c r="I47" i="24"/>
  <c r="S20" i="41"/>
  <c r="W18" i="41"/>
  <c r="W20" i="41" s="1"/>
  <c r="I58" i="24"/>
  <c r="H58" i="24"/>
  <c r="G45" i="41"/>
  <c r="L39" i="41"/>
  <c r="L45" i="41" s="1"/>
  <c r="K48" i="24"/>
  <c r="K89" i="24" s="1"/>
  <c r="H26" i="20" s="1"/>
  <c r="H29" i="20" s="1"/>
  <c r="L42" i="24"/>
  <c r="X18" i="41"/>
  <c r="T20" i="41"/>
  <c r="H55" i="42"/>
  <c r="AW56" i="42"/>
  <c r="Z21" i="39" s="1"/>
  <c r="Z23" i="39" s="1"/>
  <c r="W41" i="42"/>
  <c r="AA30" i="42"/>
  <c r="H45" i="41"/>
  <c r="AK23" i="39"/>
  <c r="Z51" i="42"/>
  <c r="V55" i="42"/>
  <c r="X21" i="42"/>
  <c r="T28" i="42"/>
  <c r="BT21" i="42"/>
  <c r="W70" i="43"/>
  <c r="W71" i="43" s="1"/>
  <c r="F93" i="51"/>
  <c r="K32" i="42"/>
  <c r="J32" i="42"/>
  <c r="V42" i="43"/>
  <c r="Z24" i="43"/>
  <c r="BH72" i="43"/>
  <c r="AL17" i="39" s="1"/>
  <c r="Z13" i="42"/>
  <c r="Z12" i="42"/>
  <c r="W44" i="43"/>
  <c r="G64" i="43"/>
  <c r="E89" i="51"/>
  <c r="T82" i="44"/>
  <c r="X66" i="44"/>
  <c r="X82" i="44" s="1"/>
  <c r="O26" i="43"/>
  <c r="J26" i="43"/>
  <c r="F73" i="51" s="1"/>
  <c r="BQ26" i="43"/>
  <c r="E34" i="52" s="1"/>
  <c r="H34" i="52" s="1"/>
  <c r="S14" i="43"/>
  <c r="W11" i="43"/>
  <c r="BV66" i="43"/>
  <c r="W40" i="44"/>
  <c r="J77" i="44"/>
  <c r="BQ77" i="44"/>
  <c r="BS77" i="44" s="1"/>
  <c r="BW77" i="44" s="1"/>
  <c r="Q77" i="44"/>
  <c r="I77" i="44"/>
  <c r="BQ49" i="44"/>
  <c r="BS49" i="44" s="1"/>
  <c r="BW49" i="44" s="1"/>
  <c r="Q49" i="44"/>
  <c r="J49" i="44"/>
  <c r="I49" i="44"/>
  <c r="BU25" i="44"/>
  <c r="BV25" i="44" s="1"/>
  <c r="BW25" i="44" s="1"/>
  <c r="H25" i="44"/>
  <c r="M25" i="44" s="1"/>
  <c r="H27" i="44"/>
  <c r="M27" i="44" s="1"/>
  <c r="BU27" i="44"/>
  <c r="BV27" i="44" s="1"/>
  <c r="BW27" i="44" s="1"/>
  <c r="W86" i="45"/>
  <c r="V86" i="45"/>
  <c r="BP86" i="45"/>
  <c r="BR86" i="45" s="1"/>
  <c r="BV86" i="45" s="1"/>
  <c r="M86" i="45"/>
  <c r="J70" i="44"/>
  <c r="Q70" i="44"/>
  <c r="I70" i="44"/>
  <c r="BQ70" i="44"/>
  <c r="BS70" i="44" s="1"/>
  <c r="BW70" i="44" s="1"/>
  <c r="AB33" i="44"/>
  <c r="AB90" i="44" s="1"/>
  <c r="AB92" i="44" s="1"/>
  <c r="F16" i="39" s="1"/>
  <c r="W12" i="44"/>
  <c r="W13" i="44" s="1"/>
  <c r="W16" i="44" s="1"/>
  <c r="S13" i="44"/>
  <c r="S16" i="44" s="1"/>
  <c r="L69" i="45"/>
  <c r="BN69" i="45"/>
  <c r="BR69" i="45" s="1"/>
  <c r="BV69" i="45" s="1"/>
  <c r="M45" i="45"/>
  <c r="BN45" i="45"/>
  <c r="BR45" i="45" s="1"/>
  <c r="BV45" i="45" s="1"/>
  <c r="J48" i="44"/>
  <c r="BQ48" i="44"/>
  <c r="BS48" i="44" s="1"/>
  <c r="BW48" i="44" s="1"/>
  <c r="Q48" i="44"/>
  <c r="I48" i="44"/>
  <c r="S40" i="44"/>
  <c r="AI18" i="39"/>
  <c r="S78" i="45"/>
  <c r="W56" i="45"/>
  <c r="BK41" i="45"/>
  <c r="G38" i="45"/>
  <c r="G22" i="46"/>
  <c r="H22" i="46"/>
  <c r="M44" i="45"/>
  <c r="BN44" i="45"/>
  <c r="BR44" i="45" s="1"/>
  <c r="BV44" i="45" s="1"/>
  <c r="M89" i="45"/>
  <c r="Y89" i="45"/>
  <c r="Y106" i="45" s="1"/>
  <c r="BP89" i="45"/>
  <c r="BR89" i="45" s="1"/>
  <c r="BV89" i="45" s="1"/>
  <c r="X89" i="45"/>
  <c r="W89" i="45"/>
  <c r="V89" i="45"/>
  <c r="AC18" i="39"/>
  <c r="L70" i="45"/>
  <c r="BN70" i="45"/>
  <c r="BR70" i="45" s="1"/>
  <c r="BV70" i="45" s="1"/>
  <c r="AA18" i="39"/>
  <c r="O18" i="39"/>
  <c r="M46" i="45"/>
  <c r="BN46" i="45"/>
  <c r="BR46" i="45" s="1"/>
  <c r="BV46" i="45" s="1"/>
  <c r="BJ53" i="46"/>
  <c r="F51" i="46"/>
  <c r="W51" i="46"/>
  <c r="V51" i="46"/>
  <c r="H41" i="46"/>
  <c r="G41" i="46"/>
  <c r="G43" i="46" s="1"/>
  <c r="H29" i="46"/>
  <c r="G29" i="46"/>
  <c r="AP66" i="46"/>
  <c r="V11" i="39" s="1"/>
  <c r="G52" i="47"/>
  <c r="BK55" i="47"/>
  <c r="AT66" i="46"/>
  <c r="Z11" i="39" s="1"/>
  <c r="BE66" i="46"/>
  <c r="AK11" i="39" s="1"/>
  <c r="Y13" i="45"/>
  <c r="BN20" i="46"/>
  <c r="I45" i="47"/>
  <c r="Z45" i="47"/>
  <c r="Y45" i="47"/>
  <c r="X45" i="47"/>
  <c r="W45" i="47"/>
  <c r="J45" i="47"/>
  <c r="AD30" i="47"/>
  <c r="AD56" i="47" s="1"/>
  <c r="H10" i="39" s="1"/>
  <c r="BP25" i="26"/>
  <c r="BS25" i="26" s="1"/>
  <c r="BW25" i="26" s="1"/>
  <c r="J25" i="26"/>
  <c r="I25" i="26"/>
  <c r="I30" i="26"/>
  <c r="I34" i="26" s="1"/>
  <c r="BQ30" i="26"/>
  <c r="BS30" i="26" s="1"/>
  <c r="BW30" i="26" s="1"/>
  <c r="J30" i="26"/>
  <c r="J34" i="26" s="1"/>
  <c r="V27" i="26"/>
  <c r="Z26" i="26"/>
  <c r="Z27" i="26" s="1"/>
  <c r="BC48" i="25"/>
  <c r="BC56" i="25" s="1"/>
  <c r="AH27" i="39" s="1"/>
  <c r="AH29" i="39" s="1"/>
  <c r="G29" i="20"/>
  <c r="AB35" i="26"/>
  <c r="F28" i="39" s="1"/>
  <c r="H19" i="25"/>
  <c r="BT19" i="25"/>
  <c r="BU19" i="25" s="1"/>
  <c r="BV19" i="25" s="1"/>
  <c r="I19" i="25"/>
  <c r="F16" i="25"/>
  <c r="F56" i="25" s="1"/>
  <c r="U12" i="25"/>
  <c r="U16" i="25" s="1"/>
  <c r="T88" i="24"/>
  <c r="U67" i="24"/>
  <c r="Y67" i="24" s="1"/>
  <c r="Y79" i="24" s="1"/>
  <c r="G67" i="24"/>
  <c r="T67" i="24"/>
  <c r="X67" i="24" s="1"/>
  <c r="S67" i="24"/>
  <c r="W67" i="24" s="1"/>
  <c r="R67" i="24"/>
  <c r="V67" i="24" s="1"/>
  <c r="BN45" i="41"/>
  <c r="H66" i="24"/>
  <c r="I66" i="24"/>
  <c r="V43" i="24"/>
  <c r="V48" i="24" s="1"/>
  <c r="Y43" i="24"/>
  <c r="Y48" i="24" s="1"/>
  <c r="X43" i="24"/>
  <c r="W43" i="24"/>
  <c r="W48" i="24" s="1"/>
  <c r="I43" i="24"/>
  <c r="H43" i="24"/>
  <c r="I17" i="24"/>
  <c r="H17" i="24"/>
  <c r="S23" i="39"/>
  <c r="U41" i="42"/>
  <c r="BP48" i="42"/>
  <c r="BT48" i="42" s="1"/>
  <c r="BX48" i="42" s="1"/>
  <c r="L48" i="42"/>
  <c r="L49" i="42" s="1"/>
  <c r="BS70" i="43"/>
  <c r="BW70" i="43" s="1"/>
  <c r="D47" i="52"/>
  <c r="H47" i="52" s="1"/>
  <c r="T71" i="43"/>
  <c r="X11" i="43"/>
  <c r="T14" i="43"/>
  <c r="Q84" i="44"/>
  <c r="I84" i="44"/>
  <c r="BQ84" i="44"/>
  <c r="H89" i="44"/>
  <c r="J84" i="44"/>
  <c r="E45" i="52"/>
  <c r="H45" i="52" s="1"/>
  <c r="BS62" i="43"/>
  <c r="BW62" i="43" s="1"/>
  <c r="J31" i="43"/>
  <c r="F76" i="51" s="1"/>
  <c r="BQ31" i="43"/>
  <c r="O31" i="43"/>
  <c r="AO16" i="39"/>
  <c r="F57" i="51"/>
  <c r="BP15" i="44"/>
  <c r="H16" i="44"/>
  <c r="Q15" i="44"/>
  <c r="Q16" i="44" s="1"/>
  <c r="J15" i="44"/>
  <c r="J16" i="44" s="1"/>
  <c r="BP98" i="45"/>
  <c r="BR98" i="45" s="1"/>
  <c r="BV98" i="45" s="1"/>
  <c r="I98" i="45"/>
  <c r="H98" i="45"/>
  <c r="J56" i="44"/>
  <c r="BQ56" i="44"/>
  <c r="BS56" i="44" s="1"/>
  <c r="BW56" i="44" s="1"/>
  <c r="Q56" i="44"/>
  <c r="I56" i="44"/>
  <c r="H82" i="44"/>
  <c r="F64" i="51" s="1"/>
  <c r="BP19" i="44"/>
  <c r="U22" i="43"/>
  <c r="AE18" i="39"/>
  <c r="BO20" i="44"/>
  <c r="C23" i="52" s="1"/>
  <c r="H23" i="52" s="1"/>
  <c r="H20" i="44"/>
  <c r="K18" i="39"/>
  <c r="BN28" i="45"/>
  <c r="BR28" i="45" s="1"/>
  <c r="BV28" i="45" s="1"/>
  <c r="L28" i="45"/>
  <c r="L36" i="45" s="1"/>
  <c r="AG18" i="39"/>
  <c r="G21" i="45"/>
  <c r="BS21" i="45"/>
  <c r="Q18" i="39"/>
  <c r="AJ66" i="46"/>
  <c r="P11" i="39" s="1"/>
  <c r="BJ51" i="46"/>
  <c r="BN51" i="46" s="1"/>
  <c r="BQ51" i="46" s="1"/>
  <c r="BU51" i="46" s="1"/>
  <c r="E20" i="51"/>
  <c r="H35" i="47"/>
  <c r="G37" i="47"/>
  <c r="V35" i="47"/>
  <c r="U35" i="47"/>
  <c r="Y35" i="47" s="1"/>
  <c r="T35" i="47"/>
  <c r="S35" i="47"/>
  <c r="V13" i="45"/>
  <c r="T62" i="46"/>
  <c r="X59" i="46"/>
  <c r="X62" i="46" s="1"/>
  <c r="BL55" i="47"/>
  <c r="H52" i="47"/>
  <c r="BP52" i="47"/>
  <c r="H24" i="47"/>
  <c r="BP24" i="47"/>
  <c r="BS24" i="47" s="1"/>
  <c r="BW24" i="47" s="1"/>
  <c r="AO28" i="39"/>
  <c r="I51" i="25"/>
  <c r="BT51" i="25"/>
  <c r="BU51" i="25" s="1"/>
  <c r="BV51" i="25" s="1"/>
  <c r="H51" i="25"/>
  <c r="I39" i="25"/>
  <c r="H39" i="25"/>
  <c r="BS39" i="25"/>
  <c r="BU39" i="25" s="1"/>
  <c r="BV39" i="25" s="1"/>
  <c r="I54" i="24"/>
  <c r="H54" i="24"/>
  <c r="BN12" i="25"/>
  <c r="G16" i="25"/>
  <c r="I12" i="25"/>
  <c r="I16" i="25" s="1"/>
  <c r="Y12" i="25"/>
  <c r="Y16" i="25" s="1"/>
  <c r="H12" i="25"/>
  <c r="H84" i="24"/>
  <c r="I84" i="24"/>
  <c r="BP35" i="24"/>
  <c r="BK48" i="24"/>
  <c r="I82" i="24"/>
  <c r="H82" i="24"/>
  <c r="S45" i="41"/>
  <c r="W39" i="41"/>
  <c r="W45" i="41" s="1"/>
  <c r="G48" i="24"/>
  <c r="H35" i="24"/>
  <c r="I35" i="24"/>
  <c r="J15" i="42"/>
  <c r="BR17" i="41"/>
  <c r="BV17" i="41" s="1"/>
  <c r="BR51" i="42"/>
  <c r="X30" i="42"/>
  <c r="T41" i="42"/>
  <c r="J52" i="43"/>
  <c r="W52" i="43"/>
  <c r="Q52" i="43"/>
  <c r="BO52" i="43"/>
  <c r="I52" i="43"/>
  <c r="X52" i="43"/>
  <c r="BP21" i="26"/>
  <c r="J21" i="26"/>
  <c r="J22" i="26" s="1"/>
  <c r="H22" i="26"/>
  <c r="I21" i="26"/>
  <c r="I22" i="26" s="1"/>
  <c r="AU56" i="25"/>
  <c r="Z27" i="39" s="1"/>
  <c r="Z29" i="39" s="1"/>
  <c r="H13" i="26"/>
  <c r="BP13" i="26"/>
  <c r="BS13" i="26" s="1"/>
  <c r="BW13" i="26" s="1"/>
  <c r="G48" i="25"/>
  <c r="H34" i="25"/>
  <c r="BS34" i="25"/>
  <c r="I34" i="25"/>
  <c r="BS44" i="25"/>
  <c r="BU44" i="25" s="1"/>
  <c r="BV44" i="25" s="1"/>
  <c r="I44" i="25"/>
  <c r="H44" i="25"/>
  <c r="R30" i="25"/>
  <c r="I68" i="24"/>
  <c r="H68" i="24"/>
  <c r="I13" i="24"/>
  <c r="H13" i="24"/>
  <c r="I46" i="24"/>
  <c r="H46" i="24"/>
  <c r="BO46" i="24"/>
  <c r="X12" i="24"/>
  <c r="X25" i="24" s="1"/>
  <c r="T25" i="24"/>
  <c r="I65" i="24"/>
  <c r="H65" i="24"/>
  <c r="W28" i="42"/>
  <c r="AA21" i="42"/>
  <c r="V28" i="42"/>
  <c r="Z21" i="42"/>
  <c r="Z28" i="42" s="1"/>
  <c r="E95" i="51"/>
  <c r="E99" i="51" s="1"/>
  <c r="AA43" i="42"/>
  <c r="H49" i="42"/>
  <c r="BP26" i="42"/>
  <c r="BT26" i="42" s="1"/>
  <c r="BX26" i="42" s="1"/>
  <c r="N26" i="42"/>
  <c r="BP15" i="42"/>
  <c r="BT11" i="42"/>
  <c r="BQ63" i="43"/>
  <c r="BS63" i="43" s="1"/>
  <c r="BW63" i="43" s="1"/>
  <c r="Q63" i="43"/>
  <c r="Z63" i="43"/>
  <c r="J63" i="43"/>
  <c r="BP26" i="26"/>
  <c r="J26" i="26"/>
  <c r="H27" i="26"/>
  <c r="I26" i="26"/>
  <c r="AI56" i="25"/>
  <c r="N27" i="39" s="1"/>
  <c r="N29" i="39" s="1"/>
  <c r="BR55" i="25"/>
  <c r="AC56" i="25"/>
  <c r="H27" i="39" s="1"/>
  <c r="H29" i="39" s="1"/>
  <c r="S55" i="25"/>
  <c r="I85" i="24"/>
  <c r="H85" i="24"/>
  <c r="I21" i="25"/>
  <c r="H21" i="25"/>
  <c r="BT21" i="25"/>
  <c r="BU21" i="25" s="1"/>
  <c r="BV21" i="25" s="1"/>
  <c r="I38" i="25"/>
  <c r="H38" i="25"/>
  <c r="BS38" i="25"/>
  <c r="BU38" i="25" s="1"/>
  <c r="BV38" i="25" s="1"/>
  <c r="E29" i="39"/>
  <c r="BJ79" i="24"/>
  <c r="BJ89" i="24" s="1"/>
  <c r="H71" i="24"/>
  <c r="I71" i="24"/>
  <c r="R88" i="24"/>
  <c r="F79" i="24"/>
  <c r="S29" i="39"/>
  <c r="BU13" i="25"/>
  <c r="X29" i="39"/>
  <c r="I19" i="24"/>
  <c r="H19" i="24"/>
  <c r="T48" i="24"/>
  <c r="X35" i="24"/>
  <c r="H12" i="24"/>
  <c r="I12" i="24"/>
  <c r="G25" i="24"/>
  <c r="BP25" i="24" s="1"/>
  <c r="BR25" i="24" s="1"/>
  <c r="BV25" i="24" s="1"/>
  <c r="F111" i="51"/>
  <c r="P35" i="41"/>
  <c r="H35" i="41"/>
  <c r="BP35" i="41"/>
  <c r="BP37" i="41" s="1"/>
  <c r="I35" i="41"/>
  <c r="AA46" i="41"/>
  <c r="F22" i="39" s="1"/>
  <c r="H15" i="24"/>
  <c r="I15" i="24"/>
  <c r="BC46" i="41"/>
  <c r="AH22" i="39" s="1"/>
  <c r="L51" i="42"/>
  <c r="L55" i="42" s="1"/>
  <c r="W17" i="42"/>
  <c r="V17" i="42"/>
  <c r="H19" i="42"/>
  <c r="U17" i="42"/>
  <c r="T17" i="42"/>
  <c r="I17" i="42"/>
  <c r="BR34" i="41"/>
  <c r="BV34" i="41" s="1"/>
  <c r="L13" i="41"/>
  <c r="Q13" i="41"/>
  <c r="K13" i="41"/>
  <c r="O13" i="41"/>
  <c r="I13" i="41"/>
  <c r="N13" i="41"/>
  <c r="H13" i="41"/>
  <c r="M13" i="41"/>
  <c r="BN13" i="41"/>
  <c r="BR13" i="41" s="1"/>
  <c r="BV13" i="41" s="1"/>
  <c r="P13" i="41"/>
  <c r="J13" i="41"/>
  <c r="K44" i="42"/>
  <c r="J44" i="42"/>
  <c r="AA51" i="42"/>
  <c r="W55" i="42"/>
  <c r="BM46" i="42"/>
  <c r="BM41" i="42"/>
  <c r="I30" i="42"/>
  <c r="Y45" i="41"/>
  <c r="N12" i="41"/>
  <c r="H12" i="41"/>
  <c r="M12" i="41"/>
  <c r="Q12" i="41"/>
  <c r="K12" i="41"/>
  <c r="BP12" i="41"/>
  <c r="BR12" i="41" s="1"/>
  <c r="BV12" i="41" s="1"/>
  <c r="P12" i="41"/>
  <c r="J12" i="41"/>
  <c r="O12" i="41"/>
  <c r="I12" i="41"/>
  <c r="L12" i="41"/>
  <c r="AA11" i="42"/>
  <c r="W15" i="42"/>
  <c r="M23" i="39"/>
  <c r="Y51" i="42"/>
  <c r="U55" i="42"/>
  <c r="M27" i="42"/>
  <c r="M28" i="42" s="1"/>
  <c r="BP27" i="42"/>
  <c r="BT27" i="42" s="1"/>
  <c r="BX27" i="42" s="1"/>
  <c r="X26" i="42"/>
  <c r="T15" i="42"/>
  <c r="G49" i="43"/>
  <c r="AO17" i="39"/>
  <c r="BL55" i="42"/>
  <c r="AA12" i="42"/>
  <c r="T64" i="43"/>
  <c r="BL64" i="44"/>
  <c r="H42" i="44"/>
  <c r="Q86" i="44"/>
  <c r="J86" i="44"/>
  <c r="I86" i="44"/>
  <c r="BQ86" i="44"/>
  <c r="BS86" i="44" s="1"/>
  <c r="BW86" i="44" s="1"/>
  <c r="U64" i="43"/>
  <c r="BQ88" i="44"/>
  <c r="BS88" i="44" s="1"/>
  <c r="BW88" i="44" s="1"/>
  <c r="J88" i="44"/>
  <c r="Q88" i="44"/>
  <c r="I88" i="44"/>
  <c r="T42" i="44"/>
  <c r="S42" i="44"/>
  <c r="G64" i="44"/>
  <c r="U42" i="44"/>
  <c r="T13" i="44"/>
  <c r="T16" i="44" s="1"/>
  <c r="X12" i="44"/>
  <c r="X13" i="44" s="1"/>
  <c r="X16" i="44" s="1"/>
  <c r="T89" i="44"/>
  <c r="Z70" i="44"/>
  <c r="Z82" i="44" s="1"/>
  <c r="V82" i="44"/>
  <c r="E58" i="51"/>
  <c r="G33" i="44"/>
  <c r="T19" i="44"/>
  <c r="H19" i="44"/>
  <c r="S18" i="39"/>
  <c r="BT28" i="44"/>
  <c r="M28" i="44"/>
  <c r="T78" i="45"/>
  <c r="X56" i="45"/>
  <c r="F43" i="51"/>
  <c r="BN27" i="45"/>
  <c r="P27" i="45"/>
  <c r="I27" i="45"/>
  <c r="H27" i="45"/>
  <c r="U18" i="39"/>
  <c r="G19" i="45"/>
  <c r="BK22" i="45"/>
  <c r="Z23" i="44"/>
  <c r="M23" i="44"/>
  <c r="E18" i="39"/>
  <c r="BJ43" i="46"/>
  <c r="BN39" i="46"/>
  <c r="F52" i="46"/>
  <c r="BN52" i="46"/>
  <c r="BQ52" i="46" s="1"/>
  <c r="BU52" i="46" s="1"/>
  <c r="W35" i="46"/>
  <c r="W36" i="46" s="1"/>
  <c r="S36" i="46"/>
  <c r="E36" i="51"/>
  <c r="S64" i="46"/>
  <c r="S65" i="46" s="1"/>
  <c r="T64" i="46"/>
  <c r="T65" i="46" s="1"/>
  <c r="R64" i="46"/>
  <c r="R65" i="46" s="1"/>
  <c r="Q64" i="46"/>
  <c r="Q65" i="46" s="1"/>
  <c r="R43" i="46"/>
  <c r="V39" i="46"/>
  <c r="V43" i="46" s="1"/>
  <c r="H28" i="46"/>
  <c r="G28" i="46"/>
  <c r="AD66" i="46"/>
  <c r="J11" i="39" s="1"/>
  <c r="F43" i="46"/>
  <c r="F33" i="51" s="1"/>
  <c r="BH56" i="47"/>
  <c r="AL10" i="39" s="1"/>
  <c r="BP22" i="45"/>
  <c r="E8" i="52" s="1"/>
  <c r="BR20" i="45"/>
  <c r="BV20" i="45" s="1"/>
  <c r="AZ66" i="46"/>
  <c r="AF11" i="39" s="1"/>
  <c r="I43" i="47"/>
  <c r="J43" i="47"/>
  <c r="BL37" i="47"/>
  <c r="BQ33" i="47"/>
  <c r="H33" i="47"/>
  <c r="G49" i="46"/>
  <c r="H49" i="46"/>
  <c r="W13" i="45"/>
  <c r="Q62" i="46"/>
  <c r="U59" i="46"/>
  <c r="U62" i="46" s="1"/>
  <c r="T43" i="46"/>
  <c r="H54" i="47"/>
  <c r="BP54" i="47"/>
  <c r="BS54" i="47" s="1"/>
  <c r="BW54" i="47" s="1"/>
  <c r="AR56" i="47"/>
  <c r="V10" i="39" s="1"/>
  <c r="E15" i="51"/>
  <c r="V27" i="47"/>
  <c r="Z27" i="47" s="1"/>
  <c r="H27" i="47"/>
  <c r="U27" i="47"/>
  <c r="Y27" i="47" s="1"/>
  <c r="T27" i="47"/>
  <c r="X27" i="47" s="1"/>
  <c r="S27" i="47"/>
  <c r="W27" i="47" s="1"/>
  <c r="BG56" i="47"/>
  <c r="AK10" i="39" s="1"/>
  <c r="X41" i="47"/>
  <c r="J41" i="47"/>
  <c r="I41" i="47"/>
  <c r="Z41" i="47"/>
  <c r="Y41" i="47"/>
  <c r="W41" i="47"/>
  <c r="BP25" i="47"/>
  <c r="BS25" i="47" s="1"/>
  <c r="BW25" i="47" s="1"/>
  <c r="H25" i="47"/>
  <c r="J47" i="47"/>
  <c r="I47" i="47"/>
  <c r="AT56" i="47"/>
  <c r="X10" i="39" s="1"/>
  <c r="BP36" i="47"/>
  <c r="J36" i="47"/>
  <c r="I36" i="47"/>
  <c r="BP44" i="47"/>
  <c r="BS44" i="47" s="1"/>
  <c r="BW44" i="47" s="1"/>
  <c r="J44" i="47"/>
  <c r="I44" i="47"/>
  <c r="R29" i="39" l="1"/>
  <c r="AA41" i="42"/>
  <c r="Z41" i="42"/>
  <c r="H23" i="39"/>
  <c r="X22" i="47"/>
  <c r="Z22" i="47"/>
  <c r="Y22" i="47"/>
  <c r="W22" i="47"/>
  <c r="Z53" i="47"/>
  <c r="X53" i="47"/>
  <c r="W53" i="47"/>
  <c r="Y53" i="47"/>
  <c r="X14" i="43"/>
  <c r="F29" i="39"/>
  <c r="H26" i="45"/>
  <c r="H36" i="45" s="1"/>
  <c r="X26" i="45"/>
  <c r="W26" i="45"/>
  <c r="V26" i="45"/>
  <c r="Y26" i="45"/>
  <c r="Z54" i="47"/>
  <c r="Y54" i="47"/>
  <c r="X54" i="47"/>
  <c r="W54" i="47"/>
  <c r="F89" i="24"/>
  <c r="AN12" i="39"/>
  <c r="H30" i="46"/>
  <c r="M41" i="42"/>
  <c r="M56" i="42" s="1"/>
  <c r="H21" i="20" s="1"/>
  <c r="BU68" i="43"/>
  <c r="BU71" i="43" s="1"/>
  <c r="BU72" i="43" s="1"/>
  <c r="V33" i="44"/>
  <c r="V90" i="44" s="1"/>
  <c r="V92" i="44" s="1"/>
  <c r="S56" i="25"/>
  <c r="AN29" i="39"/>
  <c r="K15" i="42"/>
  <c r="G12" i="39"/>
  <c r="G31" i="39" s="1"/>
  <c r="F74" i="51"/>
  <c r="L23" i="39"/>
  <c r="BS58" i="43"/>
  <c r="BW58" i="43" s="1"/>
  <c r="I22" i="43"/>
  <c r="BS19" i="43"/>
  <c r="BW19" i="43" s="1"/>
  <c r="E12" i="52"/>
  <c r="H12" i="52" s="1"/>
  <c r="F72" i="46"/>
  <c r="H55" i="46"/>
  <c r="H56" i="46" s="1"/>
  <c r="F56" i="46"/>
  <c r="G55" i="46"/>
  <c r="G56" i="46" s="1"/>
  <c r="X55" i="46"/>
  <c r="X56" i="46" s="1"/>
  <c r="F35" i="51"/>
  <c r="U55" i="46"/>
  <c r="U56" i="46" s="1"/>
  <c r="BP55" i="46"/>
  <c r="BP56" i="46" s="1"/>
  <c r="BP66" i="46" s="1"/>
  <c r="F5" i="52" s="1"/>
  <c r="F6" i="52" s="1"/>
  <c r="X12" i="39"/>
  <c r="AL12" i="39"/>
  <c r="H43" i="46"/>
  <c r="BO16" i="46"/>
  <c r="BO17" i="46" s="1"/>
  <c r="F17" i="46"/>
  <c r="H16" i="46"/>
  <c r="H17" i="46" s="1"/>
  <c r="G16" i="46"/>
  <c r="G17" i="46" s="1"/>
  <c r="W12" i="39"/>
  <c r="W31" i="39" s="1"/>
  <c r="I49" i="47"/>
  <c r="G50" i="47"/>
  <c r="E21" i="51" s="1"/>
  <c r="U40" i="47"/>
  <c r="Y40" i="47" s="1"/>
  <c r="S40" i="47"/>
  <c r="W40" i="47" s="1"/>
  <c r="BL50" i="47"/>
  <c r="BP42" i="47"/>
  <c r="BS42" i="47" s="1"/>
  <c r="L29" i="39"/>
  <c r="AF29" i="39"/>
  <c r="BP40" i="47"/>
  <c r="BS40" i="47" s="1"/>
  <c r="BW40" i="47" s="1"/>
  <c r="J40" i="47"/>
  <c r="G6" i="52"/>
  <c r="I4" i="53" s="1"/>
  <c r="AO29" i="39"/>
  <c r="AO11" i="39"/>
  <c r="H12" i="39"/>
  <c r="BL35" i="26"/>
  <c r="N12" i="39"/>
  <c r="BS20" i="43"/>
  <c r="E33" i="52"/>
  <c r="BR101" i="45"/>
  <c r="BV101" i="45" s="1"/>
  <c r="E16" i="52"/>
  <c r="H16" i="52" s="1"/>
  <c r="I22" i="47"/>
  <c r="F11" i="51"/>
  <c r="BR26" i="41"/>
  <c r="BV26" i="41" s="1"/>
  <c r="E66" i="52"/>
  <c r="H66" i="52" s="1"/>
  <c r="Y89" i="24"/>
  <c r="BJ25" i="46"/>
  <c r="K41" i="42"/>
  <c r="AJ12" i="39"/>
  <c r="D30" i="52"/>
  <c r="H30" i="52" s="1"/>
  <c r="BS91" i="44"/>
  <c r="BW91" i="44" s="1"/>
  <c r="E62" i="52"/>
  <c r="H62" i="52" s="1"/>
  <c r="L56" i="42"/>
  <c r="G21" i="20" s="1"/>
  <c r="H25" i="24"/>
  <c r="Y41" i="42"/>
  <c r="BS40" i="43"/>
  <c r="BW40" i="43" s="1"/>
  <c r="P26" i="45"/>
  <c r="P36" i="45" s="1"/>
  <c r="P107" i="45" s="1"/>
  <c r="P108" i="45" s="1"/>
  <c r="I26" i="45"/>
  <c r="I36" i="45" s="1"/>
  <c r="BN26" i="45"/>
  <c r="BR26" i="45" s="1"/>
  <c r="BV26" i="45" s="1"/>
  <c r="F42" i="51"/>
  <c r="BK36" i="45"/>
  <c r="BK107" i="45" s="1"/>
  <c r="BK108" i="45" s="1"/>
  <c r="AB18" i="39"/>
  <c r="P18" i="39"/>
  <c r="Q71" i="43"/>
  <c r="BS67" i="43"/>
  <c r="W14" i="43"/>
  <c r="W49" i="43"/>
  <c r="BR71" i="43"/>
  <c r="BR72" i="43" s="1"/>
  <c r="G72" i="43"/>
  <c r="J14" i="43"/>
  <c r="V18" i="39"/>
  <c r="T18" i="39"/>
  <c r="I53" i="42"/>
  <c r="Z53" i="42" s="1"/>
  <c r="Z55" i="42" s="1"/>
  <c r="BM55" i="42"/>
  <c r="H106" i="45"/>
  <c r="AJ18" i="39"/>
  <c r="V12" i="45"/>
  <c r="V17" i="45" s="1"/>
  <c r="R17" i="45"/>
  <c r="BU16" i="25"/>
  <c r="Y20" i="44"/>
  <c r="X20" i="44"/>
  <c r="W20" i="44"/>
  <c r="Z20" i="44"/>
  <c r="I27" i="26"/>
  <c r="X41" i="42"/>
  <c r="I88" i="24"/>
  <c r="H16" i="25"/>
  <c r="N18" i="20"/>
  <c r="BQ82" i="44"/>
  <c r="E28" i="52" s="1"/>
  <c r="H28" i="52" s="1"/>
  <c r="I106" i="45"/>
  <c r="W12" i="45"/>
  <c r="W17" i="45" s="1"/>
  <c r="S17" i="45"/>
  <c r="X12" i="45"/>
  <c r="X17" i="45" s="1"/>
  <c r="T17" i="45"/>
  <c r="H20" i="25"/>
  <c r="V20" i="25"/>
  <c r="BU20" i="25"/>
  <c r="BV20" i="25" s="1"/>
  <c r="I20" i="25"/>
  <c r="G17" i="45"/>
  <c r="F40" i="51" s="1"/>
  <c r="BO12" i="45"/>
  <c r="H12" i="45"/>
  <c r="H17" i="45" s="1"/>
  <c r="I12" i="45"/>
  <c r="I17" i="45" s="1"/>
  <c r="BK14" i="47"/>
  <c r="AA16" i="47"/>
  <c r="AA56" i="47" s="1"/>
  <c r="E10" i="39" s="1"/>
  <c r="E12" i="39" s="1"/>
  <c r="E31" i="39" s="1"/>
  <c r="AB14" i="47"/>
  <c r="BP30" i="25"/>
  <c r="BP56" i="25" s="1"/>
  <c r="E71" i="52" s="1"/>
  <c r="Y89" i="44"/>
  <c r="BV67" i="43"/>
  <c r="BV68" i="43" s="1"/>
  <c r="BW68" i="43" s="1"/>
  <c r="Y12" i="45"/>
  <c r="Y17" i="45" s="1"/>
  <c r="U17" i="45"/>
  <c r="BK15" i="47"/>
  <c r="G15" i="47" s="1"/>
  <c r="AB15" i="47"/>
  <c r="BL15" i="47" s="1"/>
  <c r="BP15" i="47" s="1"/>
  <c r="BS15" i="47" s="1"/>
  <c r="BW15" i="47" s="1"/>
  <c r="BT16" i="25"/>
  <c r="I82" i="44"/>
  <c r="BR30" i="25"/>
  <c r="AF18" i="39"/>
  <c r="BL33" i="44"/>
  <c r="BL90" i="44" s="1"/>
  <c r="BL92" i="44" s="1"/>
  <c r="J18" i="39"/>
  <c r="AH23" i="39"/>
  <c r="R23" i="39"/>
  <c r="M20" i="41"/>
  <c r="M46" i="41" s="1"/>
  <c r="J22" i="20" s="1"/>
  <c r="J23" i="20" s="1"/>
  <c r="J41" i="42"/>
  <c r="F23" i="39"/>
  <c r="AO21" i="39"/>
  <c r="AO23" i="39" s="1"/>
  <c r="BT32" i="42"/>
  <c r="BX32" i="42" s="1"/>
  <c r="BR41" i="42"/>
  <c r="X18" i="39"/>
  <c r="V12" i="39"/>
  <c r="R12" i="39"/>
  <c r="J12" i="39"/>
  <c r="T12" i="39"/>
  <c r="H31" i="44"/>
  <c r="V20" i="41"/>
  <c r="V46" i="41" s="1"/>
  <c r="H18" i="39"/>
  <c r="AP28" i="39"/>
  <c r="U56" i="25"/>
  <c r="Q82" i="44"/>
  <c r="AA28" i="42"/>
  <c r="J82" i="44"/>
  <c r="V78" i="45"/>
  <c r="G62" i="46"/>
  <c r="V30" i="47"/>
  <c r="AP27" i="39"/>
  <c r="R53" i="46"/>
  <c r="AB12" i="39"/>
  <c r="X48" i="24"/>
  <c r="J27" i="26"/>
  <c r="H48" i="25"/>
  <c r="H88" i="24"/>
  <c r="I89" i="44"/>
  <c r="N28" i="42"/>
  <c r="BW55" i="42"/>
  <c r="BW56" i="42" s="1"/>
  <c r="BX52" i="42"/>
  <c r="Z18" i="39"/>
  <c r="AN18" i="39"/>
  <c r="L18" i="39"/>
  <c r="Q22" i="43"/>
  <c r="Y64" i="43"/>
  <c r="AH18" i="39"/>
  <c r="R18" i="39"/>
  <c r="Q42" i="43"/>
  <c r="N18" i="39"/>
  <c r="L78" i="45"/>
  <c r="L107" i="45" s="1"/>
  <c r="L108" i="45" s="1"/>
  <c r="I15" i="20" s="1"/>
  <c r="AD18" i="39"/>
  <c r="AD31" i="39" s="1"/>
  <c r="C15" i="48" s="1"/>
  <c r="W78" i="45"/>
  <c r="F107" i="45"/>
  <c r="F108" i="45" s="1"/>
  <c r="E54" i="51"/>
  <c r="X78" i="45"/>
  <c r="Y78" i="45"/>
  <c r="Y71" i="43"/>
  <c r="I31" i="39"/>
  <c r="AP17" i="39"/>
  <c r="J71" i="43"/>
  <c r="H44" i="52"/>
  <c r="BS60" i="43"/>
  <c r="BW60" i="43" s="1"/>
  <c r="BK46" i="41"/>
  <c r="Q31" i="39"/>
  <c r="K31" i="39"/>
  <c r="BL56" i="42"/>
  <c r="Y20" i="41"/>
  <c r="X20" i="41"/>
  <c r="G20" i="41"/>
  <c r="H18" i="41"/>
  <c r="H20" i="41" s="1"/>
  <c r="I18" i="41"/>
  <c r="P18" i="41"/>
  <c r="P20" i="41" s="1"/>
  <c r="V29" i="39"/>
  <c r="O31" i="39"/>
  <c r="M31" i="39"/>
  <c r="J22" i="47"/>
  <c r="AE31" i="39"/>
  <c r="Y42" i="43"/>
  <c r="E41" i="52"/>
  <c r="H41" i="52" s="1"/>
  <c r="X42" i="43"/>
  <c r="BL72" i="43"/>
  <c r="AO18" i="39"/>
  <c r="AA31" i="39"/>
  <c r="Y31" i="39"/>
  <c r="Z12" i="39"/>
  <c r="C6" i="52"/>
  <c r="E4" i="53" s="1"/>
  <c r="AP16" i="39"/>
  <c r="AK12" i="39"/>
  <c r="AK31" i="39" s="1"/>
  <c r="BS33" i="47"/>
  <c r="BQ37" i="47"/>
  <c r="BQ56" i="47" s="1"/>
  <c r="E4" i="52" s="1"/>
  <c r="BX11" i="42"/>
  <c r="BX15" i="42" s="1"/>
  <c r="BT15" i="42"/>
  <c r="W13" i="26"/>
  <c r="I13" i="26"/>
  <c r="Z13" i="26"/>
  <c r="J13" i="26"/>
  <c r="Y13" i="26"/>
  <c r="X13" i="26"/>
  <c r="BT51" i="42"/>
  <c r="BR55" i="42"/>
  <c r="F13" i="51"/>
  <c r="Z24" i="47"/>
  <c r="Y24" i="47"/>
  <c r="X24" i="47"/>
  <c r="W24" i="47"/>
  <c r="J24" i="47"/>
  <c r="I24" i="47"/>
  <c r="X35" i="47"/>
  <c r="X37" i="47" s="1"/>
  <c r="T37" i="47"/>
  <c r="D21" i="52"/>
  <c r="H21" i="52" s="1"/>
  <c r="BS15" i="44"/>
  <c r="BP16" i="44"/>
  <c r="Q89" i="44"/>
  <c r="S53" i="46"/>
  <c r="G51" i="46"/>
  <c r="H51" i="46"/>
  <c r="F53" i="46"/>
  <c r="F34" i="51" s="1"/>
  <c r="S49" i="43"/>
  <c r="S72" i="43" s="1"/>
  <c r="X28" i="42"/>
  <c r="L48" i="24"/>
  <c r="L89" i="24" s="1"/>
  <c r="I26" i="20" s="1"/>
  <c r="I29" i="20" s="1"/>
  <c r="M42" i="24"/>
  <c r="R56" i="25"/>
  <c r="C65" i="52"/>
  <c r="H65" i="52" s="1"/>
  <c r="BR33" i="41"/>
  <c r="BV33" i="41" s="1"/>
  <c r="BN37" i="41"/>
  <c r="X79" i="24"/>
  <c r="X89" i="24" s="1"/>
  <c r="R79" i="24"/>
  <c r="R89" i="24" s="1"/>
  <c r="H55" i="25"/>
  <c r="X39" i="47"/>
  <c r="T50" i="47"/>
  <c r="BN54" i="45"/>
  <c r="BR43" i="45"/>
  <c r="BS82" i="44"/>
  <c r="BW66" i="44"/>
  <c r="BW82" i="44" s="1"/>
  <c r="J64" i="43"/>
  <c r="AG31" i="39"/>
  <c r="T56" i="25"/>
  <c r="J22" i="43"/>
  <c r="H49" i="43"/>
  <c r="H72" i="43" s="1"/>
  <c r="J44" i="43"/>
  <c r="J49" i="43" s="1"/>
  <c r="I44" i="43"/>
  <c r="I49" i="43" s="1"/>
  <c r="BQ44" i="43"/>
  <c r="H24" i="46"/>
  <c r="G24" i="46"/>
  <c r="F29" i="51"/>
  <c r="U14" i="46"/>
  <c r="G14" i="46"/>
  <c r="V14" i="46"/>
  <c r="H14" i="46"/>
  <c r="X14" i="46"/>
  <c r="W14" i="46"/>
  <c r="U37" i="47"/>
  <c r="W80" i="45"/>
  <c r="W106" i="45" s="1"/>
  <c r="BP80" i="45"/>
  <c r="BP106" i="45" s="1"/>
  <c r="M80" i="45"/>
  <c r="M106" i="45" s="1"/>
  <c r="X80" i="45"/>
  <c r="X106" i="45" s="1"/>
  <c r="V80" i="45"/>
  <c r="V106" i="45" s="1"/>
  <c r="Y43" i="45"/>
  <c r="Y54" i="45" s="1"/>
  <c r="U54" i="45"/>
  <c r="U107" i="45" s="1"/>
  <c r="I40" i="44"/>
  <c r="H51" i="52"/>
  <c r="S33" i="24"/>
  <c r="W28" i="24"/>
  <c r="W33" i="24" s="1"/>
  <c r="BP18" i="26"/>
  <c r="U14" i="26"/>
  <c r="U35" i="26" s="1"/>
  <c r="Y12" i="26"/>
  <c r="F61" i="51"/>
  <c r="J32" i="44"/>
  <c r="I32" i="44"/>
  <c r="Q32" i="44"/>
  <c r="E24" i="52"/>
  <c r="H24" i="52" s="1"/>
  <c r="BS31" i="44"/>
  <c r="BW31" i="44" s="1"/>
  <c r="T79" i="24"/>
  <c r="BT55" i="25"/>
  <c r="BU50" i="25"/>
  <c r="Y39" i="47"/>
  <c r="Q64" i="43"/>
  <c r="AF23" i="39"/>
  <c r="AP21" i="39"/>
  <c r="H22" i="44"/>
  <c r="BU22" i="44"/>
  <c r="AP22" i="39"/>
  <c r="H21" i="46"/>
  <c r="G21" i="46"/>
  <c r="F25" i="46"/>
  <c r="F31" i="51" s="1"/>
  <c r="X19" i="45"/>
  <c r="T22" i="45"/>
  <c r="BQ53" i="46"/>
  <c r="BU45" i="46"/>
  <c r="BU53" i="46" s="1"/>
  <c r="E11" i="52"/>
  <c r="H11" i="52" s="1"/>
  <c r="BR29" i="45"/>
  <c r="BV29" i="45" s="1"/>
  <c r="BP36" i="45"/>
  <c r="H62" i="46"/>
  <c r="S27" i="46"/>
  <c r="R27" i="46"/>
  <c r="E33" i="46"/>
  <c r="E32" i="51" s="1"/>
  <c r="T27" i="46"/>
  <c r="F27" i="46"/>
  <c r="Q27" i="46"/>
  <c r="BQ40" i="44"/>
  <c r="E26" i="52" s="1"/>
  <c r="H26" i="52" s="1"/>
  <c r="BS35" i="44"/>
  <c r="S37" i="41"/>
  <c r="S46" i="41" s="1"/>
  <c r="W22" i="41"/>
  <c r="W37" i="41" s="1"/>
  <c r="W46" i="41" s="1"/>
  <c r="BS18" i="26"/>
  <c r="BW16" i="26"/>
  <c r="BW18" i="26" s="1"/>
  <c r="T14" i="26"/>
  <c r="T35" i="26" s="1"/>
  <c r="X12" i="26"/>
  <c r="E25" i="52"/>
  <c r="H25" i="52" s="1"/>
  <c r="BS32" i="44"/>
  <c r="BW32" i="44" s="1"/>
  <c r="I46" i="42"/>
  <c r="F97" i="51" s="1"/>
  <c r="BR46" i="42"/>
  <c r="N20" i="41"/>
  <c r="N46" i="41" s="1"/>
  <c r="K22" i="20" s="1"/>
  <c r="V19" i="42"/>
  <c r="Z17" i="42"/>
  <c r="Z19" i="42" s="1"/>
  <c r="S31" i="39"/>
  <c r="W49" i="42"/>
  <c r="BN20" i="41"/>
  <c r="H48" i="24"/>
  <c r="BS52" i="47"/>
  <c r="BP55" i="47"/>
  <c r="Z35" i="47"/>
  <c r="Z37" i="47" s="1"/>
  <c r="V37" i="47"/>
  <c r="Y21" i="45"/>
  <c r="I21" i="45"/>
  <c r="X21" i="45"/>
  <c r="H21" i="45"/>
  <c r="W21" i="45"/>
  <c r="V21" i="45"/>
  <c r="J89" i="44"/>
  <c r="E58" i="52"/>
  <c r="H58" i="52" s="1"/>
  <c r="BT53" i="42"/>
  <c r="BX53" i="42" s="1"/>
  <c r="I67" i="24"/>
  <c r="I79" i="24" s="1"/>
  <c r="H67" i="24"/>
  <c r="H79" i="24" s="1"/>
  <c r="BT28" i="42"/>
  <c r="BX21" i="42"/>
  <c r="BX28" i="42" s="1"/>
  <c r="V50" i="47"/>
  <c r="Z39" i="47"/>
  <c r="Z50" i="47" s="1"/>
  <c r="Q12" i="46"/>
  <c r="U12" i="46" s="1"/>
  <c r="E15" i="46"/>
  <c r="R12" i="46"/>
  <c r="V12" i="46" s="1"/>
  <c r="T12" i="46"/>
  <c r="X12" i="46" s="1"/>
  <c r="S12" i="46"/>
  <c r="W12" i="46" s="1"/>
  <c r="U25" i="46"/>
  <c r="E42" i="52"/>
  <c r="H42" i="52" s="1"/>
  <c r="BQ64" i="43"/>
  <c r="BS51" i="43"/>
  <c r="E38" i="52"/>
  <c r="H38" i="52" s="1"/>
  <c r="BS33" i="43"/>
  <c r="BW33" i="43" s="1"/>
  <c r="X45" i="43"/>
  <c r="X49" i="43" s="1"/>
  <c r="T49" i="43"/>
  <c r="T72" i="43" s="1"/>
  <c r="BV18" i="41"/>
  <c r="Y15" i="42"/>
  <c r="W32" i="44"/>
  <c r="S33" i="44"/>
  <c r="V18" i="25"/>
  <c r="H18" i="25"/>
  <c r="H30" i="25" s="1"/>
  <c r="G30" i="25"/>
  <c r="G56" i="25" s="1"/>
  <c r="F115" i="51" s="1"/>
  <c r="BT18" i="25"/>
  <c r="W18" i="25"/>
  <c r="W30" i="25" s="1"/>
  <c r="W56" i="25" s="1"/>
  <c r="Y18" i="25"/>
  <c r="Y30" i="25" s="1"/>
  <c r="Y56" i="25" s="1"/>
  <c r="I18" i="25"/>
  <c r="X18" i="25"/>
  <c r="X30" i="25" s="1"/>
  <c r="X56" i="25" s="1"/>
  <c r="T30" i="47"/>
  <c r="W21" i="46"/>
  <c r="W25" i="46" s="1"/>
  <c r="S25" i="46"/>
  <c r="BJ15" i="46"/>
  <c r="BN12" i="46"/>
  <c r="F12" i="46"/>
  <c r="Y19" i="45"/>
  <c r="U22" i="45"/>
  <c r="BN53" i="46"/>
  <c r="BP21" i="47"/>
  <c r="BS21" i="47" s="1"/>
  <c r="BW21" i="47" s="1"/>
  <c r="H21" i="47"/>
  <c r="E9" i="51"/>
  <c r="H18" i="47"/>
  <c r="G30" i="47"/>
  <c r="R54" i="45"/>
  <c r="R107" i="45" s="1"/>
  <c r="V43" i="45"/>
  <c r="V54" i="45" s="1"/>
  <c r="J40" i="44"/>
  <c r="Z15" i="42"/>
  <c r="U79" i="24"/>
  <c r="U89" i="24" s="1"/>
  <c r="BU53" i="24"/>
  <c r="BV53" i="24" s="1"/>
  <c r="H14" i="26"/>
  <c r="H35" i="26" s="1"/>
  <c r="F116" i="51" s="1"/>
  <c r="J12" i="26"/>
  <c r="I12" i="26"/>
  <c r="I14" i="26" s="1"/>
  <c r="AA57" i="25"/>
  <c r="Y42" i="44"/>
  <c r="Y64" i="44" s="1"/>
  <c r="U64" i="44"/>
  <c r="Q20" i="41"/>
  <c r="Q46" i="41" s="1"/>
  <c r="N22" i="20" s="1"/>
  <c r="N23" i="20" s="1"/>
  <c r="F58" i="51"/>
  <c r="J19" i="44"/>
  <c r="I19" i="44"/>
  <c r="E63" i="51"/>
  <c r="E67" i="51" s="1"/>
  <c r="G90" i="44"/>
  <c r="G92" i="44" s="1"/>
  <c r="Q42" i="44"/>
  <c r="Q64" i="44" s="1"/>
  <c r="BQ42" i="44"/>
  <c r="H64" i="44"/>
  <c r="F63" i="51" s="1"/>
  <c r="J42" i="44"/>
  <c r="J64" i="44" s="1"/>
  <c r="I42" i="44"/>
  <c r="I64" i="44" s="1"/>
  <c r="BS22" i="45"/>
  <c r="BS108" i="45" s="1"/>
  <c r="BU21" i="45"/>
  <c r="BQ20" i="46"/>
  <c r="BN25" i="46"/>
  <c r="F23" i="51"/>
  <c r="J54" i="47"/>
  <c r="I54" i="47"/>
  <c r="S64" i="44"/>
  <c r="W42" i="44"/>
  <c r="W64" i="44" s="1"/>
  <c r="F14" i="51"/>
  <c r="J25" i="47"/>
  <c r="I25" i="47"/>
  <c r="Z25" i="47"/>
  <c r="U52" i="46"/>
  <c r="U53" i="46" s="1"/>
  <c r="X52" i="46"/>
  <c r="W52" i="46"/>
  <c r="W53" i="46" s="1"/>
  <c r="H52" i="46"/>
  <c r="V52" i="46"/>
  <c r="V53" i="46" s="1"/>
  <c r="G52" i="46"/>
  <c r="T64" i="44"/>
  <c r="X42" i="44"/>
  <c r="X64" i="44" s="1"/>
  <c r="BP48" i="24"/>
  <c r="BR35" i="24"/>
  <c r="H55" i="47"/>
  <c r="J52" i="47"/>
  <c r="F65" i="51"/>
  <c r="G55" i="47"/>
  <c r="V52" i="47"/>
  <c r="T52" i="47"/>
  <c r="S52" i="47"/>
  <c r="U52" i="47"/>
  <c r="BP28" i="42"/>
  <c r="H56" i="42"/>
  <c r="BV14" i="25"/>
  <c r="I55" i="25"/>
  <c r="U30" i="47"/>
  <c r="W39" i="47"/>
  <c r="BI66" i="46"/>
  <c r="BR13" i="45"/>
  <c r="Q25" i="46"/>
  <c r="AL18" i="39"/>
  <c r="F36" i="51"/>
  <c r="F65" i="46"/>
  <c r="W64" i="46"/>
  <c r="W65" i="46" s="1"/>
  <c r="H64" i="46"/>
  <c r="H65" i="46" s="1"/>
  <c r="V64" i="46"/>
  <c r="V65" i="46" s="1"/>
  <c r="G64" i="46"/>
  <c r="G65" i="46" s="1"/>
  <c r="U64" i="46"/>
  <c r="U65" i="46" s="1"/>
  <c r="X64" i="46"/>
  <c r="X65" i="46" s="1"/>
  <c r="BQ33" i="44"/>
  <c r="W64" i="43"/>
  <c r="BP14" i="43"/>
  <c r="D31" i="52" s="1"/>
  <c r="H31" i="52" s="1"/>
  <c r="BS11" i="43"/>
  <c r="I42" i="43"/>
  <c r="Y45" i="43"/>
  <c r="Y49" i="43" s="1"/>
  <c r="U49" i="43"/>
  <c r="U72" i="43" s="1"/>
  <c r="BP20" i="41"/>
  <c r="BP49" i="42"/>
  <c r="BT43" i="42"/>
  <c r="AI31" i="39"/>
  <c r="BV22" i="41"/>
  <c r="F22" i="51"/>
  <c r="I53" i="47"/>
  <c r="J53" i="47"/>
  <c r="S22" i="45"/>
  <c r="W19" i="45"/>
  <c r="BQ64" i="46"/>
  <c r="E13" i="52"/>
  <c r="H13" i="52" s="1"/>
  <c r="BR93" i="45"/>
  <c r="BV93" i="45" s="1"/>
  <c r="BN78" i="45"/>
  <c r="BR56" i="45"/>
  <c r="T13" i="47"/>
  <c r="U13" i="47"/>
  <c r="S13" i="47"/>
  <c r="H13" i="47"/>
  <c r="F6" i="51" s="1"/>
  <c r="V13" i="47"/>
  <c r="BU35" i="46"/>
  <c r="BU36" i="46" s="1"/>
  <c r="BQ36" i="46"/>
  <c r="AF12" i="39"/>
  <c r="X25" i="45"/>
  <c r="G36" i="45"/>
  <c r="Y25" i="45"/>
  <c r="W25" i="45"/>
  <c r="V25" i="45"/>
  <c r="BN25" i="45"/>
  <c r="M25" i="45"/>
  <c r="M36" i="45" s="1"/>
  <c r="S54" i="45"/>
  <c r="S107" i="45" s="1"/>
  <c r="W43" i="45"/>
  <c r="W54" i="45" s="1"/>
  <c r="T37" i="41"/>
  <c r="T46" i="41" s="1"/>
  <c r="X22" i="41"/>
  <c r="X37" i="41" s="1"/>
  <c r="AM31" i="39"/>
  <c r="BK89" i="24"/>
  <c r="W12" i="26"/>
  <c r="S14" i="26"/>
  <c r="S35" i="26" s="1"/>
  <c r="AP15" i="39"/>
  <c r="AP11" i="39"/>
  <c r="X50" i="47"/>
  <c r="I41" i="42"/>
  <c r="N30" i="42"/>
  <c r="N41" i="42" s="1"/>
  <c r="N56" i="42" s="1"/>
  <c r="I21" i="20" s="1"/>
  <c r="BP30" i="42"/>
  <c r="U19" i="42"/>
  <c r="Y17" i="42"/>
  <c r="Y19" i="42" s="1"/>
  <c r="L20" i="41"/>
  <c r="L46" i="41" s="1"/>
  <c r="I22" i="20" s="1"/>
  <c r="V49" i="42"/>
  <c r="Z43" i="42"/>
  <c r="I48" i="24"/>
  <c r="BS26" i="43"/>
  <c r="BW26" i="43" s="1"/>
  <c r="BS36" i="47"/>
  <c r="BW36" i="47" s="1"/>
  <c r="BP37" i="47"/>
  <c r="C10" i="52"/>
  <c r="H10" i="52" s="1"/>
  <c r="BR27" i="45"/>
  <c r="BV27" i="45" s="1"/>
  <c r="T33" i="44"/>
  <c r="X19" i="44"/>
  <c r="F15" i="51"/>
  <c r="J27" i="47"/>
  <c r="I27" i="47"/>
  <c r="J20" i="41"/>
  <c r="J46" i="41" s="1"/>
  <c r="G22" i="20" s="1"/>
  <c r="G23" i="20" s="1"/>
  <c r="AA17" i="42"/>
  <c r="AA19" i="42" s="1"/>
  <c r="W19" i="42"/>
  <c r="F18" i="51"/>
  <c r="I33" i="47"/>
  <c r="H37" i="47"/>
  <c r="J33" i="47"/>
  <c r="BT33" i="44"/>
  <c r="BT90" i="44" s="1"/>
  <c r="BT92" i="44" s="1"/>
  <c r="BV28" i="44"/>
  <c r="BW28" i="44" s="1"/>
  <c r="AA15" i="42"/>
  <c r="O20" i="41"/>
  <c r="O46" i="41" s="1"/>
  <c r="L22" i="20" s="1"/>
  <c r="L23" i="20" s="1"/>
  <c r="I19" i="42"/>
  <c r="P17" i="42"/>
  <c r="P19" i="42" s="1"/>
  <c r="P56" i="42" s="1"/>
  <c r="K21" i="20" s="1"/>
  <c r="BP17" i="42"/>
  <c r="BP19" i="42" s="1"/>
  <c r="I25" i="24"/>
  <c r="T49" i="42"/>
  <c r="X43" i="42"/>
  <c r="BR46" i="24"/>
  <c r="BV46" i="24" s="1"/>
  <c r="BO48" i="24"/>
  <c r="BO89" i="24" s="1"/>
  <c r="D70" i="52" s="1"/>
  <c r="I48" i="25"/>
  <c r="F20" i="51"/>
  <c r="J35" i="47"/>
  <c r="I35" i="47"/>
  <c r="F59" i="51"/>
  <c r="I20" i="44"/>
  <c r="J20" i="44"/>
  <c r="D22" i="52"/>
  <c r="H22" i="52" s="1"/>
  <c r="BP33" i="44"/>
  <c r="BP90" i="44" s="1"/>
  <c r="BP92" i="44" s="1"/>
  <c r="BS19" i="44"/>
  <c r="E37" i="52"/>
  <c r="H37" i="52" s="1"/>
  <c r="BS31" i="43"/>
  <c r="BW31" i="43" s="1"/>
  <c r="BQ89" i="44"/>
  <c r="BS84" i="44"/>
  <c r="T89" i="24"/>
  <c r="Z42" i="43"/>
  <c r="U31" i="39"/>
  <c r="Z64" i="43"/>
  <c r="H23" i="46"/>
  <c r="G23" i="46"/>
  <c r="X64" i="43"/>
  <c r="E49" i="52"/>
  <c r="H49" i="52" s="1"/>
  <c r="BS69" i="43"/>
  <c r="BW69" i="43" s="1"/>
  <c r="J42" i="43"/>
  <c r="Z45" i="43"/>
  <c r="Z49" i="43" s="1"/>
  <c r="V49" i="43"/>
  <c r="V72" i="43" s="1"/>
  <c r="I71" i="43"/>
  <c r="F95" i="51"/>
  <c r="K43" i="42"/>
  <c r="J43" i="42"/>
  <c r="BU88" i="24"/>
  <c r="BV81" i="24"/>
  <c r="BV88" i="24" s="1"/>
  <c r="O42" i="43"/>
  <c r="O72" i="43" s="1"/>
  <c r="K17" i="20" s="1"/>
  <c r="K18" i="20" s="1"/>
  <c r="BQ22" i="43"/>
  <c r="BS17" i="43"/>
  <c r="BL30" i="47"/>
  <c r="BP18" i="47"/>
  <c r="R25" i="46"/>
  <c r="Q53" i="46"/>
  <c r="R22" i="45"/>
  <c r="V19" i="45"/>
  <c r="M78" i="45"/>
  <c r="S30" i="47"/>
  <c r="BQ59" i="46"/>
  <c r="BO62" i="46"/>
  <c r="P12" i="39"/>
  <c r="J78" i="45"/>
  <c r="J107" i="45" s="1"/>
  <c r="J108" i="45" s="1"/>
  <c r="G15" i="20" s="1"/>
  <c r="G18" i="20" s="1"/>
  <c r="Q40" i="44"/>
  <c r="I20" i="41"/>
  <c r="E59" i="52"/>
  <c r="H59" i="52" s="1"/>
  <c r="BR15" i="41"/>
  <c r="BV15" i="41" s="1"/>
  <c r="Y22" i="41"/>
  <c r="Y37" i="41" s="1"/>
  <c r="U37" i="41"/>
  <c r="U46" i="41" s="1"/>
  <c r="S79" i="24"/>
  <c r="Z12" i="26"/>
  <c r="V14" i="26"/>
  <c r="V35" i="26" s="1"/>
  <c r="U33" i="44"/>
  <c r="F18" i="39"/>
  <c r="BQ39" i="46"/>
  <c r="BN43" i="46"/>
  <c r="G22" i="45"/>
  <c r="BO19" i="45"/>
  <c r="I19" i="45"/>
  <c r="H19" i="45"/>
  <c r="K20" i="41"/>
  <c r="K46" i="41" s="1"/>
  <c r="H22" i="20" s="1"/>
  <c r="T19" i="42"/>
  <c r="X17" i="42"/>
  <c r="X19" i="42" s="1"/>
  <c r="E67" i="52"/>
  <c r="H67" i="52" s="1"/>
  <c r="BR35" i="41"/>
  <c r="BV35" i="41" s="1"/>
  <c r="BS26" i="26"/>
  <c r="BP27" i="26"/>
  <c r="U49" i="42"/>
  <c r="Y43" i="42"/>
  <c r="BS48" i="25"/>
  <c r="BS56" i="25" s="1"/>
  <c r="BU34" i="25"/>
  <c r="BP22" i="26"/>
  <c r="BS21" i="26"/>
  <c r="BO64" i="43"/>
  <c r="BO72" i="43" s="1"/>
  <c r="BS52" i="43"/>
  <c r="BW52" i="43" s="1"/>
  <c r="BR12" i="25"/>
  <c r="BN16" i="25"/>
  <c r="BN56" i="25" s="1"/>
  <c r="C71" i="52" s="1"/>
  <c r="W35" i="47"/>
  <c r="W37" i="47" s="1"/>
  <c r="S37" i="47"/>
  <c r="BO33" i="44"/>
  <c r="BO90" i="44" s="1"/>
  <c r="BO92" i="44" s="1"/>
  <c r="BS20" i="44"/>
  <c r="BW20" i="44" s="1"/>
  <c r="X51" i="46"/>
  <c r="T53" i="46"/>
  <c r="BN38" i="45"/>
  <c r="G41" i="45"/>
  <c r="Y38" i="45"/>
  <c r="Y41" i="45" s="1"/>
  <c r="V38" i="45"/>
  <c r="V41" i="45" s="1"/>
  <c r="M38" i="45"/>
  <c r="M41" i="45" s="1"/>
  <c r="X38" i="45"/>
  <c r="X41" i="45" s="1"/>
  <c r="W38" i="45"/>
  <c r="W41" i="45" s="1"/>
  <c r="BV13" i="25"/>
  <c r="BS12" i="26"/>
  <c r="BP14" i="26"/>
  <c r="V79" i="24"/>
  <c r="V89" i="24" s="1"/>
  <c r="D18" i="57" s="1"/>
  <c r="BP39" i="47"/>
  <c r="BS39" i="47" s="1"/>
  <c r="BW39" i="47" s="1"/>
  <c r="H39" i="47"/>
  <c r="X20" i="47"/>
  <c r="W20" i="47"/>
  <c r="J20" i="47"/>
  <c r="I20" i="47"/>
  <c r="Z20" i="47"/>
  <c r="Y20" i="47"/>
  <c r="BN33" i="46"/>
  <c r="BQ27" i="46"/>
  <c r="M54" i="45"/>
  <c r="I64" i="43"/>
  <c r="BQ42" i="43"/>
  <c r="BS24" i="43"/>
  <c r="X71" i="43"/>
  <c r="E46" i="52"/>
  <c r="H46" i="52" s="1"/>
  <c r="BQ71" i="43"/>
  <c r="BS66" i="43"/>
  <c r="BM49" i="42"/>
  <c r="AC31" i="39"/>
  <c r="BQ34" i="26"/>
  <c r="BR39" i="41"/>
  <c r="BP45" i="41"/>
  <c r="BP13" i="47"/>
  <c r="X21" i="46"/>
  <c r="X25" i="46" s="1"/>
  <c r="T25" i="46"/>
  <c r="V25" i="46"/>
  <c r="E14" i="52"/>
  <c r="H14" i="52" s="1"/>
  <c r="BR95" i="45"/>
  <c r="BV95" i="45" s="1"/>
  <c r="J48" i="47"/>
  <c r="I48" i="47"/>
  <c r="Y37" i="47"/>
  <c r="T54" i="45"/>
  <c r="T107" i="45" s="1"/>
  <c r="X43" i="45"/>
  <c r="X54" i="45" s="1"/>
  <c r="D40" i="52"/>
  <c r="H40" i="52" s="1"/>
  <c r="BP42" i="43"/>
  <c r="BS34" i="43"/>
  <c r="BW34" i="43" s="1"/>
  <c r="F106" i="51"/>
  <c r="F113" i="51" s="1"/>
  <c r="G37" i="41"/>
  <c r="P22" i="41"/>
  <c r="P37" i="41" s="1"/>
  <c r="I22" i="41"/>
  <c r="I37" i="41" s="1"/>
  <c r="H22" i="41"/>
  <c r="H37" i="41" s="1"/>
  <c r="BP28" i="24"/>
  <c r="BR28" i="24" s="1"/>
  <c r="BV28" i="24" s="1"/>
  <c r="I28" i="24"/>
  <c r="I33" i="24" s="1"/>
  <c r="G33" i="24"/>
  <c r="BP33" i="24" s="1"/>
  <c r="BR33" i="24" s="1"/>
  <c r="BV33" i="24" s="1"/>
  <c r="H28" i="24"/>
  <c r="H33" i="24" s="1"/>
  <c r="W79" i="24"/>
  <c r="G79" i="24"/>
  <c r="G111" i="45"/>
  <c r="F12" i="51"/>
  <c r="Z23" i="47"/>
  <c r="Y23" i="47"/>
  <c r="X23" i="47"/>
  <c r="W23" i="47"/>
  <c r="J23" i="47"/>
  <c r="I23" i="47"/>
  <c r="I42" i="47"/>
  <c r="J42" i="47"/>
  <c r="M15" i="20" l="1"/>
  <c r="H111" i="45"/>
  <c r="H112" i="45" s="1"/>
  <c r="AN31" i="39"/>
  <c r="C20" i="48" s="1"/>
  <c r="D20" i="48" s="1"/>
  <c r="W36" i="45"/>
  <c r="W107" i="45" s="1"/>
  <c r="C9" i="52"/>
  <c r="H9" i="52" s="1"/>
  <c r="X15" i="46"/>
  <c r="Z31" i="44"/>
  <c r="Y31" i="44"/>
  <c r="Y33" i="44" s="1"/>
  <c r="Y90" i="44" s="1"/>
  <c r="Y92" i="44" s="1"/>
  <c r="X31" i="44"/>
  <c r="X33" i="44" s="1"/>
  <c r="X90" i="44" s="1"/>
  <c r="X92" i="44" s="1"/>
  <c r="W31" i="44"/>
  <c r="S89" i="24"/>
  <c r="I35" i="26"/>
  <c r="E28" i="20" s="1"/>
  <c r="V30" i="25"/>
  <c r="V56" i="25" s="1"/>
  <c r="D19" i="57" s="1"/>
  <c r="W89" i="24"/>
  <c r="E18" i="57" s="1"/>
  <c r="G19" i="54"/>
  <c r="G19" i="57"/>
  <c r="H19" i="57" s="1"/>
  <c r="E19" i="54"/>
  <c r="E19" i="57"/>
  <c r="D15" i="54"/>
  <c r="D15" i="57"/>
  <c r="BN46" i="41"/>
  <c r="H23" i="20"/>
  <c r="H30" i="20" s="1"/>
  <c r="D32" i="50" s="1"/>
  <c r="F19" i="54"/>
  <c r="F19" i="57"/>
  <c r="F18" i="54"/>
  <c r="F18" i="57"/>
  <c r="G18" i="54"/>
  <c r="G18" i="57"/>
  <c r="E15" i="54"/>
  <c r="E15" i="57"/>
  <c r="I30" i="25"/>
  <c r="BW67" i="43"/>
  <c r="L31" i="39"/>
  <c r="C6" i="48" s="1"/>
  <c r="E6" i="48" s="1"/>
  <c r="W14" i="26"/>
  <c r="W35" i="26" s="1"/>
  <c r="Z14" i="26"/>
  <c r="Z35" i="26" s="1"/>
  <c r="X14" i="26"/>
  <c r="X35" i="26" s="1"/>
  <c r="Y14" i="26"/>
  <c r="Y35" i="26" s="1"/>
  <c r="BQ55" i="46"/>
  <c r="BQ56" i="46" s="1"/>
  <c r="X31" i="39"/>
  <c r="C12" i="48" s="1"/>
  <c r="E12" i="48" s="1"/>
  <c r="AL31" i="39"/>
  <c r="C19" i="48" s="1"/>
  <c r="D19" i="48" s="1"/>
  <c r="E66" i="46"/>
  <c r="BJ66" i="46"/>
  <c r="BQ16" i="46"/>
  <c r="BQ17" i="46" s="1"/>
  <c r="S50" i="47"/>
  <c r="Y50" i="47"/>
  <c r="U50" i="47"/>
  <c r="W50" i="47"/>
  <c r="I40" i="47"/>
  <c r="H31" i="39"/>
  <c r="C4" i="48" s="1"/>
  <c r="E4" i="48" s="1"/>
  <c r="N31" i="39"/>
  <c r="C7" i="48" s="1"/>
  <c r="E7" i="48" s="1"/>
  <c r="I49" i="42"/>
  <c r="AO10" i="39"/>
  <c r="AO12" i="39" s="1"/>
  <c r="AO31" i="39" s="1"/>
  <c r="T31" i="39"/>
  <c r="C10" i="48" s="1"/>
  <c r="E10" i="48" s="1"/>
  <c r="W22" i="45"/>
  <c r="J14" i="26"/>
  <c r="J35" i="26" s="1"/>
  <c r="F28" i="20" s="1"/>
  <c r="O28" i="20" s="1"/>
  <c r="D28" i="20" s="1"/>
  <c r="AP29" i="39"/>
  <c r="AJ31" i="39"/>
  <c r="C18" i="48" s="1"/>
  <c r="E18" i="48" s="1"/>
  <c r="W56" i="42"/>
  <c r="S108" i="45"/>
  <c r="BW20" i="43"/>
  <c r="G33" i="52"/>
  <c r="H33" i="52" s="1"/>
  <c r="E20" i="48"/>
  <c r="V36" i="45"/>
  <c r="V107" i="45" s="1"/>
  <c r="Y36" i="45"/>
  <c r="Y107" i="45" s="1"/>
  <c r="X36" i="45"/>
  <c r="X107" i="45" s="1"/>
  <c r="P31" i="39"/>
  <c r="C8" i="48" s="1"/>
  <c r="D8" i="48" s="1"/>
  <c r="D15" i="48"/>
  <c r="E15" i="48"/>
  <c r="AB31" i="39"/>
  <c r="C14" i="48" s="1"/>
  <c r="V31" i="39"/>
  <c r="C11" i="48" s="1"/>
  <c r="J31" i="39"/>
  <c r="C5" i="48" s="1"/>
  <c r="F89" i="51"/>
  <c r="W72" i="43"/>
  <c r="AH31" i="39"/>
  <c r="C17" i="48" s="1"/>
  <c r="AA53" i="42"/>
  <c r="AA55" i="42" s="1"/>
  <c r="Y53" i="42"/>
  <c r="Y55" i="42" s="1"/>
  <c r="X53" i="42"/>
  <c r="X55" i="42" s="1"/>
  <c r="BM56" i="42"/>
  <c r="F98" i="51"/>
  <c r="R53" i="42"/>
  <c r="R55" i="42" s="1"/>
  <c r="R56" i="42" s="1"/>
  <c r="M21" i="20" s="1"/>
  <c r="J53" i="42"/>
  <c r="J55" i="42" s="1"/>
  <c r="I55" i="42"/>
  <c r="K53" i="42"/>
  <c r="K55" i="42" s="1"/>
  <c r="E37" i="51"/>
  <c r="R31" i="39"/>
  <c r="C9" i="48" s="1"/>
  <c r="BR12" i="45"/>
  <c r="BO17" i="45"/>
  <c r="D7" i="52" s="1"/>
  <c r="H7" i="52" s="1"/>
  <c r="S15" i="47"/>
  <c r="E8" i="51"/>
  <c r="H15" i="47"/>
  <c r="V15" i="47"/>
  <c r="U15" i="47"/>
  <c r="T15" i="47"/>
  <c r="BL14" i="47"/>
  <c r="AB16" i="47"/>
  <c r="AB56" i="47" s="1"/>
  <c r="F10" i="39" s="1"/>
  <c r="F41" i="51"/>
  <c r="F54" i="51" s="1"/>
  <c r="BV71" i="43"/>
  <c r="BV72" i="43" s="1"/>
  <c r="V15" i="46"/>
  <c r="H50" i="47"/>
  <c r="F21" i="51" s="1"/>
  <c r="G14" i="47"/>
  <c r="E7" i="51" s="1"/>
  <c r="BK16" i="47"/>
  <c r="BK56" i="47" s="1"/>
  <c r="H33" i="44"/>
  <c r="H90" i="44" s="1"/>
  <c r="H92" i="44" s="1"/>
  <c r="D16" i="39" s="1"/>
  <c r="AR16" i="39" s="1"/>
  <c r="J31" i="44"/>
  <c r="J33" i="44" s="1"/>
  <c r="J90" i="44" s="1"/>
  <c r="J92" i="44" s="1"/>
  <c r="F16" i="20" s="1"/>
  <c r="W33" i="44"/>
  <c r="W90" i="44" s="1"/>
  <c r="W92" i="44" s="1"/>
  <c r="D10" i="57" s="1"/>
  <c r="F60" i="51"/>
  <c r="F67" i="51" s="1"/>
  <c r="Q31" i="44"/>
  <c r="Q33" i="44" s="1"/>
  <c r="Q90" i="44" s="1"/>
  <c r="Q92" i="44" s="1"/>
  <c r="M16" i="20" s="1"/>
  <c r="I31" i="44"/>
  <c r="I33" i="44" s="1"/>
  <c r="I90" i="44" s="1"/>
  <c r="I92" i="44" s="1"/>
  <c r="E16" i="20" s="1"/>
  <c r="G53" i="46"/>
  <c r="H89" i="24"/>
  <c r="E26" i="20" s="1"/>
  <c r="I89" i="24"/>
  <c r="F26" i="20" s="1"/>
  <c r="X53" i="46"/>
  <c r="I37" i="47"/>
  <c r="BP72" i="43"/>
  <c r="U15" i="46"/>
  <c r="Z31" i="39"/>
  <c r="C13" i="48" s="1"/>
  <c r="Q72" i="43"/>
  <c r="M17" i="20" s="1"/>
  <c r="H22" i="45"/>
  <c r="X22" i="45"/>
  <c r="R108" i="45"/>
  <c r="T108" i="45"/>
  <c r="I22" i="45"/>
  <c r="U108" i="45"/>
  <c r="Y22" i="45"/>
  <c r="V22" i="45"/>
  <c r="U90" i="44"/>
  <c r="U92" i="44" s="1"/>
  <c r="S90" i="44"/>
  <c r="S92" i="44" s="1"/>
  <c r="T90" i="44"/>
  <c r="T92" i="44" s="1"/>
  <c r="I107" i="45"/>
  <c r="AP18" i="39"/>
  <c r="G30" i="20"/>
  <c r="D31" i="50" s="1"/>
  <c r="J72" i="43"/>
  <c r="X72" i="43"/>
  <c r="X46" i="41"/>
  <c r="Y46" i="41"/>
  <c r="K23" i="20"/>
  <c r="BV37" i="41"/>
  <c r="T56" i="42"/>
  <c r="U56" i="42"/>
  <c r="V56" i="42"/>
  <c r="BP46" i="41"/>
  <c r="G46" i="41"/>
  <c r="D15" i="50" s="1"/>
  <c r="C15" i="57" s="1"/>
  <c r="H46" i="41"/>
  <c r="E22" i="20" s="1"/>
  <c r="I55" i="47"/>
  <c r="Y72" i="43"/>
  <c r="AF31" i="39"/>
  <c r="C16" i="48" s="1"/>
  <c r="H38" i="26"/>
  <c r="D28" i="39"/>
  <c r="AR28" i="39" s="1"/>
  <c r="D20" i="50"/>
  <c r="C20" i="57" s="1"/>
  <c r="BL75" i="43"/>
  <c r="D11" i="50"/>
  <c r="C11" i="57" s="1"/>
  <c r="D17" i="39"/>
  <c r="AR17" i="39" s="1"/>
  <c r="BS33" i="44"/>
  <c r="BW19" i="44"/>
  <c r="BN36" i="45"/>
  <c r="BR25" i="45"/>
  <c r="J13" i="47"/>
  <c r="Z13" i="47"/>
  <c r="W13" i="47"/>
  <c r="Y13" i="47"/>
  <c r="I13" i="47"/>
  <c r="X13" i="47"/>
  <c r="BQ35" i="26"/>
  <c r="E72" i="52" s="1"/>
  <c r="BS34" i="26"/>
  <c r="BU27" i="46"/>
  <c r="BU33" i="46" s="1"/>
  <c r="BQ33" i="46"/>
  <c r="BS79" i="24"/>
  <c r="G89" i="24"/>
  <c r="F114" i="51" s="1"/>
  <c r="F117" i="51" s="1"/>
  <c r="BS13" i="47"/>
  <c r="BW21" i="26"/>
  <c r="BW22" i="26" s="1"/>
  <c r="BS22" i="26"/>
  <c r="BP35" i="26"/>
  <c r="D72" i="52" s="1"/>
  <c r="Z72" i="43"/>
  <c r="S55" i="47"/>
  <c r="W52" i="47"/>
  <c r="W55" i="47" s="1"/>
  <c r="J55" i="47"/>
  <c r="BK60" i="25"/>
  <c r="D19" i="50"/>
  <c r="C19" i="57" s="1"/>
  <c r="D27" i="39"/>
  <c r="AR27" i="39" s="1"/>
  <c r="E56" i="52"/>
  <c r="BT46" i="42"/>
  <c r="BX46" i="42" s="1"/>
  <c r="BR49" i="42"/>
  <c r="BR56" i="42" s="1"/>
  <c r="G25" i="46"/>
  <c r="C69" i="52"/>
  <c r="E6" i="53" s="1"/>
  <c r="BW11" i="43"/>
  <c r="BW14" i="43" s="1"/>
  <c r="BS14" i="43"/>
  <c r="T55" i="47"/>
  <c r="X52" i="47"/>
  <c r="X55" i="47" s="1"/>
  <c r="F9" i="51"/>
  <c r="J18" i="47"/>
  <c r="I18" i="47"/>
  <c r="Z18" i="47"/>
  <c r="H30" i="47"/>
  <c r="BT30" i="25"/>
  <c r="BT56" i="25" s="1"/>
  <c r="BU18" i="25"/>
  <c r="BW52" i="47"/>
  <c r="BW55" i="47" s="1"/>
  <c r="BS55" i="47"/>
  <c r="AA46" i="42"/>
  <c r="AA49" i="42" s="1"/>
  <c r="Y46" i="42"/>
  <c r="Y49" i="42" s="1"/>
  <c r="X46" i="42"/>
  <c r="X49" i="42" s="1"/>
  <c r="K46" i="42"/>
  <c r="K49" i="42" s="1"/>
  <c r="J46" i="42"/>
  <c r="J49" i="42" s="1"/>
  <c r="J56" i="42" s="1"/>
  <c r="Z46" i="42"/>
  <c r="Z49" i="42" s="1"/>
  <c r="Z56" i="42" s="1"/>
  <c r="R33" i="46"/>
  <c r="R66" i="46" s="1"/>
  <c r="V27" i="46"/>
  <c r="V33" i="46" s="1"/>
  <c r="V66" i="46" s="1"/>
  <c r="H25" i="46"/>
  <c r="M107" i="45"/>
  <c r="M108" i="45" s="1"/>
  <c r="J15" i="20" s="1"/>
  <c r="J18" i="20" s="1"/>
  <c r="I72" i="43"/>
  <c r="BT17" i="42"/>
  <c r="BT19" i="42" s="1"/>
  <c r="BT30" i="42"/>
  <c r="BP41" i="42"/>
  <c r="BR37" i="41"/>
  <c r="Z52" i="47"/>
  <c r="Z55" i="47" s="1"/>
  <c r="V55" i="47"/>
  <c r="BR48" i="24"/>
  <c r="BR89" i="24" s="1"/>
  <c r="BV35" i="24"/>
  <c r="BV48" i="24" s="1"/>
  <c r="F27" i="51"/>
  <c r="F15" i="46"/>
  <c r="F74" i="46"/>
  <c r="H12" i="46"/>
  <c r="H15" i="46" s="1"/>
  <c r="G12" i="46"/>
  <c r="G15" i="46" s="1"/>
  <c r="BR20" i="41"/>
  <c r="S33" i="46"/>
  <c r="S66" i="46" s="1"/>
  <c r="W27" i="46"/>
  <c r="W33" i="46" s="1"/>
  <c r="BR80" i="45"/>
  <c r="BR106" i="45" s="1"/>
  <c r="BP107" i="45"/>
  <c r="BP108" i="45" s="1"/>
  <c r="BS44" i="43"/>
  <c r="BQ49" i="43"/>
  <c r="BQ72" i="43" s="1"/>
  <c r="H56" i="25"/>
  <c r="E27" i="20" s="1"/>
  <c r="I23" i="20"/>
  <c r="BQ65" i="46"/>
  <c r="BU64" i="46"/>
  <c r="BU65" i="46" s="1"/>
  <c r="I56" i="25"/>
  <c r="F27" i="20" s="1"/>
  <c r="BP89" i="24"/>
  <c r="E70" i="52" s="1"/>
  <c r="F10" i="51"/>
  <c r="W21" i="47"/>
  <c r="W30" i="47" s="1"/>
  <c r="J21" i="47"/>
  <c r="I21" i="47"/>
  <c r="Z21" i="47"/>
  <c r="Y21" i="47"/>
  <c r="Y30" i="47" s="1"/>
  <c r="X21" i="47"/>
  <c r="X30" i="47" s="1"/>
  <c r="BN15" i="46"/>
  <c r="BN66" i="46" s="1"/>
  <c r="D5" i="52" s="1"/>
  <c r="BQ12" i="46"/>
  <c r="BV20" i="41"/>
  <c r="BW51" i="43"/>
  <c r="BW64" i="43" s="1"/>
  <c r="BS64" i="43"/>
  <c r="Q33" i="46"/>
  <c r="Q66" i="46" s="1"/>
  <c r="U27" i="46"/>
  <c r="U33" i="46" s="1"/>
  <c r="BV22" i="44"/>
  <c r="BU33" i="44"/>
  <c r="BU90" i="44" s="1"/>
  <c r="BU92" i="44" s="1"/>
  <c r="H53" i="46"/>
  <c r="BS16" i="44"/>
  <c r="BW15" i="44"/>
  <c r="BW16" i="44" s="1"/>
  <c r="BS42" i="43"/>
  <c r="BW24" i="43"/>
  <c r="BW42" i="43" s="1"/>
  <c r="I39" i="47"/>
  <c r="I50" i="47" s="1"/>
  <c r="J39" i="47"/>
  <c r="J50" i="47" s="1"/>
  <c r="BU39" i="46"/>
  <c r="BU43" i="46" s="1"/>
  <c r="BQ43" i="46"/>
  <c r="BV12" i="25"/>
  <c r="BV16" i="25" s="1"/>
  <c r="BR16" i="25"/>
  <c r="BR56" i="25" s="1"/>
  <c r="I46" i="41"/>
  <c r="F22" i="20" s="1"/>
  <c r="BP50" i="47"/>
  <c r="P46" i="41"/>
  <c r="M22" i="20" s="1"/>
  <c r="BR45" i="41"/>
  <c r="BV39" i="41"/>
  <c r="BV45" i="41" s="1"/>
  <c r="D18" i="54"/>
  <c r="BR19" i="45"/>
  <c r="BO22" i="45"/>
  <c r="H107" i="45"/>
  <c r="H4" i="53"/>
  <c r="H9" i="53" s="1"/>
  <c r="F75" i="52"/>
  <c r="E29" i="52"/>
  <c r="H29" i="52" s="1"/>
  <c r="BV13" i="45"/>
  <c r="BQ25" i="46"/>
  <c r="BU20" i="46"/>
  <c r="BU25" i="46" s="1"/>
  <c r="V59" i="25"/>
  <c r="V60" i="25" s="1"/>
  <c r="D19" i="54"/>
  <c r="H19" i="54" s="1"/>
  <c r="W15" i="46"/>
  <c r="F33" i="46"/>
  <c r="F32" i="51" s="1"/>
  <c r="H27" i="46"/>
  <c r="H33" i="46" s="1"/>
  <c r="G27" i="46"/>
  <c r="G33" i="46" s="1"/>
  <c r="Z22" i="44"/>
  <c r="M22" i="44"/>
  <c r="M33" i="44" s="1"/>
  <c r="M90" i="44" s="1"/>
  <c r="M92" i="44" s="1"/>
  <c r="I16" i="20" s="1"/>
  <c r="I18" i="20" s="1"/>
  <c r="BU16" i="46"/>
  <c r="BU17" i="46" s="1"/>
  <c r="BU55" i="25"/>
  <c r="BV50" i="25"/>
  <c r="BV55" i="25" s="1"/>
  <c r="G107" i="45"/>
  <c r="G108" i="45" s="1"/>
  <c r="BV43" i="45"/>
  <c r="BV54" i="45" s="1"/>
  <c r="BR54" i="45"/>
  <c r="M48" i="24"/>
  <c r="M89" i="24" s="1"/>
  <c r="J26" i="20" s="1"/>
  <c r="J29" i="20" s="1"/>
  <c r="N42" i="24"/>
  <c r="BT55" i="42"/>
  <c r="BX51" i="42"/>
  <c r="BX55" i="42" s="1"/>
  <c r="BS14" i="26"/>
  <c r="BW12" i="26"/>
  <c r="BW14" i="26" s="1"/>
  <c r="C73" i="52"/>
  <c r="BS27" i="26"/>
  <c r="BW26" i="26"/>
  <c r="BW27" i="26" s="1"/>
  <c r="BQ62" i="46"/>
  <c r="BU59" i="46"/>
  <c r="BU62" i="46" s="1"/>
  <c r="BU48" i="25"/>
  <c r="BV34" i="25"/>
  <c r="BV48" i="25" s="1"/>
  <c r="BW66" i="43"/>
  <c r="BS71" i="43"/>
  <c r="BR38" i="45"/>
  <c r="BN41" i="45"/>
  <c r="BS18" i="47"/>
  <c r="BP30" i="47"/>
  <c r="BW84" i="44"/>
  <c r="BW89" i="44" s="1"/>
  <c r="BS89" i="44"/>
  <c r="BW17" i="43"/>
  <c r="BW22" i="43" s="1"/>
  <c r="BS22" i="43"/>
  <c r="J37" i="47"/>
  <c r="BR78" i="45"/>
  <c r="BV56" i="45"/>
  <c r="BV78" i="45" s="1"/>
  <c r="BX43" i="42"/>
  <c r="U55" i="47"/>
  <c r="Y52" i="47"/>
  <c r="Y55" i="47" s="1"/>
  <c r="BU22" i="45"/>
  <c r="BV21" i="45"/>
  <c r="BQ64" i="44"/>
  <c r="E27" i="52" s="1"/>
  <c r="H27" i="52" s="1"/>
  <c r="BS42" i="44"/>
  <c r="BS40" i="44"/>
  <c r="BW35" i="44"/>
  <c r="BW40" i="44" s="1"/>
  <c r="X27" i="46"/>
  <c r="X33" i="46" s="1"/>
  <c r="T33" i="46"/>
  <c r="T66" i="46" s="1"/>
  <c r="AP23" i="39"/>
  <c r="BO66" i="46"/>
  <c r="E5" i="52" s="1"/>
  <c r="E6" i="52" s="1"/>
  <c r="G4" i="53" s="1"/>
  <c r="BS37" i="47"/>
  <c r="BW33" i="47"/>
  <c r="BW37" i="47" s="1"/>
  <c r="BS50" i="47"/>
  <c r="BW42" i="47"/>
  <c r="BW50" i="47" s="1"/>
  <c r="C50" i="52" l="1"/>
  <c r="E5" i="53" s="1"/>
  <c r="BW71" i="43"/>
  <c r="Z15" i="47"/>
  <c r="Y15" i="47"/>
  <c r="X15" i="47"/>
  <c r="W15" i="47"/>
  <c r="J19" i="57"/>
  <c r="V93" i="24"/>
  <c r="V94" i="24" s="1"/>
  <c r="E18" i="54"/>
  <c r="W75" i="43"/>
  <c r="W76" i="43" s="1"/>
  <c r="G15" i="54"/>
  <c r="H15" i="54" s="1"/>
  <c r="G15" i="57"/>
  <c r="F15" i="54"/>
  <c r="F15" i="57"/>
  <c r="F10" i="54"/>
  <c r="F10" i="57"/>
  <c r="F20" i="54"/>
  <c r="F21" i="54" s="1"/>
  <c r="F20" i="57"/>
  <c r="F21" i="57" s="1"/>
  <c r="E6" i="54"/>
  <c r="E6" i="57"/>
  <c r="E10" i="54"/>
  <c r="E10" i="57"/>
  <c r="E20" i="54"/>
  <c r="E21" i="54" s="1"/>
  <c r="E20" i="57"/>
  <c r="E21" i="57" s="1"/>
  <c r="G20" i="54"/>
  <c r="G21" i="54" s="1"/>
  <c r="G20" i="57"/>
  <c r="G21" i="57" s="1"/>
  <c r="F14" i="54"/>
  <c r="F14" i="57"/>
  <c r="D20" i="54"/>
  <c r="D21" i="54" s="1"/>
  <c r="D20" i="57"/>
  <c r="H18" i="57"/>
  <c r="F11" i="54"/>
  <c r="F11" i="57"/>
  <c r="E11" i="54"/>
  <c r="E11" i="57"/>
  <c r="D11" i="54"/>
  <c r="D11" i="57"/>
  <c r="G11" i="54"/>
  <c r="G11" i="57"/>
  <c r="D6" i="48"/>
  <c r="W39" i="26"/>
  <c r="W40" i="26" s="1"/>
  <c r="E19" i="48"/>
  <c r="BU55" i="46"/>
  <c r="BU56" i="46" s="1"/>
  <c r="D12" i="48"/>
  <c r="X66" i="46"/>
  <c r="U66" i="46"/>
  <c r="D4" i="48"/>
  <c r="D7" i="48"/>
  <c r="I56" i="42"/>
  <c r="I59" i="42" s="1"/>
  <c r="D10" i="48"/>
  <c r="D18" i="48"/>
  <c r="X108" i="45"/>
  <c r="W108" i="45"/>
  <c r="E24" i="51"/>
  <c r="Y108" i="45"/>
  <c r="H108" i="45"/>
  <c r="E15" i="20" s="1"/>
  <c r="E8" i="48"/>
  <c r="D17" i="48"/>
  <c r="E17" i="48"/>
  <c r="D16" i="48"/>
  <c r="E16" i="48"/>
  <c r="D14" i="48"/>
  <c r="E14" i="48"/>
  <c r="D13" i="48"/>
  <c r="E13" i="48"/>
  <c r="D11" i="48"/>
  <c r="E11" i="48"/>
  <c r="D9" i="48"/>
  <c r="E9" i="48"/>
  <c r="D5" i="48"/>
  <c r="E5" i="48"/>
  <c r="AA56" i="42"/>
  <c r="Y56" i="42"/>
  <c r="X56" i="42"/>
  <c r="K56" i="42"/>
  <c r="F21" i="20" s="1"/>
  <c r="F23" i="20" s="1"/>
  <c r="M23" i="20"/>
  <c r="F99" i="51"/>
  <c r="E73" i="52"/>
  <c r="G7" i="53" s="1"/>
  <c r="S14" i="47"/>
  <c r="S16" i="47" s="1"/>
  <c r="S56" i="47" s="1"/>
  <c r="V14" i="47"/>
  <c r="V16" i="47" s="1"/>
  <c r="V56" i="47" s="1"/>
  <c r="H14" i="47"/>
  <c r="U14" i="47"/>
  <c r="U16" i="47" s="1"/>
  <c r="U56" i="47" s="1"/>
  <c r="T14" i="47"/>
  <c r="T16" i="47" s="1"/>
  <c r="T56" i="47" s="1"/>
  <c r="G16" i="47"/>
  <c r="G56" i="47" s="1"/>
  <c r="BV12" i="45"/>
  <c r="BV17" i="45" s="1"/>
  <c r="BR17" i="45"/>
  <c r="F12" i="39"/>
  <c r="F31" i="39" s="1"/>
  <c r="C3" i="48" s="1"/>
  <c r="AP10" i="39"/>
  <c r="AP12" i="39" s="1"/>
  <c r="AP31" i="39" s="1"/>
  <c r="J15" i="47"/>
  <c r="F8" i="51"/>
  <c r="I15" i="47"/>
  <c r="BP14" i="47"/>
  <c r="BL16" i="47"/>
  <c r="BL56" i="47" s="1"/>
  <c r="BT49" i="42"/>
  <c r="W66" i="46"/>
  <c r="H72" i="52"/>
  <c r="Z33" i="44"/>
  <c r="Z90" i="44" s="1"/>
  <c r="Z92" i="44" s="1"/>
  <c r="E17" i="20"/>
  <c r="H74" i="43"/>
  <c r="H75" i="43" s="1"/>
  <c r="F17" i="20"/>
  <c r="G48" i="41"/>
  <c r="F37" i="51"/>
  <c r="G66" i="46"/>
  <c r="E11" i="20" s="1"/>
  <c r="BX49" i="42"/>
  <c r="V50" i="41"/>
  <c r="V51" i="41" s="1"/>
  <c r="F29" i="20"/>
  <c r="H95" i="44"/>
  <c r="M18" i="20"/>
  <c r="I108" i="45"/>
  <c r="F15" i="20" s="1"/>
  <c r="V108" i="45"/>
  <c r="I30" i="20"/>
  <c r="D33" i="50" s="1"/>
  <c r="D10" i="50"/>
  <c r="E50" i="52"/>
  <c r="G5" i="53" s="1"/>
  <c r="BQ90" i="44"/>
  <c r="BQ92" i="44" s="1"/>
  <c r="O16" i="20"/>
  <c r="D16" i="20" s="1"/>
  <c r="BN107" i="45"/>
  <c r="BN108" i="45" s="1"/>
  <c r="J30" i="20"/>
  <c r="D34" i="50" s="1"/>
  <c r="D22" i="39"/>
  <c r="AR22" i="39" s="1"/>
  <c r="E21" i="20"/>
  <c r="D10" i="54"/>
  <c r="BW18" i="47"/>
  <c r="BW30" i="47" s="1"/>
  <c r="BS30" i="47"/>
  <c r="H18" i="54"/>
  <c r="BR41" i="45"/>
  <c r="BV38" i="45"/>
  <c r="BV41" i="45" s="1"/>
  <c r="BP56" i="42"/>
  <c r="D73" i="52"/>
  <c r="F7" i="53" s="1"/>
  <c r="P27" i="20"/>
  <c r="C19" i="54"/>
  <c r="J19" i="54" s="1"/>
  <c r="D8" i="52"/>
  <c r="BO108" i="45"/>
  <c r="BS64" i="44"/>
  <c r="BS90" i="44" s="1"/>
  <c r="BS92" i="44" s="1"/>
  <c r="BW42" i="44"/>
  <c r="BW64" i="44" s="1"/>
  <c r="G110" i="45"/>
  <c r="G113" i="45"/>
  <c r="D9" i="50"/>
  <c r="C9" i="57" s="1"/>
  <c r="D15" i="39"/>
  <c r="N48" i="24"/>
  <c r="N89" i="24" s="1"/>
  <c r="K26" i="20" s="1"/>
  <c r="K29" i="20" s="1"/>
  <c r="K30" i="20" s="1"/>
  <c r="D36" i="50" s="1"/>
  <c r="O42" i="24"/>
  <c r="O27" i="20"/>
  <c r="F66" i="46"/>
  <c r="BX17" i="42"/>
  <c r="BX19" i="42" s="1"/>
  <c r="BU30" i="25"/>
  <c r="BU56" i="25" s="1"/>
  <c r="G71" i="52" s="1"/>
  <c r="H71" i="52" s="1"/>
  <c r="BV18" i="25"/>
  <c r="BV30" i="25" s="1"/>
  <c r="BV56" i="25" s="1"/>
  <c r="H56" i="52"/>
  <c r="E69" i="52"/>
  <c r="G6" i="53" s="1"/>
  <c r="BW34" i="26"/>
  <c r="BW35" i="26" s="1"/>
  <c r="BS35" i="26"/>
  <c r="E29" i="20"/>
  <c r="G91" i="24"/>
  <c r="D18" i="50"/>
  <c r="C18" i="57" s="1"/>
  <c r="D26" i="39"/>
  <c r="BW22" i="44"/>
  <c r="BW33" i="44" s="1"/>
  <c r="BV33" i="44"/>
  <c r="BV90" i="44" s="1"/>
  <c r="BV92" i="44" s="1"/>
  <c r="BS49" i="43"/>
  <c r="BS72" i="43" s="1"/>
  <c r="BW44" i="43"/>
  <c r="BW49" i="43" s="1"/>
  <c r="BW72" i="43" s="1"/>
  <c r="Z30" i="47"/>
  <c r="BV46" i="41"/>
  <c r="O22" i="20"/>
  <c r="BU12" i="46"/>
  <c r="BU15" i="46" s="1"/>
  <c r="BQ15" i="46"/>
  <c r="BQ66" i="46" s="1"/>
  <c r="BV80" i="45"/>
  <c r="BV106" i="45" s="1"/>
  <c r="H66" i="46"/>
  <c r="F11" i="20" s="1"/>
  <c r="BT41" i="42"/>
  <c r="BX30" i="42"/>
  <c r="BX41" i="42" s="1"/>
  <c r="I30" i="47"/>
  <c r="BU79" i="24"/>
  <c r="BS89" i="24"/>
  <c r="C20" i="54"/>
  <c r="P28" i="20"/>
  <c r="Q28" i="20" s="1"/>
  <c r="E7" i="53"/>
  <c r="BW13" i="47"/>
  <c r="G8" i="52"/>
  <c r="G50" i="52" s="1"/>
  <c r="I5" i="53" s="1"/>
  <c r="BU108" i="45"/>
  <c r="BR22" i="45"/>
  <c r="BV19" i="45"/>
  <c r="BV22" i="45" s="1"/>
  <c r="BR46" i="41"/>
  <c r="H5" i="52"/>
  <c r="J30" i="47"/>
  <c r="P22" i="20"/>
  <c r="C15" i="54"/>
  <c r="BV25" i="45"/>
  <c r="BV36" i="45" s="1"/>
  <c r="BR36" i="45"/>
  <c r="P17" i="20"/>
  <c r="C11" i="54"/>
  <c r="C75" i="52" l="1"/>
  <c r="E9" i="53"/>
  <c r="F7" i="51"/>
  <c r="X14" i="47"/>
  <c r="W14" i="47"/>
  <c r="Z14" i="47"/>
  <c r="Z16" i="47" s="1"/>
  <c r="Z56" i="47" s="1"/>
  <c r="Y14" i="47"/>
  <c r="Y16" i="47" s="1"/>
  <c r="Y56" i="47" s="1"/>
  <c r="J18" i="57"/>
  <c r="H15" i="57"/>
  <c r="J15" i="57" s="1"/>
  <c r="F16" i="57"/>
  <c r="F16" i="54"/>
  <c r="H11" i="54"/>
  <c r="J11" i="54" s="1"/>
  <c r="G10" i="54"/>
  <c r="H10" i="54" s="1"/>
  <c r="G10" i="57"/>
  <c r="H10" i="57" s="1"/>
  <c r="E14" i="54"/>
  <c r="E16" i="54" s="1"/>
  <c r="E14" i="57"/>
  <c r="E16" i="57" s="1"/>
  <c r="G14" i="54"/>
  <c r="G16" i="54" s="1"/>
  <c r="G14" i="57"/>
  <c r="G16" i="57" s="1"/>
  <c r="D9" i="54"/>
  <c r="D12" i="54" s="1"/>
  <c r="D9" i="57"/>
  <c r="F6" i="54"/>
  <c r="F6" i="57"/>
  <c r="E9" i="54"/>
  <c r="E12" i="54" s="1"/>
  <c r="E9" i="57"/>
  <c r="E12" i="57" s="1"/>
  <c r="H20" i="54"/>
  <c r="J20" i="54" s="1"/>
  <c r="G9" i="54"/>
  <c r="G9" i="57"/>
  <c r="F9" i="54"/>
  <c r="F12" i="54" s="1"/>
  <c r="F9" i="57"/>
  <c r="F12" i="57" s="1"/>
  <c r="D6" i="54"/>
  <c r="D6" i="57"/>
  <c r="H20" i="57"/>
  <c r="J20" i="57" s="1"/>
  <c r="D21" i="57"/>
  <c r="H21" i="57" s="1"/>
  <c r="P16" i="20"/>
  <c r="Q16" i="20" s="1"/>
  <c r="C10" i="57"/>
  <c r="D14" i="54"/>
  <c r="D16" i="54" s="1"/>
  <c r="D14" i="57"/>
  <c r="G6" i="54"/>
  <c r="G6" i="57"/>
  <c r="H11" i="57"/>
  <c r="J11" i="57" s="1"/>
  <c r="D14" i="50"/>
  <c r="E18" i="20"/>
  <c r="BU66" i="46"/>
  <c r="F24" i="51"/>
  <c r="F118" i="51" s="1"/>
  <c r="D21" i="39"/>
  <c r="AR21" i="39" s="1"/>
  <c r="O15" i="20"/>
  <c r="D15" i="20" s="1"/>
  <c r="BT56" i="42"/>
  <c r="H69" i="52"/>
  <c r="J6" i="53" s="1"/>
  <c r="W94" i="44"/>
  <c r="W96" i="44" s="1"/>
  <c r="D3" i="48"/>
  <c r="E3" i="48"/>
  <c r="E23" i="48" s="1"/>
  <c r="X59" i="42"/>
  <c r="X60" i="42" s="1"/>
  <c r="J58" i="42"/>
  <c r="I58" i="42" s="1"/>
  <c r="C21" i="48"/>
  <c r="D21" i="48" s="1"/>
  <c r="O11" i="20"/>
  <c r="D11" i="20" s="1"/>
  <c r="BS14" i="47"/>
  <c r="BP16" i="47"/>
  <c r="BP56" i="47" s="1"/>
  <c r="D4" i="52" s="1"/>
  <c r="H4" i="52" s="1"/>
  <c r="H6" i="52" s="1"/>
  <c r="J4" i="53" s="1"/>
  <c r="X16" i="47"/>
  <c r="X56" i="47" s="1"/>
  <c r="J14" i="47"/>
  <c r="J16" i="47" s="1"/>
  <c r="J56" i="47" s="1"/>
  <c r="F10" i="20" s="1"/>
  <c r="F12" i="20" s="1"/>
  <c r="W16" i="47"/>
  <c r="W56" i="47" s="1"/>
  <c r="I14" i="47"/>
  <c r="I16" i="47" s="1"/>
  <c r="H16" i="47"/>
  <c r="H56" i="47" s="1"/>
  <c r="J15" i="54"/>
  <c r="U68" i="46"/>
  <c r="U69" i="46" s="1"/>
  <c r="I56" i="47"/>
  <c r="E10" i="20" s="1"/>
  <c r="E12" i="20" s="1"/>
  <c r="O17" i="20"/>
  <c r="D17" i="20" s="1"/>
  <c r="V110" i="45"/>
  <c r="V111" i="45" s="1"/>
  <c r="F18" i="20"/>
  <c r="BX56" i="42"/>
  <c r="C10" i="54"/>
  <c r="G9" i="53"/>
  <c r="BW90" i="44"/>
  <c r="BW92" i="44" s="1"/>
  <c r="BI68" i="46"/>
  <c r="F71" i="46"/>
  <c r="H68" i="46"/>
  <c r="D11" i="39"/>
  <c r="AR11" i="39" s="1"/>
  <c r="D6" i="50"/>
  <c r="C6" i="57" s="1"/>
  <c r="BV79" i="24"/>
  <c r="BV89" i="24" s="1"/>
  <c r="BU89" i="24"/>
  <c r="G70" i="52" s="1"/>
  <c r="E75" i="52"/>
  <c r="C18" i="54"/>
  <c r="J18" i="54" s="1"/>
  <c r="P26" i="20"/>
  <c r="P29" i="20" s="1"/>
  <c r="D21" i="50"/>
  <c r="D27" i="20"/>
  <c r="Q27" i="20"/>
  <c r="D29" i="39"/>
  <c r="AR29" i="39" s="1"/>
  <c r="AR26" i="39"/>
  <c r="H8" i="52"/>
  <c r="H50" i="52" s="1"/>
  <c r="J5" i="53" s="1"/>
  <c r="D50" i="52"/>
  <c r="AR15" i="39"/>
  <c r="AS15" i="39"/>
  <c r="D18" i="39"/>
  <c r="AR18" i="39" s="1"/>
  <c r="H21" i="54"/>
  <c r="D22" i="20"/>
  <c r="Q22" i="20"/>
  <c r="P42" i="24"/>
  <c r="O48" i="24"/>
  <c r="O89" i="24" s="1"/>
  <c r="L26" i="20" s="1"/>
  <c r="L29" i="20" s="1"/>
  <c r="L30" i="20" s="1"/>
  <c r="C9" i="54"/>
  <c r="P15" i="20"/>
  <c r="D12" i="50"/>
  <c r="C12" i="57" s="1"/>
  <c r="E23" i="20"/>
  <c r="O21" i="20"/>
  <c r="BR107" i="45"/>
  <c r="BR108" i="45" s="1"/>
  <c r="BV107" i="45"/>
  <c r="BV108" i="45" s="1"/>
  <c r="BN113" i="45" s="1"/>
  <c r="G12" i="54" l="1"/>
  <c r="H12" i="54" s="1"/>
  <c r="D10" i="39"/>
  <c r="AR10" i="39" s="1"/>
  <c r="D5" i="50"/>
  <c r="G12" i="57"/>
  <c r="J10" i="57"/>
  <c r="H6" i="54"/>
  <c r="H9" i="57"/>
  <c r="J9" i="57" s="1"/>
  <c r="H16" i="54"/>
  <c r="H14" i="54"/>
  <c r="H9" i="54"/>
  <c r="J9" i="54" s="1"/>
  <c r="E5" i="54"/>
  <c r="E7" i="54" s="1"/>
  <c r="E23" i="54" s="1"/>
  <c r="E5" i="57"/>
  <c r="E7" i="57" s="1"/>
  <c r="E23" i="57" s="1"/>
  <c r="F5" i="54"/>
  <c r="F7" i="54" s="1"/>
  <c r="F23" i="54" s="1"/>
  <c r="F5" i="57"/>
  <c r="F7" i="57" s="1"/>
  <c r="F23" i="57" s="1"/>
  <c r="G5" i="54"/>
  <c r="G7" i="54" s="1"/>
  <c r="G5" i="57"/>
  <c r="G7" i="57" s="1"/>
  <c r="G23" i="57" s="1"/>
  <c r="C14" i="54"/>
  <c r="C14" i="57"/>
  <c r="D16" i="57"/>
  <c r="H16" i="57" s="1"/>
  <c r="H14" i="57"/>
  <c r="D5" i="54"/>
  <c r="D7" i="54" s="1"/>
  <c r="D23" i="54" s="1"/>
  <c r="D5" i="57"/>
  <c r="D12" i="57"/>
  <c r="H6" i="57"/>
  <c r="J6" i="57" s="1"/>
  <c r="C21" i="57"/>
  <c r="J21" i="57"/>
  <c r="P21" i="20"/>
  <c r="P23" i="20" s="1"/>
  <c r="D16" i="50"/>
  <c r="D23" i="39"/>
  <c r="AR23" i="39" s="1"/>
  <c r="O10" i="20"/>
  <c r="O12" i="20" s="1"/>
  <c r="D6" i="52"/>
  <c r="F4" i="53" s="1"/>
  <c r="C23" i="48"/>
  <c r="G8" i="48" s="1"/>
  <c r="BW14" i="47"/>
  <c r="BW16" i="47" s="1"/>
  <c r="BW56" i="47" s="1"/>
  <c r="BS16" i="47"/>
  <c r="BS56" i="47" s="1"/>
  <c r="H58" i="47"/>
  <c r="H59" i="47" s="1"/>
  <c r="J10" i="54"/>
  <c r="Q17" i="20"/>
  <c r="O18" i="20"/>
  <c r="D18" i="20" s="1"/>
  <c r="F30" i="20"/>
  <c r="Q42" i="24"/>
  <c r="Q48" i="24" s="1"/>
  <c r="Q89" i="24" s="1"/>
  <c r="N26" i="20" s="1"/>
  <c r="N29" i="20" s="1"/>
  <c r="N30" i="20" s="1"/>
  <c r="P48" i="24"/>
  <c r="P89" i="24" s="1"/>
  <c r="M26" i="20" s="1"/>
  <c r="M29" i="20" s="1"/>
  <c r="M30" i="20" s="1"/>
  <c r="H5" i="50"/>
  <c r="C12" i="54"/>
  <c r="P18" i="20"/>
  <c r="Q15" i="20"/>
  <c r="H7" i="50"/>
  <c r="C21" i="54"/>
  <c r="J21" i="54" s="1"/>
  <c r="G73" i="52"/>
  <c r="H70" i="52"/>
  <c r="H73" i="52" s="1"/>
  <c r="P11" i="20"/>
  <c r="Q11" i="20" s="1"/>
  <c r="C6" i="54"/>
  <c r="F5" i="53"/>
  <c r="E30" i="20"/>
  <c r="O23" i="20"/>
  <c r="D21" i="20"/>
  <c r="G23" i="54" l="1"/>
  <c r="H23" i="54" s="1"/>
  <c r="E45" i="20"/>
  <c r="F34" i="20"/>
  <c r="D45" i="20"/>
  <c r="G45" i="20"/>
  <c r="F45" i="20"/>
  <c r="G43" i="20"/>
  <c r="F43" i="20"/>
  <c r="D43" i="20"/>
  <c r="E43" i="20"/>
  <c r="D12" i="39"/>
  <c r="D31" i="39" s="1"/>
  <c r="AR31" i="39" s="1"/>
  <c r="H12" i="57"/>
  <c r="J12" i="57" s="1"/>
  <c r="J6" i="54"/>
  <c r="H5" i="54"/>
  <c r="J14" i="54"/>
  <c r="H6" i="50"/>
  <c r="C16" i="57"/>
  <c r="J16" i="57" s="1"/>
  <c r="H7" i="54"/>
  <c r="C5" i="54"/>
  <c r="C5" i="57"/>
  <c r="J14" i="57"/>
  <c r="D7" i="57"/>
  <c r="H7" i="57" s="1"/>
  <c r="H5" i="57"/>
  <c r="Q21" i="20"/>
  <c r="C16" i="54"/>
  <c r="J16" i="54" s="1"/>
  <c r="P10" i="20"/>
  <c r="Q10" i="20" s="1"/>
  <c r="D10" i="20"/>
  <c r="J12" i="54"/>
  <c r="D7" i="50"/>
  <c r="F9" i="53"/>
  <c r="D75" i="52"/>
  <c r="G19" i="48"/>
  <c r="G7" i="48"/>
  <c r="D30" i="50"/>
  <c r="G6" i="48"/>
  <c r="G11" i="48"/>
  <c r="G16" i="48"/>
  <c r="G5" i="48"/>
  <c r="G18" i="48"/>
  <c r="G3" i="48"/>
  <c r="G4" i="48"/>
  <c r="G9" i="48"/>
  <c r="G14" i="48"/>
  <c r="G17" i="48"/>
  <c r="G10" i="48"/>
  <c r="G13" i="48"/>
  <c r="G12" i="48"/>
  <c r="G15" i="48"/>
  <c r="O26" i="20"/>
  <c r="Q18" i="20"/>
  <c r="Q26" i="20"/>
  <c r="D26" i="20"/>
  <c r="D23" i="20"/>
  <c r="Q23" i="20"/>
  <c r="D37" i="50"/>
  <c r="F38" i="20"/>
  <c r="D35" i="50"/>
  <c r="F37" i="20"/>
  <c r="O29" i="20"/>
  <c r="O30" i="20" s="1"/>
  <c r="D30" i="20" s="1"/>
  <c r="D29" i="50"/>
  <c r="J7" i="53"/>
  <c r="J9" i="53" s="1"/>
  <c r="H75" i="52"/>
  <c r="G75" i="52"/>
  <c r="I7" i="53"/>
  <c r="I9" i="53" s="1"/>
  <c r="D12" i="20"/>
  <c r="C25" i="48" l="1"/>
  <c r="C26" i="48" s="1"/>
  <c r="D26" i="48" s="1"/>
  <c r="G34" i="20"/>
  <c r="AR12" i="39"/>
  <c r="G46" i="20"/>
  <c r="G47" i="20" s="1"/>
  <c r="F46" i="20"/>
  <c r="F47" i="20" s="1"/>
  <c r="E46" i="20"/>
  <c r="E47" i="20" s="1"/>
  <c r="D46" i="20"/>
  <c r="G49" i="20"/>
  <c r="F49" i="20"/>
  <c r="E49" i="20"/>
  <c r="D49" i="20"/>
  <c r="J5" i="54"/>
  <c r="H4" i="50"/>
  <c r="H8" i="50" s="1"/>
  <c r="C7" i="57"/>
  <c r="J7" i="57" s="1"/>
  <c r="D23" i="57"/>
  <c r="J5" i="57"/>
  <c r="C7" i="54"/>
  <c r="J7" i="54" s="1"/>
  <c r="P12" i="20"/>
  <c r="Q12" i="20" s="1"/>
  <c r="D23" i="50"/>
  <c r="G21" i="48"/>
  <c r="H43" i="20"/>
  <c r="D44" i="20" s="1"/>
  <c r="H45" i="20"/>
  <c r="F39" i="20"/>
  <c r="D38" i="50"/>
  <c r="D40" i="50" s="1"/>
  <c r="Q29" i="20"/>
  <c r="D29" i="20"/>
  <c r="H23" i="57" l="1"/>
  <c r="C23" i="54"/>
  <c r="J23" i="54" s="1"/>
  <c r="C23" i="57"/>
  <c r="P30" i="20"/>
  <c r="Q30" i="20" s="1"/>
  <c r="G44" i="20"/>
  <c r="F44" i="20"/>
  <c r="E44" i="20"/>
  <c r="G51" i="20"/>
  <c r="E51" i="20"/>
  <c r="F11" i="48"/>
  <c r="F51" i="20"/>
  <c r="H49" i="20"/>
  <c r="F50" i="20" s="1"/>
  <c r="H46" i="20"/>
  <c r="H47" i="20" s="1"/>
  <c r="F48" i="20" s="1"/>
  <c r="D47" i="20"/>
  <c r="G25" i="57" l="1"/>
  <c r="F25" i="57"/>
  <c r="E25" i="57"/>
  <c r="D25" i="57"/>
  <c r="J23" i="57"/>
  <c r="E50" i="20"/>
  <c r="G50" i="20"/>
  <c r="F6" i="48"/>
  <c r="E48" i="20"/>
  <c r="F17" i="48"/>
  <c r="F13" i="48"/>
  <c r="G48" i="20"/>
  <c r="F14" i="48"/>
  <c r="F8" i="48"/>
  <c r="F10" i="48"/>
  <c r="F9" i="48"/>
  <c r="F7" i="48"/>
  <c r="F16" i="48"/>
  <c r="D51" i="20"/>
  <c r="D48" i="20"/>
  <c r="D50" i="20"/>
  <c r="F5" i="48"/>
  <c r="H51" i="20"/>
  <c r="F12" i="48"/>
  <c r="F19" i="48"/>
  <c r="F18" i="48"/>
  <c r="F4" i="48"/>
  <c r="F15" i="48"/>
  <c r="F3" i="48"/>
  <c r="H25" i="57" l="1"/>
  <c r="F21" i="48"/>
</calcChain>
</file>

<file path=xl/sharedStrings.xml><?xml version="1.0" encoding="utf-8"?>
<sst xmlns="http://schemas.openxmlformats.org/spreadsheetml/2006/main" count="3428" uniqueCount="1253">
  <si>
    <t>COMMUNITY EMPOWERMENT</t>
  </si>
  <si>
    <t>Acct</t>
  </si>
  <si>
    <t>Code</t>
  </si>
  <si>
    <t>Sub Total</t>
  </si>
  <si>
    <t>GRAND TOTAL</t>
  </si>
  <si>
    <t>SUMMARY</t>
  </si>
  <si>
    <t>Quarterly planned expenditure (in Rs.)</t>
  </si>
  <si>
    <t>Q1</t>
  </si>
  <si>
    <t>Q2</t>
  </si>
  <si>
    <t>Q3</t>
  </si>
  <si>
    <t>Q4</t>
  </si>
  <si>
    <t>AWP&amp;B (in Rs.)</t>
  </si>
  <si>
    <t>Activity</t>
  </si>
  <si>
    <t>Component</t>
  </si>
  <si>
    <t>Unit</t>
  </si>
  <si>
    <t>Amount</t>
  </si>
  <si>
    <t>LS</t>
  </si>
  <si>
    <t>Total</t>
  </si>
  <si>
    <t>Unit cost (in Rs.)</t>
  </si>
  <si>
    <t xml:space="preserve">No. of Unit </t>
  </si>
  <si>
    <t>Acct. Code</t>
  </si>
  <si>
    <t xml:space="preserve">   AWP&amp;B </t>
  </si>
  <si>
    <t>Unit Cost (In Rs.)</t>
  </si>
  <si>
    <t>No. of Unit</t>
  </si>
  <si>
    <t xml:space="preserve">Acct code </t>
  </si>
  <si>
    <t>Amount               (In Rs.)</t>
  </si>
  <si>
    <t>No of Unit</t>
  </si>
  <si>
    <t xml:space="preserve">Amount (In Rs) </t>
  </si>
  <si>
    <t>unit Cost (In Rs.)</t>
  </si>
  <si>
    <t>Monitoring &amp; Knoweldge Management</t>
  </si>
  <si>
    <t xml:space="preserve">No. of unit </t>
  </si>
  <si>
    <t xml:space="preserve">Amount (In Rs.) </t>
  </si>
  <si>
    <t>village</t>
  </si>
  <si>
    <t>unit cost</t>
  </si>
  <si>
    <t>Internal audit</t>
  </si>
  <si>
    <t>Unit Cost</t>
  </si>
  <si>
    <t xml:space="preserve"> </t>
  </si>
  <si>
    <t>TOTAL</t>
  </si>
  <si>
    <t>Quarterly planned expenditure (in Rs)</t>
  </si>
  <si>
    <t>year</t>
  </si>
  <si>
    <t>SPMU</t>
  </si>
  <si>
    <t>Com-
ponent</t>
  </si>
  <si>
    <t>No. of unit</t>
  </si>
  <si>
    <t>Khunti</t>
  </si>
  <si>
    <t>Gumla</t>
  </si>
  <si>
    <t>Lohardaga</t>
  </si>
  <si>
    <t>Latehar</t>
  </si>
  <si>
    <t>Simdega</t>
  </si>
  <si>
    <t>East Singhbhum</t>
  </si>
  <si>
    <t>West Singhbhum</t>
  </si>
  <si>
    <t>Saraikhela Kharsawan</t>
  </si>
  <si>
    <t>Godda</t>
  </si>
  <si>
    <t>Dumka</t>
  </si>
  <si>
    <t>Jamtara</t>
  </si>
  <si>
    <t>Pakur</t>
  </si>
  <si>
    <t>Sahibgang</t>
  </si>
  <si>
    <t>Acct Code</t>
  </si>
  <si>
    <t>Amount (In Rs.)</t>
  </si>
  <si>
    <t>Sl. No.</t>
  </si>
  <si>
    <t>Community Empowerment</t>
  </si>
  <si>
    <t>Quarterly planned unit</t>
  </si>
  <si>
    <t>Quarterly planned Unit</t>
  </si>
  <si>
    <t>Quarterly planned  Unit</t>
  </si>
  <si>
    <t>Community Institutions Development</t>
  </si>
  <si>
    <t>MPA</t>
  </si>
  <si>
    <t>pers_month</t>
  </si>
  <si>
    <t>pers_days</t>
  </si>
  <si>
    <t>persons</t>
  </si>
  <si>
    <t>Stregthening SHGs and Rural Finance</t>
  </si>
  <si>
    <t>SHG</t>
  </si>
  <si>
    <t>person</t>
  </si>
  <si>
    <t>study</t>
  </si>
  <si>
    <t>Late marriage incentives to girls</t>
  </si>
  <si>
    <t>lumpsum</t>
  </si>
  <si>
    <t xml:space="preserve">Land treatment /g </t>
  </si>
  <si>
    <t>ha</t>
  </si>
  <si>
    <t xml:space="preserve">Irrigation structures /h </t>
  </si>
  <si>
    <t>farmers</t>
  </si>
  <si>
    <t>Nutrition needs assessment</t>
  </si>
  <si>
    <t>GP</t>
  </si>
  <si>
    <t>CSP</t>
  </si>
  <si>
    <t>pers_day</t>
  </si>
  <si>
    <t>Goat rearing unit (5+1) including shed</t>
  </si>
  <si>
    <t>Preparation of Feasibility Reports</t>
  </si>
  <si>
    <t>per MPA</t>
  </si>
  <si>
    <t>Collective</t>
  </si>
  <si>
    <t>Promotion of Livelihoods collectives</t>
  </si>
  <si>
    <t>collective</t>
  </si>
  <si>
    <t>Infrastructure and equipment</t>
  </si>
  <si>
    <t>Natural Resources Management and Livelihoods Improvement</t>
  </si>
  <si>
    <t xml:space="preserve"> Natural Resources Management and Livelihoods Improvement</t>
  </si>
  <si>
    <t>Community Infrastructure and Drudgery reduction.</t>
  </si>
  <si>
    <t>Toilets</t>
  </si>
  <si>
    <t>each</t>
  </si>
  <si>
    <t>Housing units</t>
  </si>
  <si>
    <t>CC road in villages /a</t>
  </si>
  <si>
    <t>km</t>
  </si>
  <si>
    <t>Multi-purpose community hall</t>
  </si>
  <si>
    <t>set</t>
  </si>
  <si>
    <t>Drudgery Reduction</t>
  </si>
  <si>
    <t>Each</t>
  </si>
  <si>
    <t>Maintenance of Vehicles/Motor Cycles etc</t>
  </si>
  <si>
    <t>Air conditioners</t>
  </si>
  <si>
    <t>Genset, silent mode</t>
  </si>
  <si>
    <t>Invertors</t>
  </si>
  <si>
    <t>Furniture set</t>
  </si>
  <si>
    <t>1. Surveys and studies</t>
  </si>
  <si>
    <t>RIMS baseline, MTR and endline</t>
  </si>
  <si>
    <t>survey</t>
  </si>
  <si>
    <t>Annual outcome survey</t>
  </si>
  <si>
    <t>Subtotal Surveys and studies</t>
  </si>
  <si>
    <t/>
  </si>
  <si>
    <t>Statutory audits</t>
  </si>
  <si>
    <t>Subtotal Audits</t>
  </si>
  <si>
    <t>Staff recruitment expenses</t>
  </si>
  <si>
    <t>Subtotal Technical assistance</t>
  </si>
  <si>
    <t>State Programme Director</t>
  </si>
  <si>
    <t>Deputy Programme Director</t>
  </si>
  <si>
    <t>Senior Engineer</t>
  </si>
  <si>
    <t>Manager Finance</t>
  </si>
  <si>
    <t>Project Assistant MIS</t>
  </si>
  <si>
    <t>Executive Assistants</t>
  </si>
  <si>
    <t>Deputation Allowance</t>
  </si>
  <si>
    <t>House Rent Allowances(HRA)</t>
  </si>
  <si>
    <t>Medical/Health/Accident Insurance Allowances)</t>
  </si>
  <si>
    <t>Communication Allowances</t>
  </si>
  <si>
    <t>Statutory  provision(EPF)/f</t>
  </si>
  <si>
    <t>Insurance of Assets</t>
  </si>
  <si>
    <t>Arbitation Charges</t>
  </si>
  <si>
    <t>Hiring of Security Services</t>
  </si>
  <si>
    <t>Office operating expenses</t>
  </si>
  <si>
    <t>Ceiling fans</t>
  </si>
  <si>
    <t>Junior Agricultural Officer</t>
  </si>
  <si>
    <t>Travel allowance</t>
  </si>
  <si>
    <t>New Office buildings /a</t>
  </si>
  <si>
    <t>Renovation of existing buildings</t>
  </si>
  <si>
    <t>Camp offices /b</t>
  </si>
  <si>
    <t>No of units</t>
  </si>
  <si>
    <t>at state level</t>
  </si>
  <si>
    <t>meeting</t>
  </si>
  <si>
    <t>at MPA level /a</t>
  </si>
  <si>
    <t>Subtotal Monthly review meetings</t>
  </si>
  <si>
    <t>Subtotal Learning and sharing workshop</t>
  </si>
  <si>
    <t>Subtotal Review workshop</t>
  </si>
  <si>
    <t>RIMS and M&amp;E state level training</t>
  </si>
  <si>
    <t>RIMS and M&amp;E training at MPA level</t>
  </si>
  <si>
    <t>Annual Outcome survey training</t>
  </si>
  <si>
    <t>Subtotal Training</t>
  </si>
  <si>
    <t>M&amp;E support</t>
  </si>
  <si>
    <t>PME consultants</t>
  </si>
  <si>
    <t>Participatory M&amp;E consultant</t>
  </si>
  <si>
    <t>Funding Source</t>
  </si>
  <si>
    <t>ST &amp; SC DEVELOPMENT DEPARTMENT, GOVERNMENT OF ODISHA</t>
  </si>
  <si>
    <t>ODISHA PVTG EMPOWERMENT AND LIVELIHOODS IMPROVEMENT PROGRAMME</t>
  </si>
  <si>
    <t xml:space="preserve">INDIA:      </t>
  </si>
  <si>
    <t xml:space="preserve">AWPB:  </t>
  </si>
  <si>
    <t>Component: 1</t>
  </si>
  <si>
    <t xml:space="preserve">Subcomponent:1.1 </t>
  </si>
  <si>
    <t>Department</t>
  </si>
  <si>
    <t>Programme Management</t>
  </si>
  <si>
    <t>INDIA:</t>
  </si>
  <si>
    <t>Component: 4</t>
  </si>
  <si>
    <t xml:space="preserve"> Project management Unit</t>
  </si>
  <si>
    <t xml:space="preserve">Subcomponent:4.1 </t>
  </si>
  <si>
    <t xml:space="preserve"> Drudgery Reduction</t>
  </si>
  <si>
    <t>Component: 3</t>
  </si>
  <si>
    <t xml:space="preserve">Subcomponent:3.1 </t>
  </si>
  <si>
    <t>Community Infrastructure</t>
  </si>
  <si>
    <t>Component: 2</t>
  </si>
  <si>
    <t xml:space="preserve"> Livelihoods Improvement</t>
  </si>
  <si>
    <t xml:space="preserve">Subcomponent:2.3 </t>
  </si>
  <si>
    <t>Component:2</t>
  </si>
  <si>
    <t xml:space="preserve">Subcomponent:2.2 </t>
  </si>
  <si>
    <t>Land &amp; Water Resources Development</t>
  </si>
  <si>
    <t xml:space="preserve">Subcomponent:2.1 </t>
  </si>
  <si>
    <t xml:space="preserve"> Natural Resource Management</t>
  </si>
  <si>
    <t xml:space="preserve">   Stregthening SHGs and Rural Finance</t>
  </si>
  <si>
    <t>Unit Cost 
 (In Rs.)</t>
  </si>
  <si>
    <t>Amount in INR</t>
  </si>
  <si>
    <t>BDA,Mudulipada</t>
  </si>
  <si>
    <t>CBDA,Sunabeda</t>
  </si>
  <si>
    <t>DDA,Kudumuluguma</t>
  </si>
  <si>
    <t>DKDA,Chatikona</t>
  </si>
  <si>
    <t>DKDA,parsali</t>
  </si>
  <si>
    <t>KKDA,Belghar</t>
  </si>
  <si>
    <t>KKDA,Lanjigarh</t>
  </si>
  <si>
    <t>LDA,Morada</t>
  </si>
  <si>
    <t>LSDA,Puttasing</t>
  </si>
  <si>
    <t>LSDA,Serango</t>
  </si>
  <si>
    <t>PBDA,Jamardihi</t>
  </si>
  <si>
    <t>PBDA,Khutungaon</t>
  </si>
  <si>
    <t>PBDA,Rugudakudar</t>
  </si>
  <si>
    <t>SDA,Chandragiri</t>
  </si>
  <si>
    <t>TDA,Tumba</t>
  </si>
  <si>
    <t>HKMDA,Jasipur</t>
  </si>
  <si>
    <t>JDA,Gonasika</t>
  </si>
  <si>
    <t>PMU</t>
  </si>
  <si>
    <t>AWPB</t>
  </si>
  <si>
    <t>Total : Eighty-eight  crore four lakh fifteen thousand and eight four rupees only..</t>
  </si>
  <si>
    <t>GoO %</t>
  </si>
  <si>
    <t>IFAD %</t>
  </si>
  <si>
    <t>SCA-TSP %</t>
  </si>
  <si>
    <t>Article 275 %</t>
  </si>
  <si>
    <t>CCD %</t>
  </si>
  <si>
    <t>MGNERGA%</t>
  </si>
  <si>
    <t>NHM%</t>
  </si>
  <si>
    <t>Benificiary%</t>
  </si>
  <si>
    <t>Amount(INR)</t>
  </si>
  <si>
    <t>Source of Fund</t>
  </si>
  <si>
    <t>IFAD ( 80% )</t>
  </si>
  <si>
    <t>IFAD ( 100% )</t>
  </si>
  <si>
    <t>IFAD ( 50% )</t>
  </si>
  <si>
    <t>IFAD ( 80% ), BEN ( 10% )</t>
  </si>
  <si>
    <t>IFAD ( 80% ), BEN ( 20% )</t>
  </si>
  <si>
    <t>IFAD ( 80% ), BEN (10%)</t>
  </si>
  <si>
    <t>BEN ( 10% ), IFAD(80%)</t>
  </si>
  <si>
    <t>As per Cost Tab</t>
  </si>
  <si>
    <t>Operating cost to VDC</t>
  </si>
  <si>
    <t>Works</t>
  </si>
  <si>
    <t>Training &amp; Capacity Building</t>
  </si>
  <si>
    <t>Goods,Service ,Input</t>
  </si>
  <si>
    <t>Grants</t>
  </si>
  <si>
    <t>Total Investment Cost</t>
  </si>
  <si>
    <t>Salary &amp; Allowances</t>
  </si>
  <si>
    <t>Operating Cost</t>
  </si>
  <si>
    <t>Total Recurring Cost</t>
  </si>
  <si>
    <t>IFAD</t>
  </si>
  <si>
    <t xml:space="preserve"> Investment Cost</t>
  </si>
  <si>
    <t>Recurring Cost</t>
  </si>
  <si>
    <t>As Per Cost Tab</t>
  </si>
  <si>
    <t>NB:</t>
  </si>
  <si>
    <t>Field bunding</t>
  </si>
  <si>
    <t>Stone bunding</t>
  </si>
  <si>
    <t>SCT</t>
  </si>
  <si>
    <t>LBCD/LBS</t>
  </si>
  <si>
    <t>RMS/Earthen Bund</t>
  </si>
  <si>
    <t>Gully Control Structure</t>
  </si>
  <si>
    <t>ha.</t>
  </si>
  <si>
    <t>No</t>
  </si>
  <si>
    <t>rmt</t>
  </si>
  <si>
    <t>Mango Plantation</t>
  </si>
  <si>
    <t>Lemon Grass</t>
  </si>
  <si>
    <t>Hill Broom</t>
  </si>
  <si>
    <t>Litchi</t>
  </si>
  <si>
    <t>Orange</t>
  </si>
  <si>
    <t>Guava</t>
  </si>
  <si>
    <t>Onion</t>
  </si>
  <si>
    <t>Garlic</t>
  </si>
  <si>
    <t>Turmaric</t>
  </si>
  <si>
    <t>Ginger</t>
  </si>
  <si>
    <t>Horsegram</t>
  </si>
  <si>
    <t>DKDA,Parsali</t>
  </si>
  <si>
    <t>Brinjal</t>
  </si>
  <si>
    <t>Tomato</t>
  </si>
  <si>
    <t>Ivy guard</t>
  </si>
  <si>
    <t>Pointed Guard</t>
  </si>
  <si>
    <t>Spine Guard</t>
  </si>
  <si>
    <t>Check Dam</t>
  </si>
  <si>
    <t>Sweet Corn</t>
  </si>
  <si>
    <t>Brocoli</t>
  </si>
  <si>
    <t>Marigold</t>
  </si>
  <si>
    <t>Earthen GC</t>
  </si>
  <si>
    <t>Micro-Project Agency  Unit</t>
  </si>
  <si>
    <t>Cow Shed</t>
  </si>
  <si>
    <t>Hill Broom Binding</t>
  </si>
  <si>
    <t>mds</t>
  </si>
  <si>
    <t>Sweet Potato</t>
  </si>
  <si>
    <t>Goatery Shed</t>
  </si>
  <si>
    <t>Cabbage</t>
  </si>
  <si>
    <t>cauli flower</t>
  </si>
  <si>
    <t>Pumpkin</t>
  </si>
  <si>
    <t>RMT</t>
  </si>
  <si>
    <t>Percolation Tank</t>
  </si>
  <si>
    <t>Other Misc.works</t>
  </si>
  <si>
    <t>Floricultutre,Mushroom &amp; Commercial Crop</t>
  </si>
  <si>
    <t>NADEP Compost Pit</t>
  </si>
  <si>
    <t>NREGS(100 %)</t>
  </si>
  <si>
    <t>Others</t>
  </si>
  <si>
    <t>Beans</t>
  </si>
  <si>
    <t>Cashew New plus Maintenance</t>
  </si>
  <si>
    <t>Sesamam</t>
  </si>
  <si>
    <t>Vermin Compost</t>
  </si>
  <si>
    <t>Sunhemp</t>
  </si>
  <si>
    <t>Rennovation of Irrigation canal</t>
  </si>
  <si>
    <t>Hiring of Vehicles including POL</t>
  </si>
  <si>
    <t>Village</t>
  </si>
  <si>
    <t>%</t>
  </si>
  <si>
    <t>PVTG</t>
  </si>
  <si>
    <t>Okra</t>
  </si>
  <si>
    <t>cow pea/gourd</t>
  </si>
  <si>
    <t>CCD ( 100% )</t>
  </si>
  <si>
    <t>IFAD ( 75% ), BEN ( 10% )</t>
  </si>
  <si>
    <t xml:space="preserve">Plantation </t>
  </si>
  <si>
    <t>Sl. No</t>
  </si>
  <si>
    <t xml:space="preserve">Name of MPA </t>
  </si>
  <si>
    <t>NREGA ( 100% )</t>
  </si>
  <si>
    <t>Mixed Plantation</t>
  </si>
  <si>
    <t>BDA, Mudulipada</t>
  </si>
  <si>
    <t>CBDA, Sunabeda</t>
  </si>
  <si>
    <t>DDA, Kudumuluguma</t>
  </si>
  <si>
    <t>DKDA, Chatikona</t>
  </si>
  <si>
    <t xml:space="preserve">Chilly </t>
  </si>
  <si>
    <t>GoO</t>
  </si>
  <si>
    <t>Awareness Programme at Village level /f</t>
  </si>
  <si>
    <t>300,000</t>
  </si>
  <si>
    <t>45,000</t>
  </si>
  <si>
    <t>10,000</t>
  </si>
  <si>
    <t>household</t>
  </si>
  <si>
    <t>Hiring of Vehicles</t>
  </si>
  <si>
    <t>Laptop computers</t>
  </si>
  <si>
    <t>Desktop computers</t>
  </si>
  <si>
    <t>Printer, scanner, photocopier</t>
  </si>
  <si>
    <t>360 degree Camera with aceesories</t>
  </si>
  <si>
    <t>Mobile Phone / tablet /a</t>
  </si>
  <si>
    <t xml:space="preserve"> I. Investment Costs</t>
  </si>
  <si>
    <t>A. Buildings</t>
  </si>
  <si>
    <t>Subtotal Buildings</t>
  </si>
  <si>
    <t>Total Investment Costs</t>
  </si>
  <si>
    <t>II. Recurrent Costs</t>
  </si>
  <si>
    <t>A. Staff salary</t>
  </si>
  <si>
    <t>1. Contractual staff</t>
  </si>
  <si>
    <t>Project Managers</t>
  </si>
  <si>
    <t>Asst Engineer (Civil/Agricultural)</t>
  </si>
  <si>
    <t>Accountants Officer</t>
  </si>
  <si>
    <t>Social Mobiliser</t>
  </si>
  <si>
    <t>Data entry operators -MIS</t>
  </si>
  <si>
    <t>Peons-cum-Watchman (daily wage basis)</t>
  </si>
  <si>
    <t>Hardship Allowances</t>
  </si>
  <si>
    <t>Subtotal Contractual staff</t>
  </si>
  <si>
    <t>B. Office operating costs</t>
  </si>
  <si>
    <t>Advertisement / Publicity/documentation/photography</t>
  </si>
  <si>
    <t>Meetings</t>
  </si>
  <si>
    <t xml:space="preserve"> B. Vehicles and Equipment</t>
  </si>
  <si>
    <t xml:space="preserve">Total </t>
  </si>
  <si>
    <t>Per month</t>
  </si>
  <si>
    <t>4,000,000</t>
  </si>
  <si>
    <t>1,000,000</t>
  </si>
  <si>
    <t>500,000</t>
  </si>
  <si>
    <t>50,000</t>
  </si>
  <si>
    <t>1,500</t>
  </si>
  <si>
    <t>20,000</t>
  </si>
  <si>
    <t>150,000</t>
  </si>
  <si>
    <t>200,000</t>
  </si>
  <si>
    <t>60,000</t>
  </si>
  <si>
    <t>30,000</t>
  </si>
  <si>
    <t>25,000</t>
  </si>
  <si>
    <t>14,000</t>
  </si>
  <si>
    <t>100,000</t>
  </si>
  <si>
    <t>Sub Total Vehicles and Equipment</t>
  </si>
  <si>
    <t>sub total Office operating costs</t>
  </si>
  <si>
    <t>A. Monthly review meetings</t>
  </si>
  <si>
    <t>B. Learning and sharing workshop</t>
  </si>
  <si>
    <t>Quality workshop at MPA level /b</t>
  </si>
  <si>
    <t>Quality workshop at PMU level /c</t>
  </si>
  <si>
    <t>C. Review workshop</t>
  </si>
  <si>
    <t>D. Training</t>
  </si>
  <si>
    <t>E. Technical assistance</t>
  </si>
  <si>
    <t>F. Concurrent monitoring /f</t>
  </si>
  <si>
    <t>UNIT</t>
  </si>
  <si>
    <t>75,000</t>
  </si>
  <si>
    <t>120,000</t>
  </si>
  <si>
    <t>5,000,000</t>
  </si>
  <si>
    <t>A. Drugery reduction interventions</t>
  </si>
  <si>
    <t>Support to SHG for refilling  mechanism RF</t>
  </si>
  <si>
    <t>Subtotal Drugery reduction interventions</t>
  </si>
  <si>
    <t>Subtotal Tribal culture and values</t>
  </si>
  <si>
    <t>A. Vehicles and Equipment</t>
  </si>
  <si>
    <t>Subtotal Vehicles and Equipment</t>
  </si>
  <si>
    <t>B. Surveys, audits and TA</t>
  </si>
  <si>
    <t>Mid-line survey /c</t>
  </si>
  <si>
    <t>2. Audits</t>
  </si>
  <si>
    <t>Audits of VDC</t>
  </si>
  <si>
    <t>Preparation of Finance Manual /d</t>
  </si>
  <si>
    <t>Tally software (Renewal)</t>
  </si>
  <si>
    <t>3. Technical assistance</t>
  </si>
  <si>
    <t>NGO recruitment expenses</t>
  </si>
  <si>
    <t xml:space="preserve">Seminar/Conference </t>
  </si>
  <si>
    <t>Subtotal Surveys, audits and TA</t>
  </si>
  <si>
    <t>Programme Officer ( NRM)</t>
  </si>
  <si>
    <t>Manager (MIS and M&amp;E)</t>
  </si>
  <si>
    <t>Programme Officer(M&amp;E)</t>
  </si>
  <si>
    <t>Programme Officer ( CI &amp; RF)</t>
  </si>
  <si>
    <t>Manager GIS</t>
  </si>
  <si>
    <t>GIS Operator</t>
  </si>
  <si>
    <t>MPW 2</t>
  </si>
  <si>
    <t>Subtotal Staff salary</t>
  </si>
  <si>
    <t>Office rent</t>
  </si>
  <si>
    <t>2,500,000</t>
  </si>
  <si>
    <t>180,000</t>
  </si>
  <si>
    <t>15,000</t>
  </si>
  <si>
    <t>1,580,000</t>
  </si>
  <si>
    <t>A. Drinking water &amp; sanitation</t>
  </si>
  <si>
    <t>Subtotal Drinking water &amp; sanitation</t>
  </si>
  <si>
    <t>B. Housing &amp; habitat development</t>
  </si>
  <si>
    <t>Subtotal Housing &amp; habitat development</t>
  </si>
  <si>
    <t>C. Roads, electricity &amp; solar lighting</t>
  </si>
  <si>
    <t>Subtotal Roads, electricity &amp; solar lighting</t>
  </si>
  <si>
    <t>D. Social  infrastructure</t>
  </si>
  <si>
    <t>Subtotal Social  infrastructure</t>
  </si>
  <si>
    <t>E. Economic Infrastructure</t>
  </si>
  <si>
    <t>F. Agricultural machinery &amp; tools /b</t>
  </si>
  <si>
    <t>Seed storage bins</t>
  </si>
  <si>
    <t>Subtotal Agricultural machinery &amp; tools</t>
  </si>
  <si>
    <t>PMAY/BPGY ( 100% )</t>
  </si>
  <si>
    <t>CCD (100% )</t>
  </si>
  <si>
    <t>ART275 ( 100% )</t>
  </si>
  <si>
    <t>Subtotal Training CSP</t>
  </si>
  <si>
    <t>B. Support to CSPs in upscaling</t>
  </si>
  <si>
    <t>C. Livestock demonstrations</t>
  </si>
  <si>
    <t>Subtotal Livestock demonstrations</t>
  </si>
  <si>
    <t>D. Household production support</t>
  </si>
  <si>
    <t>Subtotal Household production support</t>
  </si>
  <si>
    <t>E. Setting up of Producers Collectives</t>
  </si>
  <si>
    <t>Hand-holding support</t>
  </si>
  <si>
    <t>Subtotal Setting up of Producers Collectives</t>
  </si>
  <si>
    <t>G. Support for Other Livelihood</t>
  </si>
  <si>
    <t>400,000</t>
  </si>
  <si>
    <t>A. Food security</t>
  </si>
  <si>
    <t>Subtotal PTG Food production system</t>
  </si>
  <si>
    <t>2. Farmers Field Schools, FFS</t>
  </si>
  <si>
    <t>Subtotal Food security</t>
  </si>
  <si>
    <t>B. Nutrition security</t>
  </si>
  <si>
    <t>1. Nutrition-dense crop diversification</t>
  </si>
  <si>
    <t>Subtotal Agriculture Training</t>
  </si>
  <si>
    <t>Training,workshop, review meetings /f</t>
  </si>
  <si>
    <t>C. Natural Resource Management</t>
  </si>
  <si>
    <t>Farmers share for PVTG/STs for various items /k</t>
  </si>
  <si>
    <t>1. SHG mapping &amp; promotion</t>
  </si>
  <si>
    <t>Subtotal SHG mapping &amp; promotion</t>
  </si>
  <si>
    <t>Subtotal SHG formation &amp; strengthening</t>
  </si>
  <si>
    <t>B. Training programme on SHG Led institutions</t>
  </si>
  <si>
    <t>1. SHG functioning</t>
  </si>
  <si>
    <t>Subtotal SHG functioning</t>
  </si>
  <si>
    <t>State level Training to staff of MPA &amp; NGO /e</t>
  </si>
  <si>
    <t>GPLF level Training to SHG members on Financial management etc /g</t>
  </si>
  <si>
    <t>Training materials</t>
  </si>
  <si>
    <t>Subtotal Financial management with financial literacy</t>
  </si>
  <si>
    <t>3. Gender and Nutrition training</t>
  </si>
  <si>
    <t>Subtotal Training programme on SHG Led institutions</t>
  </si>
  <si>
    <t>1. Functioning of CLF/GPLF /i</t>
  </si>
  <si>
    <t>State level Training to staff of MPA &amp; NGO</t>
  </si>
  <si>
    <t>MPA/NGO level Accounting training to book keeper &amp; 3 office bearer of each GPLF /j</t>
  </si>
  <si>
    <t>MIS support to MPA</t>
  </si>
  <si>
    <t>Subtotal Functioning of CLF/GPLF</t>
  </si>
  <si>
    <t xml:space="preserve">  training for the leaders /l</t>
  </si>
  <si>
    <t>Training to GPLF memebrs on vision building etc /m</t>
  </si>
  <si>
    <t>Subtotal GPLF building &amp; strenthening</t>
  </si>
  <si>
    <t>Revolving Funds at GPLF Level</t>
  </si>
  <si>
    <t>D. Nutrition and social issues</t>
  </si>
  <si>
    <t>1. Dal Poshak banks</t>
  </si>
  <si>
    <t>Dal Bank equipment /q</t>
  </si>
  <si>
    <t>Supply of Dal /r</t>
  </si>
  <si>
    <t>Supply of pulses seed for multiplication /s</t>
  </si>
  <si>
    <t>Subtotal Dal Poshak banks</t>
  </si>
  <si>
    <t>2. Marriage incentives /t</t>
  </si>
  <si>
    <t>Person _days</t>
  </si>
  <si>
    <t>PL S</t>
  </si>
  <si>
    <t>Lumpsum</t>
  </si>
  <si>
    <t>500</t>
  </si>
  <si>
    <t>2,000</t>
  </si>
  <si>
    <t>5,250</t>
  </si>
  <si>
    <t>A. Service provider contracts (NGO) /a</t>
  </si>
  <si>
    <t>B. PMU Level Training &amp; Exposure visit</t>
  </si>
  <si>
    <t xml:space="preserve">Exposure visit to Outside state on different themes for 5 days	</t>
  </si>
  <si>
    <t>Exposure visit to inside state on different themes for 3 days	 /b</t>
  </si>
  <si>
    <t>Subtotal PMU Level Training &amp; Exposure visit</t>
  </si>
  <si>
    <t>D. CRP training</t>
  </si>
  <si>
    <t>Subtotal CRP training</t>
  </si>
  <si>
    <t>E. TOT Training module</t>
  </si>
  <si>
    <t>1. Hiring of Resource Agency</t>
  </si>
  <si>
    <t>Imparting ToT &amp; developing training Modules</t>
  </si>
  <si>
    <t>Knowledge Management &amp; IGA</t>
  </si>
  <si>
    <t>Arrangement of training &amp; other related Expd.</t>
  </si>
  <si>
    <t>Subtotal Hiring of Resource Agency</t>
  </si>
  <si>
    <t>F. Training VDA / VDC members</t>
  </si>
  <si>
    <t>Subtotal Training VDA / VDC members</t>
  </si>
  <si>
    <t>G. Village development</t>
  </si>
  <si>
    <t>Subtotal Village development</t>
  </si>
  <si>
    <t>IFAD ( 80%)</t>
  </si>
  <si>
    <t xml:space="preserve">Person days </t>
  </si>
  <si>
    <t>water melon</t>
  </si>
  <si>
    <t>Mixed Plantation mentainnance</t>
  </si>
  <si>
    <t>Mango Plantation Mentainance 1ST YR</t>
  </si>
  <si>
    <t>Mango Plantation Mentainance 2ND YR</t>
  </si>
  <si>
    <t>Cashew Plantation Mentainance 1ST YR</t>
  </si>
  <si>
    <t>Cashew Plantation Mentainance 2nd YR</t>
  </si>
  <si>
    <t>Sub Total Floricultutre</t>
  </si>
  <si>
    <t xml:space="preserve">Sub Total NRM </t>
  </si>
  <si>
    <t>Entry Point activity</t>
  </si>
  <si>
    <t>Sub Total Late marriage incentives</t>
  </si>
  <si>
    <t>CCD-(100 % )</t>
  </si>
  <si>
    <t>IFAD ( 80 % )</t>
  </si>
  <si>
    <t xml:space="preserve">Study </t>
  </si>
  <si>
    <t xml:space="preserve">Subtotal Nutrition Security </t>
  </si>
  <si>
    <t>Sub Total Office operating costs</t>
  </si>
  <si>
    <t>GPLF level Training to Leaders on various themes /k</t>
  </si>
  <si>
    <t>person_days</t>
  </si>
  <si>
    <t>Programme Officer ( CB, Gender &amp; Nutrition)</t>
  </si>
  <si>
    <t>System analyst</t>
  </si>
  <si>
    <t>VDC</t>
  </si>
  <si>
    <t>Accountants- 1 Nos</t>
  </si>
  <si>
    <t>Hiring of HR agency for PMU &amp; MPA /consultant</t>
  </si>
  <si>
    <t>Obligatory provisions (Annual Cash incentive , leave encashment etc.)</t>
  </si>
  <si>
    <t>Workshop/Speciallised Meeting/Training etc. /e</t>
  </si>
  <si>
    <t>Ceiling/wall mounting  fans</t>
  </si>
  <si>
    <t>Livelihoods Improvement</t>
  </si>
  <si>
    <t>Food &amp; Nutrition Security</t>
  </si>
  <si>
    <t>Programme Management Unit</t>
  </si>
  <si>
    <t>Micro Project Agency Unit</t>
  </si>
  <si>
    <t>Monitoring, Evaluation and KM</t>
  </si>
  <si>
    <t>IFAD ( 80% ), BEN (20%)</t>
  </si>
  <si>
    <t>C. Policy initiatives &amp; Social Security</t>
  </si>
  <si>
    <t>Pradhan Mantri Jeeban Jyoti Bima Yojana (PMJJBY)</t>
  </si>
  <si>
    <t>Pradhan Mantri Jeeban Surakshya Bima Yojana (PMJSBY)</t>
  </si>
  <si>
    <t>Pradhan Mantri Sishu Vikash Yojana (PMSVY)</t>
  </si>
  <si>
    <t>CCD (100%)</t>
  </si>
  <si>
    <t>SCA (100%)</t>
  </si>
  <si>
    <t>Subtotal Policy initiatives &amp; Social Security</t>
  </si>
  <si>
    <t xml:space="preserve">SCA (100 %) </t>
  </si>
  <si>
    <t xml:space="preserve">No </t>
  </si>
  <si>
    <t xml:space="preserve">sprinkler beneficiary contribution CCD </t>
  </si>
  <si>
    <t xml:space="preserve">Drip Beneficiary contribution CCD </t>
  </si>
  <si>
    <t xml:space="preserve">MGNREGA (100 %) </t>
  </si>
  <si>
    <t xml:space="preserve">Ghat Cutting roads CCD </t>
  </si>
  <si>
    <t xml:space="preserve">Provisioning of Boat CCD </t>
  </si>
  <si>
    <t xml:space="preserve">Mobile Tower CCD </t>
  </si>
  <si>
    <t>SCA (100 %)</t>
  </si>
  <si>
    <t>Sub Total Economic Infrastructure</t>
  </si>
  <si>
    <t xml:space="preserve">Creche-cum-NRC Fixed Cost </t>
  </si>
  <si>
    <t>Creche Operational Cost</t>
  </si>
  <si>
    <t>Incentives to Mothers Group /SHGs for cooking , serving , cleaning</t>
  </si>
  <si>
    <t>Utensil set for Spot Feeding Centre</t>
  </si>
  <si>
    <t>Fuelwoods/Gas othewrs'</t>
  </si>
  <si>
    <t>Engagement of temporary contractual Nutrition Cordinator in MPAs</t>
  </si>
  <si>
    <t>IFAD (80 %)</t>
  </si>
  <si>
    <t>Adult Literacy Unit</t>
  </si>
  <si>
    <t>vdc</t>
  </si>
  <si>
    <t>Working shed for Producer Groups and business activity centre for NTFP/MFP/SAP etc.  /k</t>
  </si>
  <si>
    <t>Information-cum-Culture  Centre IFAD</t>
  </si>
  <si>
    <t>Information-cum-Culture  Centre CCD</t>
  </si>
  <si>
    <t>Budget</t>
  </si>
  <si>
    <t>Solar Grid CCD</t>
  </si>
  <si>
    <t>CCD (100 %)</t>
  </si>
  <si>
    <t>IFAD (80%)</t>
  </si>
  <si>
    <t xml:space="preserve">F. Support for NTFP marketing/Cluster Development </t>
  </si>
  <si>
    <t xml:space="preserve">Sub Total Support for NTFP marketing/Cluster Development </t>
  </si>
  <si>
    <t>Culvert/Cause Weir/Cdworks ART</t>
  </si>
  <si>
    <t xml:space="preserve">Lac Cultivation </t>
  </si>
  <si>
    <t>MGNRGA(100 %)</t>
  </si>
  <si>
    <t>Other Vegetables/Crops</t>
  </si>
  <si>
    <t>OLM Meetings</t>
  </si>
  <si>
    <t xml:space="preserve">Office operating expenses/printing Stationery etc </t>
  </si>
  <si>
    <t>Interpretation Centre &amp; culture Complex CCD</t>
  </si>
  <si>
    <t>Additonal funding over rural housing for preservation of traditional architecture CCD</t>
  </si>
  <si>
    <t>Gravity/Borewell water supply CCD</t>
  </si>
  <si>
    <t>OTH (100 %)</t>
  </si>
  <si>
    <t xml:space="preserve">Education infrastructure </t>
  </si>
  <si>
    <t>Office Furnishing /Renovation</t>
  </si>
  <si>
    <t>.</t>
  </si>
  <si>
    <t>Total Budget in Crore</t>
  </si>
  <si>
    <t xml:space="preserve">Printer, scanner, photocopier / Xerox </t>
  </si>
  <si>
    <t>Earthen Canal/Field chamnnel etc.</t>
  </si>
  <si>
    <t>Rennovation/ New  WHS</t>
  </si>
  <si>
    <t xml:space="preserve">Dug well </t>
  </si>
  <si>
    <t xml:space="preserve">Farm Pond </t>
  </si>
  <si>
    <t xml:space="preserve">Rennovation &amp; New of diversion wire/Check dam </t>
  </si>
  <si>
    <t>Other equipment /TV/etc. b</t>
  </si>
  <si>
    <t xml:space="preserve">person </t>
  </si>
  <si>
    <t xml:space="preserve">Sub total Other Livelihood </t>
  </si>
  <si>
    <t>Diversion drain</t>
  </si>
  <si>
    <t>Ha</t>
  </si>
  <si>
    <t>RKVY(100 %)</t>
  </si>
  <si>
    <t>RKVY</t>
  </si>
  <si>
    <t>RKVY (100%)</t>
  </si>
  <si>
    <t xml:space="preserve">RKVY training </t>
  </si>
  <si>
    <t xml:space="preserve">Earthen road </t>
  </si>
  <si>
    <t xml:space="preserve">Ghat Cutting </t>
  </si>
  <si>
    <t xml:space="preserve">km </t>
  </si>
  <si>
    <t>CCD(100)</t>
  </si>
  <si>
    <t xml:space="preserve">Mo bagicha </t>
  </si>
  <si>
    <t xml:space="preserve">SMC / Boundary trench </t>
  </si>
  <si>
    <t xml:space="preserve">WAT </t>
  </si>
  <si>
    <t xml:space="preserve">Gabion </t>
  </si>
  <si>
    <t xml:space="preserve">earthen Morum road </t>
  </si>
  <si>
    <t>HH</t>
  </si>
  <si>
    <t>Duckery Cluster 10 bird unit/HH)</t>
  </si>
  <si>
    <t>Support for SHG, Equipment for NTFP/MFP/SAP collection</t>
  </si>
  <si>
    <t>C. MPA &amp; NGO staff including CRP exposure / Training</t>
  </si>
  <si>
    <t>Vermin Compost-making /MGNREGS</t>
  </si>
  <si>
    <t>MPA level Training to CRPs on CLF/GPLF</t>
  </si>
  <si>
    <t>IFAD ( 80% ), GoO (20%</t>
  </si>
  <si>
    <t>IFAD ( 80% ), GoO (10%), BEN ( 10% )</t>
  </si>
  <si>
    <t>IFAD ( 80% ), CCD (20%)</t>
  </si>
  <si>
    <t>Collaboration with ICRISAT</t>
  </si>
  <si>
    <t>Ref.</t>
  </si>
  <si>
    <t>Promotion of Goatery Cluster in 1  villages ( 5 goats per HH and total 20 HH  in one cluster with 1 bucks ) SCA</t>
  </si>
  <si>
    <t xml:space="preserve">Convergecne </t>
  </si>
  <si>
    <t>Beneficiary</t>
  </si>
  <si>
    <t>Convergecne</t>
  </si>
  <si>
    <t>Sl No</t>
  </si>
  <si>
    <t>Scheme</t>
  </si>
  <si>
    <t>SCA-TSS</t>
  </si>
  <si>
    <t>Article-275 (1)</t>
  </si>
  <si>
    <t>CCD</t>
  </si>
  <si>
    <t>MGNREGS</t>
  </si>
  <si>
    <t xml:space="preserve">GPLF level Training to SHG members on many  subjects </t>
  </si>
  <si>
    <t xml:space="preserve">GPLF level Training to SHG Leaders on different themes </t>
  </si>
  <si>
    <t>Exposure cum training visit of CLF leaders to the best performing CLF/GPLF</t>
  </si>
  <si>
    <t>Litchi Maintenance 1 st Year</t>
  </si>
  <si>
    <t>Wheat</t>
  </si>
  <si>
    <t>Sericulture</t>
  </si>
  <si>
    <t>Vocational Training</t>
  </si>
  <si>
    <t>Dugwell with solar lifting</t>
  </si>
  <si>
    <t>no</t>
  </si>
  <si>
    <t>Power tillers based custom hiring/agro service centre /c</t>
  </si>
  <si>
    <t>POL for  Motor Cycles @Rs.2500/vehicle/month max.</t>
  </si>
  <si>
    <t xml:space="preserve">Airconditioner </t>
  </si>
  <si>
    <t xml:space="preserve">Pickup Van /Cold Store  Van CCD </t>
  </si>
  <si>
    <t>Small Vegtable  Cold Chamber</t>
  </si>
  <si>
    <t>Integrated farming / Integrated Pisciculture</t>
  </si>
  <si>
    <t>Handpounding rice unit with Motor fitted</t>
  </si>
  <si>
    <t>Mechanised Bambo &amp; sabai Craft suport unit</t>
  </si>
  <si>
    <t>Community Fuelwood reserves</t>
  </si>
  <si>
    <t>K Lime / Sweet Lime</t>
  </si>
  <si>
    <t>Yam / Elephant Foot Yam</t>
  </si>
  <si>
    <t>Establishment of processing unit/ Khajuri/ Rice flour mills/ Honey Processing Unit</t>
  </si>
  <si>
    <t xml:space="preserve"> Livelihoods linked Innovative activities </t>
  </si>
  <si>
    <t>Exposure visit on different themes including VDC members to other programme (inter district)</t>
  </si>
  <si>
    <t>Mo-sarakar cell (2 Nos of DEO)</t>
  </si>
  <si>
    <t>Organising meeting with defunct SHG members</t>
  </si>
  <si>
    <t>Nos</t>
  </si>
  <si>
    <t>State/ Cluster level Training to staff of MPA &amp; NGO including CRPs for 3 days</t>
  </si>
  <si>
    <t>MPA level Training of CRPs SHG book keeping (on field demonstration)</t>
  </si>
  <si>
    <t>C. Gender Rural Finance support to SHG led Institutions</t>
  </si>
  <si>
    <t>3. Gender Funding support to CLF/GPLF</t>
  </si>
  <si>
    <t>State level training programme on different theme/aspects</t>
  </si>
  <si>
    <t>Transportation &amp; other cost for orgnasing agriculture exposure (Rs.15000*34Unit)</t>
  </si>
  <si>
    <t>B. Land Rights Allocation- IFAD</t>
  </si>
  <si>
    <t>Pine Apple IFAD</t>
  </si>
  <si>
    <t>Banana-IFAD</t>
  </si>
  <si>
    <t>Amla-IFAD</t>
  </si>
  <si>
    <t>Sabai grass -IFAD</t>
  </si>
  <si>
    <t>Drumstick-IFAD</t>
  </si>
  <si>
    <t>Apple ber -IFAD</t>
  </si>
  <si>
    <t>Formation/organisation of FFS-IFAD</t>
  </si>
  <si>
    <t>Assessment of use and  nutrient value  of uncultivated foods - IFAD</t>
  </si>
  <si>
    <t>Cereal / millets crops development -IFAD</t>
  </si>
  <si>
    <t xml:space="preserve">Pulses, oilseeds, tubers development -IFAD  </t>
  </si>
  <si>
    <t>Vegetables-IFAD</t>
  </si>
  <si>
    <t>Mushroom New</t>
  </si>
  <si>
    <t>A. Training CSP - IFAD</t>
  </si>
  <si>
    <t>Backyard Poultry (20 bird unit) to 10 members in a VDC</t>
  </si>
  <si>
    <t xml:space="preserve">Goat rearing unit (5 does+1 buck)-low cost sheds </t>
  </si>
  <si>
    <t>Producer collectives</t>
  </si>
  <si>
    <t>Model Nursery/ Nursery/Nursery management - Working capital</t>
  </si>
  <si>
    <t>Support for Agril and allied cluster development, Processing &amp; Marketing</t>
  </si>
  <si>
    <t>Community Solar light / street light</t>
  </si>
  <si>
    <t>Household Solar lanterns/ Solar light</t>
  </si>
  <si>
    <t>Household drinking Water (Only material cost)</t>
  </si>
  <si>
    <t>Support to Traditional Costumes/Cultural Equipments</t>
  </si>
  <si>
    <t>Piped water conveyance : Water Harvesting Structure /Irrigation structure/Irrigation conveyance SCA</t>
  </si>
  <si>
    <t>Small cold storage IFAD</t>
  </si>
  <si>
    <t>Social Security for PVTG HH</t>
  </si>
  <si>
    <t>HHs</t>
  </si>
  <si>
    <t>Social Security for vulnerable HH</t>
  </si>
  <si>
    <t>Studies and surveys/ documentary</t>
  </si>
  <si>
    <t>High end Photo copier</t>
  </si>
  <si>
    <t>I.1</t>
  </si>
  <si>
    <t>I.2</t>
  </si>
  <si>
    <t>I.3</t>
  </si>
  <si>
    <t>I.4</t>
  </si>
  <si>
    <t>I.10</t>
  </si>
  <si>
    <t>I.5</t>
  </si>
  <si>
    <t>I.6</t>
  </si>
  <si>
    <t>I.7</t>
  </si>
  <si>
    <t>I.8</t>
  </si>
  <si>
    <t>I.9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</si>
  <si>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</si>
  <si>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</si>
  <si>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</si>
  <si>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</si>
  <si>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</si>
  <si>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</si>
  <si>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</si>
  <si>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</si>
  <si>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</si>
  <si>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</si>
  <si>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</si>
  <si>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</si>
  <si>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</si>
  <si>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</si>
  <si>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I.25</t>
  </si>
  <si>
    <t>I.26</t>
  </si>
  <si>
    <t>I.27</t>
  </si>
  <si>
    <t>I.28</t>
  </si>
  <si>
    <t>I.29</t>
  </si>
  <si>
    <t>I.30</t>
  </si>
  <si>
    <t>I.31</t>
  </si>
  <si>
    <t>I.32</t>
  </si>
  <si>
    <t>I.33</t>
  </si>
  <si>
    <t>I.34</t>
  </si>
  <si>
    <t>I.35</t>
  </si>
  <si>
    <t>I.36</t>
  </si>
  <si>
    <t>I.37</t>
  </si>
  <si>
    <t>I.38</t>
  </si>
  <si>
    <t>I.39</t>
  </si>
  <si>
    <t>I.40</t>
  </si>
  <si>
    <t>I.41</t>
  </si>
  <si>
    <t>I.42</t>
  </si>
  <si>
    <t>I.43</t>
  </si>
  <si>
    <t>I.44</t>
  </si>
  <si>
    <t>I.45</t>
  </si>
  <si>
    <t>I.46</t>
  </si>
  <si>
    <t>I.47</t>
  </si>
  <si>
    <t>I.48</t>
  </si>
  <si>
    <t>I.49</t>
  </si>
  <si>
    <t>I.50</t>
  </si>
  <si>
    <t>I.51</t>
  </si>
  <si>
    <t>I.52</t>
  </si>
  <si>
    <t>I.53</t>
  </si>
  <si>
    <t>I.54</t>
  </si>
  <si>
    <t>I.55</t>
  </si>
  <si>
    <t>I.57</t>
  </si>
  <si>
    <t>I.58</t>
  </si>
  <si>
    <t>I.59</t>
  </si>
  <si>
    <t>I.60</t>
  </si>
  <si>
    <t>I.61</t>
  </si>
  <si>
    <t>I.62</t>
  </si>
  <si>
    <t>I.63</t>
  </si>
  <si>
    <t>I.64</t>
  </si>
  <si>
    <t>I.65</t>
  </si>
  <si>
    <t>I.66</t>
  </si>
  <si>
    <t>I.67</t>
  </si>
  <si>
    <t>I.68</t>
  </si>
  <si>
    <t>I.69</t>
  </si>
  <si>
    <t>I.70</t>
  </si>
  <si>
    <t>I.71</t>
  </si>
  <si>
    <t>I.72</t>
  </si>
  <si>
    <t>SCA(100%)</t>
  </si>
  <si>
    <t>Source Creation-Water Harvesting Structure/Irrigation structure/Irrigation conveyance SCA</t>
  </si>
  <si>
    <t>RKVY %</t>
  </si>
  <si>
    <t>Land Levelling/development  - IFAD</t>
  </si>
  <si>
    <t>M.1</t>
  </si>
  <si>
    <t>M.3</t>
  </si>
  <si>
    <t>M.2</t>
  </si>
  <si>
    <t>M.4</t>
  </si>
  <si>
    <t>I.141</t>
  </si>
  <si>
    <t>Account Code</t>
  </si>
  <si>
    <t>Maize</t>
  </si>
  <si>
    <t>Ragi /smaller millets</t>
  </si>
  <si>
    <t>Paddy (Line Sowing, Critical Intervention)/ SRI</t>
  </si>
  <si>
    <t>Black Rice/Sala Phula /Aromatic</t>
  </si>
  <si>
    <t>Mustard</t>
  </si>
  <si>
    <t>Ground Nut</t>
  </si>
  <si>
    <t>Sun Flower</t>
  </si>
  <si>
    <t>Arhar</t>
  </si>
  <si>
    <t>Black Gram</t>
  </si>
  <si>
    <t>Green Gram</t>
  </si>
  <si>
    <t>Potato</t>
  </si>
  <si>
    <t>Pigeon  Pea(Chana)/Chick Pea</t>
  </si>
  <si>
    <t>Dangar Rani(Kating</t>
  </si>
  <si>
    <t>Tapioca</t>
  </si>
  <si>
    <t xml:space="preserve">Nursery </t>
  </si>
  <si>
    <t>I.73</t>
  </si>
  <si>
    <t>I.74</t>
  </si>
  <si>
    <t>I.75</t>
  </si>
  <si>
    <t>I.76</t>
  </si>
  <si>
    <t>I.77</t>
  </si>
  <si>
    <t>I.78</t>
  </si>
  <si>
    <t>I.79</t>
  </si>
  <si>
    <t>I.80</t>
  </si>
  <si>
    <t>I.81</t>
  </si>
  <si>
    <t>I.82</t>
  </si>
  <si>
    <t>I.83</t>
  </si>
  <si>
    <t>I.85</t>
  </si>
  <si>
    <t>I.84</t>
  </si>
  <si>
    <t>I.86</t>
  </si>
  <si>
    <t>I.87</t>
  </si>
  <si>
    <t>I.88</t>
  </si>
  <si>
    <t>I.89</t>
  </si>
  <si>
    <t>I.90</t>
  </si>
  <si>
    <t>I.91</t>
  </si>
  <si>
    <t>I.92</t>
  </si>
  <si>
    <t>I.93</t>
  </si>
  <si>
    <t>I.94</t>
  </si>
  <si>
    <t>I.95</t>
  </si>
  <si>
    <t>I.96</t>
  </si>
  <si>
    <t>I.97</t>
  </si>
  <si>
    <t>I.98</t>
  </si>
  <si>
    <t>I.99</t>
  </si>
  <si>
    <t>I.100</t>
  </si>
  <si>
    <t>I.101</t>
  </si>
  <si>
    <t>I.102</t>
  </si>
  <si>
    <t>I.103</t>
  </si>
  <si>
    <t>I.104</t>
  </si>
  <si>
    <t>I.105</t>
  </si>
  <si>
    <t>I.106</t>
  </si>
  <si>
    <t>I.107</t>
  </si>
  <si>
    <t>I.108</t>
  </si>
  <si>
    <t>I.109</t>
  </si>
  <si>
    <t>I.110</t>
  </si>
  <si>
    <t>I.111</t>
  </si>
  <si>
    <t>I.112</t>
  </si>
  <si>
    <t>I.113</t>
  </si>
  <si>
    <t>I.114</t>
  </si>
  <si>
    <t>I.115</t>
  </si>
  <si>
    <t>I.116</t>
  </si>
  <si>
    <t>I.117</t>
  </si>
  <si>
    <t>I.118</t>
  </si>
  <si>
    <t>I.119</t>
  </si>
  <si>
    <t>I.120</t>
  </si>
  <si>
    <t>I.121</t>
  </si>
  <si>
    <t>I.122</t>
  </si>
  <si>
    <t>I.123</t>
  </si>
  <si>
    <t>I.124</t>
  </si>
  <si>
    <t>I.125</t>
  </si>
  <si>
    <t>I.126</t>
  </si>
  <si>
    <t>I.127</t>
  </si>
  <si>
    <t>I.128</t>
  </si>
  <si>
    <t>I.129</t>
  </si>
  <si>
    <t>I.130</t>
  </si>
  <si>
    <t>I.131</t>
  </si>
  <si>
    <t>I.132</t>
  </si>
  <si>
    <t>I.133</t>
  </si>
  <si>
    <t>I.134</t>
  </si>
  <si>
    <t>I.135</t>
  </si>
  <si>
    <t>I.136</t>
  </si>
  <si>
    <t>I.137</t>
  </si>
  <si>
    <t>I.138</t>
  </si>
  <si>
    <t>I.139</t>
  </si>
  <si>
    <t>I.140</t>
  </si>
  <si>
    <t>I.142</t>
  </si>
  <si>
    <t>I.143</t>
  </si>
  <si>
    <t>I.144</t>
  </si>
  <si>
    <t>I.145</t>
  </si>
  <si>
    <t>I.146</t>
  </si>
  <si>
    <t>I.147</t>
  </si>
  <si>
    <t>I.148</t>
  </si>
  <si>
    <t xml:space="preserve">Animal health camps /User charges vaccine /fist aid mrdicine </t>
  </si>
  <si>
    <t>1 day Training to VDC Members on various Govt. Schemes / Programmes at MPA level</t>
  </si>
  <si>
    <t>Education Aids</t>
  </si>
  <si>
    <t xml:space="preserve">Sports &amp; Yoga </t>
  </si>
  <si>
    <t>DBI</t>
  </si>
  <si>
    <t>Banana -SCA</t>
  </si>
  <si>
    <t>Pine Apple SCA</t>
  </si>
  <si>
    <t>Developing Market Yard/Weighing scale / Vending Zone / New Haat SCA</t>
  </si>
  <si>
    <t>Promotion of SHG  Artisian and Micro Enterprise  SCA</t>
  </si>
  <si>
    <t>Promotion of agril /Horticulture production storage cum value addition center - SCA</t>
  </si>
  <si>
    <t>Household kitchen garden SCA</t>
  </si>
  <si>
    <t xml:space="preserve">IEC/ counciling/ </t>
  </si>
  <si>
    <t xml:space="preserve">Extension of Piped water conveyance system </t>
  </si>
  <si>
    <t>Piped water Source &amp;  conveyance system</t>
  </si>
  <si>
    <t>Ls</t>
  </si>
  <si>
    <t>Bike Ambulance</t>
  </si>
  <si>
    <t>5-T initiatives (display of signage) 10ftx8Ft- activity wise at VDC level (last 2017-18 to 2020-21) 1012</t>
  </si>
  <si>
    <t xml:space="preserve">each </t>
  </si>
  <si>
    <t>NTFP / SAP Drying Yard IFAD</t>
  </si>
  <si>
    <t>IFAD (50% ), GO (50%)</t>
  </si>
  <si>
    <t xml:space="preserve">Confidence Building Measures PVTG Villages </t>
  </si>
  <si>
    <t>Confidence Building Measures diffcult areas</t>
  </si>
  <si>
    <t>Papeya-SCA</t>
  </si>
  <si>
    <t>Land Reclamation</t>
  </si>
  <si>
    <t>Soil Testing</t>
  </si>
  <si>
    <t>IFAD ( 80% ),</t>
  </si>
  <si>
    <t>Drying Mat</t>
  </si>
  <si>
    <t xml:space="preserve">Subcomponent:4.2 </t>
  </si>
  <si>
    <t xml:space="preserve"> Micro Project Agency</t>
  </si>
  <si>
    <t xml:space="preserve">Component: 4 </t>
  </si>
  <si>
    <t xml:space="preserve">Subcomponent:4.3 </t>
  </si>
  <si>
    <t>Maintenance of computers system (AMC)</t>
  </si>
  <si>
    <t>Insurance of Assets/AMC</t>
  </si>
  <si>
    <t>Nutrition Resource Centre  -IFAD</t>
  </si>
  <si>
    <t>Total of Conv. &amp; Goo</t>
  </si>
  <si>
    <t>Funding sources</t>
  </si>
  <si>
    <t>Quarterly Plan</t>
  </si>
  <si>
    <t>PCR study / baseline survey for 1138 Newly identified PVTG villages</t>
  </si>
  <si>
    <t>study / Survey</t>
  </si>
  <si>
    <t xml:space="preserve">Exposure Visit programme of NCs after induction training at PMU to 4 different </t>
  </si>
  <si>
    <t>Difference</t>
  </si>
  <si>
    <t>Procurement Officer- Consultant</t>
  </si>
  <si>
    <t>Vetrinary Officer-Consultant</t>
  </si>
  <si>
    <t>PO Livelihoods &amp; convergene</t>
  </si>
  <si>
    <t>Various Thematic training to CRPS &amp; VDC members including AWPB, VDP, MGNREGS etc. /d</t>
  </si>
  <si>
    <t>Other provisions /Salary Enhancement/arrear salary  etc. / Obligatory provisions (Annual Cash incentive , leave encashment etc.)</t>
  </si>
  <si>
    <t>CSP/LIs</t>
  </si>
  <si>
    <t>Youth Dormitory</t>
  </si>
  <si>
    <t>Advertisement / Publicity(IEC) /Video documentation/Video documentation &amp; Airing of videos/Tribal festival/Publication  etc /i</t>
  </si>
  <si>
    <t>Households</t>
  </si>
  <si>
    <t>FARD (100%)</t>
  </si>
  <si>
    <t>FARD%</t>
  </si>
  <si>
    <t>FARD</t>
  </si>
  <si>
    <t xml:space="preserve">Animal Husbandry: Support to SHG Members @ Rs. 4000 per SHG Member ( 25 + 25 LIT 28 days Birds) </t>
  </si>
  <si>
    <t xml:space="preserve">Irrigation source Development and DBI/Piped water conveyance system CCD </t>
  </si>
  <si>
    <t xml:space="preserve">Diversion Based Irrigation /Small Irrigation Structure/ Borewell Based CCD </t>
  </si>
  <si>
    <t xml:space="preserve">WHS / Check dam watershed approach CCD </t>
  </si>
  <si>
    <t xml:space="preserve">Earthen Check Dams/ Runoff Management Structures CCD </t>
  </si>
  <si>
    <t xml:space="preserve">CCD(100 %) </t>
  </si>
  <si>
    <t>Ghat Cutting small CCD</t>
  </si>
  <si>
    <t xml:space="preserve">Operational cost of maternal Spot Feeding centres </t>
  </si>
  <si>
    <t>Operational cost of spot feeding centres from 3-6 years</t>
  </si>
  <si>
    <t xml:space="preserve">Each </t>
  </si>
  <si>
    <t>CCD(100%)</t>
  </si>
  <si>
    <t xml:space="preserve">Layer Desi Poultry -CCD </t>
  </si>
  <si>
    <t>CCD(100 %)</t>
  </si>
  <si>
    <t xml:space="preserve">Staff Quarter, office  new and Renovation </t>
  </si>
  <si>
    <t xml:space="preserve">Household Solar lanterns/ Solar light-CCD </t>
  </si>
  <si>
    <t>NTFP / SAP Drying Yard  CCD</t>
  </si>
  <si>
    <t>CCD  ( 100% )</t>
  </si>
  <si>
    <t>Land Development / Field Bunding/Diversion Bunds  @ 0.2 per ha CCD</t>
  </si>
  <si>
    <t>Traditional Costumes/Cultural Equipments/ Dharanigudi  CCD</t>
  </si>
  <si>
    <t>Ghat Cutting small SCA</t>
  </si>
  <si>
    <t xml:space="preserve">SCA(100 %) </t>
  </si>
  <si>
    <t xml:space="preserve">Running Capital Puffed Rice/stone grinding /  SCA </t>
  </si>
  <si>
    <t xml:space="preserve">Cultural cenre/Museum/Stair case/ MCU  CCD </t>
  </si>
  <si>
    <t xml:space="preserve">Rennovation of classroom / hostel / dinning/toilet &amp; bathroom/desk bench/ sports kit / coats  CCD </t>
  </si>
  <si>
    <t>Back Yard Poultry SCA</t>
  </si>
  <si>
    <t>Tractor based/Power tiller  costume hiring centre SCA</t>
  </si>
  <si>
    <t xml:space="preserve">VDC Members training at MPA level Quarterly </t>
  </si>
  <si>
    <t>Thematic exposure visits ofSHG members + CINO, RFO SM &amp; CRPs on SHG (3 visit x 17MPA x 15 members)</t>
  </si>
  <si>
    <t>Support to CSP-IGA</t>
  </si>
  <si>
    <t>Engagement of temporary contractual GP Nutrition Assistant in MPAs</t>
  </si>
  <si>
    <t>Creche workers / SHGMembers-15 days for a year at MPA level</t>
  </si>
  <si>
    <t>Training / exposure to GPNA on different aspects for a period of 13 days</t>
  </si>
  <si>
    <t>per center/yr</t>
  </si>
  <si>
    <t>SHG worksheds for Aggregation of NTFP/SAP</t>
  </si>
  <si>
    <t>2. SHG equipment: A/c books as per OLM format (Cash book, member pass book &amp; Minutes book)</t>
  </si>
  <si>
    <t xml:space="preserve"> (GoO &amp; IFAD)</t>
  </si>
  <si>
    <r>
      <t xml:space="preserve">Niger / </t>
    </r>
    <r>
      <rPr>
        <sz val="12"/>
        <rFont val="Calibri"/>
        <family val="2"/>
      </rPr>
      <t>Soyabean (Soyabean for Putasing)</t>
    </r>
  </si>
  <si>
    <t>New</t>
  </si>
  <si>
    <r>
      <t xml:space="preserve">Human Health Camp </t>
    </r>
    <r>
      <rPr>
        <sz val="10"/>
        <rFont val="Calibri"/>
        <family val="2"/>
      </rPr>
      <t xml:space="preserve">(CCD) </t>
    </r>
  </si>
  <si>
    <t>No of PVTG HHs</t>
  </si>
  <si>
    <t>GoO &amp; IFAD funds</t>
  </si>
  <si>
    <t>GoO &amp; IFAD</t>
  </si>
  <si>
    <t>% of funds allocation (GoO &amp; IFAD)</t>
  </si>
  <si>
    <t>% of funds allocation (Total)</t>
  </si>
  <si>
    <t>Total MPA GoO &amp; IFAD funds</t>
  </si>
  <si>
    <t>% of PVTG HHs</t>
  </si>
  <si>
    <t>Exposure &amp; Training of VDC members on different themes</t>
  </si>
  <si>
    <t>nos</t>
  </si>
  <si>
    <t>Training for livestock beneficiaries</t>
  </si>
  <si>
    <t>Veterinary tool kits for CSP &amp; LIs (vaccine carrier )</t>
  </si>
  <si>
    <t xml:space="preserve">Community infrastructure / drudgery reduction Maintenace </t>
  </si>
  <si>
    <t>Training CRPs for 1 days</t>
  </si>
  <si>
    <t>Farm implements (CHC)-7</t>
  </si>
  <si>
    <t>Extension of Household drinking water from existing sources (only material cost) -62</t>
  </si>
  <si>
    <t>Sacred Fencing /e-68</t>
  </si>
  <si>
    <t>Promotion/Revival of SHG (incentives to CRP) (600)</t>
  </si>
  <si>
    <t xml:space="preserve">State level training for PRI members 2 days for 500 members </t>
  </si>
  <si>
    <t xml:space="preserve">Cereal crops SRI for rice, millet ( APC Cluster) </t>
  </si>
  <si>
    <t xml:space="preserve">Pulses, oilseeds, tuber crops ( APC Cluster) </t>
  </si>
  <si>
    <t xml:space="preserve">Horticulture /d(APC Cluster) </t>
  </si>
  <si>
    <t xml:space="preserve"> land allocation (Geo Enabled Device)&amp; Dumpy Level</t>
  </si>
  <si>
    <t xml:space="preserve">Subtotal Land Rights Allocation: </t>
  </si>
  <si>
    <t>1. PVTG Food production system</t>
  </si>
  <si>
    <t>FFS</t>
  </si>
  <si>
    <t xml:space="preserve">Training for IGA CSP -(180 nos) </t>
  </si>
  <si>
    <t>Poultry mother units (Revival@89GP)/e</t>
  </si>
  <si>
    <t>Desktop / Laptop/GPS Camera-17 nos</t>
  </si>
  <si>
    <t>V sat with broadband connection &amp; Moneky cage-3</t>
  </si>
  <si>
    <t>Person</t>
  </si>
  <si>
    <t xml:space="preserve">Subtotal Rural Finance support to SHG led Institutions 650 </t>
  </si>
  <si>
    <t>Human resources costs- field level</t>
  </si>
  <si>
    <t>2. Behavioural Change in COVID, Health, Nutrition, sanitation &amp; hygeine</t>
  </si>
  <si>
    <t>Refresher Training for CSPs 2 days LI/VAW/CSP Agri-Horti</t>
  </si>
  <si>
    <t>Sunflower / Turmeric processing unit/Puffed Rice unit/ Oil Extraction Unit/ Food processing Unit</t>
  </si>
  <si>
    <t>IGA units for poorest of poor households (Unit cost Ranging from 20,000 to 50,000 INR depending upon BDP Avg. 30,000</t>
  </si>
  <si>
    <t>amc</t>
  </si>
  <si>
    <t>Installation of Travis for Veterinary Treatment</t>
  </si>
  <si>
    <r>
      <t xml:space="preserve">A. </t>
    </r>
    <r>
      <rPr>
        <b/>
        <sz val="12"/>
        <rFont val="Calibri"/>
        <family val="2"/>
      </rPr>
      <t>Gender Mainstream (SHG formation, strengthening)</t>
    </r>
  </si>
  <si>
    <r>
      <t xml:space="preserve">MPA level Training of CRPs </t>
    </r>
    <r>
      <rPr>
        <sz val="12"/>
        <rFont val="Calibri"/>
        <family val="2"/>
      </rPr>
      <t>(SHG, CLF, GPLF &amp; Gender) for  3 days</t>
    </r>
  </si>
  <si>
    <r>
      <t xml:space="preserve">2. Gender Financial management with financial </t>
    </r>
    <r>
      <rPr>
        <b/>
        <sz val="12"/>
        <rFont val="Calibri"/>
        <family val="2"/>
      </rPr>
      <t>literacy/awreness on RF</t>
    </r>
  </si>
  <si>
    <t>AWPB 2022-23</t>
  </si>
  <si>
    <t>C.1</t>
  </si>
  <si>
    <t>I.149</t>
  </si>
  <si>
    <t>I.150</t>
  </si>
  <si>
    <t>I.151</t>
  </si>
  <si>
    <t>I.152</t>
  </si>
  <si>
    <t>I.153</t>
  </si>
  <si>
    <t>I.154</t>
  </si>
  <si>
    <t>I.155</t>
  </si>
  <si>
    <t>I.156</t>
  </si>
  <si>
    <t>I.157</t>
  </si>
  <si>
    <t>I.158</t>
  </si>
  <si>
    <t>I.159</t>
  </si>
  <si>
    <t>I.160</t>
  </si>
  <si>
    <t>I.161</t>
  </si>
  <si>
    <t>I.162</t>
  </si>
  <si>
    <t>I.163</t>
  </si>
  <si>
    <t>I.165</t>
  </si>
  <si>
    <t>I.166</t>
  </si>
  <si>
    <t>I.167</t>
  </si>
  <si>
    <t>I.168</t>
  </si>
  <si>
    <t>I.169</t>
  </si>
  <si>
    <t>I.170</t>
  </si>
  <si>
    <t>I.171</t>
  </si>
  <si>
    <t>I.172</t>
  </si>
  <si>
    <t>I.173</t>
  </si>
  <si>
    <t>I.174</t>
  </si>
  <si>
    <t>I.175</t>
  </si>
  <si>
    <t>I.176</t>
  </si>
  <si>
    <t>I.177</t>
  </si>
  <si>
    <t>I.178</t>
  </si>
  <si>
    <t>I.179</t>
  </si>
  <si>
    <t>I.180</t>
  </si>
  <si>
    <t>I.181</t>
  </si>
  <si>
    <t>I.182</t>
  </si>
  <si>
    <t>I.183</t>
  </si>
  <si>
    <t>I.184</t>
  </si>
  <si>
    <t>I.185</t>
  </si>
  <si>
    <t>I.186</t>
  </si>
  <si>
    <t>I.187</t>
  </si>
  <si>
    <t>I.188</t>
  </si>
  <si>
    <t>I.189</t>
  </si>
  <si>
    <t>I.190</t>
  </si>
  <si>
    <t>I.191</t>
  </si>
  <si>
    <t>I.192</t>
  </si>
  <si>
    <t>I.193</t>
  </si>
  <si>
    <t>I.194</t>
  </si>
  <si>
    <t>I.195</t>
  </si>
  <si>
    <t>I.196</t>
  </si>
  <si>
    <t>I.197</t>
  </si>
  <si>
    <t>I.198</t>
  </si>
  <si>
    <t>I.199</t>
  </si>
  <si>
    <t>I.200</t>
  </si>
  <si>
    <t>I.201</t>
  </si>
  <si>
    <t>I.202</t>
  </si>
  <si>
    <t>I.203</t>
  </si>
  <si>
    <t>I.204</t>
  </si>
  <si>
    <t>I.205</t>
  </si>
  <si>
    <t>I.206</t>
  </si>
  <si>
    <t>I.207</t>
  </si>
  <si>
    <t>I.208</t>
  </si>
  <si>
    <t>I.209</t>
  </si>
  <si>
    <t>I.210</t>
  </si>
  <si>
    <t>I.211</t>
  </si>
  <si>
    <t>I.212</t>
  </si>
  <si>
    <t>I.213</t>
  </si>
  <si>
    <t>I.214</t>
  </si>
  <si>
    <t>I.215</t>
  </si>
  <si>
    <t>I.216</t>
  </si>
  <si>
    <t>I.217</t>
  </si>
  <si>
    <t>I.218</t>
  </si>
  <si>
    <t>I.219</t>
  </si>
  <si>
    <t>I.220</t>
  </si>
  <si>
    <t>I.221</t>
  </si>
  <si>
    <t>I.222</t>
  </si>
  <si>
    <t>I.223</t>
  </si>
  <si>
    <t>I.224</t>
  </si>
  <si>
    <t>I.225</t>
  </si>
  <si>
    <t>I.226</t>
  </si>
  <si>
    <t>I.227</t>
  </si>
  <si>
    <t>I.228</t>
  </si>
  <si>
    <t>I.229</t>
  </si>
  <si>
    <t>I.230</t>
  </si>
  <si>
    <t>I.231</t>
  </si>
  <si>
    <t>I.232</t>
  </si>
  <si>
    <t>I.233</t>
  </si>
  <si>
    <t>I.234</t>
  </si>
  <si>
    <t>I.235</t>
  </si>
  <si>
    <t>I.236</t>
  </si>
  <si>
    <t>I.237</t>
  </si>
  <si>
    <t>I.238</t>
  </si>
  <si>
    <t>I.239</t>
  </si>
  <si>
    <t>I.240</t>
  </si>
  <si>
    <t>I.241</t>
  </si>
  <si>
    <t>I.242</t>
  </si>
  <si>
    <t>I.243</t>
  </si>
  <si>
    <t>I.244</t>
  </si>
  <si>
    <t>I.245</t>
  </si>
  <si>
    <t>I.246</t>
  </si>
  <si>
    <t>I.247</t>
  </si>
  <si>
    <t>I.248</t>
  </si>
  <si>
    <t>I.249</t>
  </si>
  <si>
    <t>I.250</t>
  </si>
  <si>
    <t>I.251</t>
  </si>
  <si>
    <t>I.252</t>
  </si>
  <si>
    <t>I.253</t>
  </si>
  <si>
    <t>I.254</t>
  </si>
  <si>
    <t>I.255</t>
  </si>
  <si>
    <t>I.256</t>
  </si>
  <si>
    <t>I.257</t>
  </si>
  <si>
    <t>I.258</t>
  </si>
  <si>
    <t>I.259</t>
  </si>
  <si>
    <t>I.260</t>
  </si>
  <si>
    <t>I.261</t>
  </si>
  <si>
    <t>I.262</t>
  </si>
  <si>
    <t>I.263</t>
  </si>
  <si>
    <t>I.264</t>
  </si>
  <si>
    <t>I.265</t>
  </si>
  <si>
    <t>I.266</t>
  </si>
  <si>
    <t>I.267</t>
  </si>
  <si>
    <t>I.268</t>
  </si>
  <si>
    <t>I.269</t>
  </si>
  <si>
    <t>I.270</t>
  </si>
  <si>
    <t>I.271</t>
  </si>
  <si>
    <t>I.272</t>
  </si>
  <si>
    <t>I.273</t>
  </si>
  <si>
    <t>I.274</t>
  </si>
  <si>
    <t>I.275</t>
  </si>
  <si>
    <t>I.276</t>
  </si>
  <si>
    <t>I.277</t>
  </si>
  <si>
    <t>I.278</t>
  </si>
  <si>
    <t>I.279</t>
  </si>
  <si>
    <t>I.280</t>
  </si>
  <si>
    <t>I.281</t>
  </si>
  <si>
    <t>I.282</t>
  </si>
  <si>
    <t>I.283</t>
  </si>
  <si>
    <t>I.284</t>
  </si>
  <si>
    <t>I.285</t>
  </si>
  <si>
    <t>I.286</t>
  </si>
  <si>
    <t>I.287</t>
  </si>
  <si>
    <t>I.288</t>
  </si>
  <si>
    <t>I.289</t>
  </si>
  <si>
    <t>I.290</t>
  </si>
  <si>
    <t>I.291</t>
  </si>
  <si>
    <t>I.292</t>
  </si>
  <si>
    <t>I.293</t>
  </si>
  <si>
    <t>I.294</t>
  </si>
  <si>
    <t>I.295</t>
  </si>
  <si>
    <t>I.296</t>
  </si>
  <si>
    <t>I.297</t>
  </si>
  <si>
    <t>Activities</t>
  </si>
  <si>
    <t>Units</t>
  </si>
  <si>
    <t>Physical target</t>
  </si>
  <si>
    <t>Financial Budget (Rs. In Lakhs)</t>
  </si>
  <si>
    <t>Training of VDA &amp; VDC</t>
  </si>
  <si>
    <t>Programme Management at PMU</t>
  </si>
  <si>
    <t>Programme Management at MPA</t>
  </si>
  <si>
    <t>Community Institution Development</t>
  </si>
  <si>
    <t>Strengthening SHG &amp; Rural Finance</t>
  </si>
  <si>
    <t>Subtotal (1)</t>
  </si>
  <si>
    <t>Sub-total (2)</t>
  </si>
  <si>
    <t>Sub-total (3)</t>
  </si>
  <si>
    <t>Sub-total (4)</t>
  </si>
  <si>
    <t>Grand Total (1+2+3+4)</t>
  </si>
  <si>
    <t>Particulars</t>
  </si>
  <si>
    <t>Grand Total</t>
  </si>
  <si>
    <t>Civil work</t>
  </si>
  <si>
    <t xml:space="preserve">Training </t>
  </si>
  <si>
    <t>Goods, services and inputs</t>
  </si>
  <si>
    <t>Operating costs</t>
  </si>
  <si>
    <t>Rev.</t>
  </si>
  <si>
    <t>Animal Husbandry: Matching support of Rs. 1.15 Lakhs for convergence with FARD 2.3 Lakhs SHG Goat Model ( 30 Does+2 Bucks ) FARD+CCD</t>
  </si>
  <si>
    <t>Animal Husbandry: Matching support of Rs. 1.15 Lakhs for convergence with FARD 2.3 Lakhs SHG Goat Model ( 30 Does+2 Bucks ) IFAD+FARD</t>
  </si>
  <si>
    <t>Contigency/Other provisions /Salary Enhancement/arrear salary  etc. /h</t>
  </si>
  <si>
    <t>I.164(a)</t>
  </si>
  <si>
    <t>I.164(b)</t>
  </si>
  <si>
    <t>NTFP / SAP Drying Yard IFAD-Small</t>
  </si>
  <si>
    <t>Designing  &amp; functioning of web site &amp; MIS</t>
  </si>
  <si>
    <t>Medical/Health/Accident Insurance (Allowances/Expenses)</t>
  </si>
  <si>
    <t>I.4(a)</t>
  </si>
  <si>
    <t>I.25 (a)</t>
  </si>
  <si>
    <t>I.6 (a)</t>
  </si>
  <si>
    <t>I.6(b)</t>
  </si>
  <si>
    <t>Trribal Odisha Eye Studies (TOES)</t>
  </si>
  <si>
    <t>Training</t>
  </si>
  <si>
    <t>PEF</t>
  </si>
  <si>
    <t>BoR</t>
  </si>
  <si>
    <t>Incentive</t>
  </si>
  <si>
    <t>I.158 (a)</t>
  </si>
  <si>
    <t>Water related infrastructure-IFAD</t>
  </si>
  <si>
    <t>I.70 (a) new</t>
  </si>
  <si>
    <t>FARD (40%) &amp; IFAD (60%)</t>
  </si>
  <si>
    <t>Provision of quality breeding buck -IFAD</t>
  </si>
  <si>
    <t>IFAD (80%), GoO (20%)</t>
  </si>
  <si>
    <t>Training on Livestock production &amp; management to SHG members/rearers</t>
  </si>
  <si>
    <t>Accounts Assistants (2) + Accounts Assistant Audit (1)</t>
  </si>
  <si>
    <t>I.41 (a) New</t>
  </si>
  <si>
    <t>per training</t>
  </si>
  <si>
    <t>I.161 (a)</t>
  </si>
  <si>
    <t>Web GIS/ Mobile Application, design, softwares development, geo mapping,etc /e</t>
  </si>
  <si>
    <t>I.153 (a)</t>
  </si>
  <si>
    <t>IFAD ( 80), GoO ( 20% )</t>
  </si>
  <si>
    <t>Carry forward payment for NRC of last year</t>
  </si>
  <si>
    <t>April 2023 to March 2024</t>
  </si>
  <si>
    <t>5-T initiatives (display board) 10ftx8Ft-VDC level</t>
  </si>
  <si>
    <t>Revisit of VDP</t>
  </si>
  <si>
    <t>Red</t>
  </si>
  <si>
    <t>delete</t>
  </si>
  <si>
    <t>Green</t>
  </si>
  <si>
    <t>modified/new</t>
  </si>
  <si>
    <t>GPLF level Training to Leaders on Financial management</t>
  </si>
  <si>
    <t xml:space="preserve">A. Agriculture Training </t>
  </si>
  <si>
    <t>Agriculture Intensification Cluster (AIC) 23-24</t>
  </si>
  <si>
    <t>FARD (50%) &amp; IFAD (50%)</t>
  </si>
  <si>
    <t xml:space="preserve">40 Bird Portable Layer Unit </t>
  </si>
  <si>
    <t>Backyard Poultry (20 + 20 bird unit) from FARD</t>
  </si>
  <si>
    <t>Training VDC Leaders on Leadership, Book Keeping, Audit, Liaison/convergence including CRPs etc</t>
  </si>
  <si>
    <t xml:space="preserve">VDC level 2 days SHG Training on  different aspects </t>
  </si>
  <si>
    <t>Thematic study studies</t>
  </si>
  <si>
    <t>Quarter wise Planned budget FY 2023-24</t>
  </si>
  <si>
    <t xml:space="preserve"> Annual Work Plan and Budget- From April 2023 to March 2024</t>
  </si>
  <si>
    <t>AWP&amp;B (in Rs.) Apr 23 to March 24</t>
  </si>
  <si>
    <t>Annual Work Plan &amp; Budget of OPELIP for the FY 2023-24 Amount (INR)</t>
  </si>
  <si>
    <t xml:space="preserve"> Budget</t>
  </si>
  <si>
    <t>Scheme wise fund provisioning for OPELIP for the FY 2023-24 Amount (INR)</t>
  </si>
  <si>
    <t>AWPB 2023-24</t>
  </si>
  <si>
    <t>SUMMARY OF AWPB 2023-24</t>
  </si>
  <si>
    <t>Category Wise GoO &amp; IFAD fund details for the Financial Year 2023-24</t>
  </si>
  <si>
    <t>Major Activities for FY 2023-24</t>
  </si>
  <si>
    <t>Consolidated Category Wise GoO &amp; IFAD fund details for the Financial Year 2023-24</t>
  </si>
  <si>
    <t>Per traing</t>
  </si>
  <si>
    <t>Training on Cerelas. Pulses. Oilseeds and horticultural crops for AIC and livestock Farmers ( 2 trg per PVTG Village 1 Kharif and 1 Rabi including Summer)</t>
  </si>
  <si>
    <t>Per exposure</t>
  </si>
  <si>
    <t>Orientation to SHG Members on SFC / MSFC management for 2 days</t>
  </si>
  <si>
    <t>Repairof Water Purification pilot /Filtration unit-IFAD</t>
  </si>
  <si>
    <t>Repair &amp; maintenace of Processing unit</t>
  </si>
  <si>
    <t>IFAD ( 80% ), GoO(10%)BEN ( 10% )</t>
  </si>
  <si>
    <t xml:space="preserve">Household crop development (Regular PVTG ) </t>
  </si>
  <si>
    <t xml:space="preserve">Solar Fecncing piloting in Cluster </t>
  </si>
  <si>
    <t xml:space="preserve">Strawberry </t>
  </si>
  <si>
    <t xml:space="preserve">new add </t>
  </si>
  <si>
    <t xml:space="preserve">colour capsicum </t>
  </si>
  <si>
    <t xml:space="preserve">Dragon fruit </t>
  </si>
  <si>
    <t xml:space="preserve">Black peper </t>
  </si>
  <si>
    <t xml:space="preserve">Final </t>
  </si>
  <si>
    <t xml:space="preserve">final </t>
  </si>
  <si>
    <t>Final</t>
  </si>
  <si>
    <t xml:space="preserve">Feed Mill to CSP/Livestock Rearrer </t>
  </si>
  <si>
    <t>IFAD (80%), BEN(10%)</t>
  </si>
  <si>
    <t>new added</t>
  </si>
  <si>
    <t xml:space="preserve">Agriculture Intensification Cluster (AIC) 22-23 </t>
  </si>
  <si>
    <t xml:space="preserve">High value commercial agriculture and allied(APC) </t>
  </si>
  <si>
    <t>IFAD ( 80% ), GoO (10%) BEN ( 10% )</t>
  </si>
  <si>
    <t>difference</t>
  </si>
  <si>
    <t>Specialised training on various themes including ToT on PLA</t>
  </si>
  <si>
    <t>Village level (SHG) meeting on PLA</t>
  </si>
  <si>
    <t>MPA level training on PLA</t>
  </si>
  <si>
    <t>IFAD(60%), BEN ( 40% )</t>
  </si>
  <si>
    <t>IFAD ( 60% ), BEN ( 40% )</t>
  </si>
  <si>
    <t xml:space="preserve">Exposure Visit programme on nutrition </t>
  </si>
  <si>
    <t>Planned Activities-2023-24</t>
  </si>
  <si>
    <t>Service Cost for community facilitation</t>
  </si>
  <si>
    <t>Sub-Total</t>
  </si>
  <si>
    <t xml:space="preserve">Sustainable livelihoods and its management (IGA ) and revival  at MPA level </t>
  </si>
  <si>
    <t xml:space="preserve">Revival of  (IGA ) </t>
  </si>
  <si>
    <t>Exposure visit of  PVTG SHG members</t>
  </si>
  <si>
    <t xml:space="preserve">SHG </t>
  </si>
  <si>
    <t>National consultants/Consultant/Study</t>
  </si>
  <si>
    <t>Supervision Mission/ISM/design/evaluation/concept</t>
  </si>
  <si>
    <t xml:space="preserve">GPLF level Training to SHG Book-keepers including CRP 518*150*2 and MBK 90 * 3 trg 1st quarter and 2 nd quarter </t>
  </si>
  <si>
    <t xml:space="preserve">Household crop development (Non PVTG ) </t>
  </si>
  <si>
    <t>VDA bi-monthly Meetings /Social Audit (health hygiene, sanitation, strengtheing UG, exit strategy, sustainable development etc.)</t>
  </si>
  <si>
    <t xml:space="preserve">Mushroom Revival </t>
  </si>
  <si>
    <t xml:space="preserve">support incentive to Livestock CSP </t>
  </si>
  <si>
    <t xml:space="preserve">OLD revised budget </t>
  </si>
  <si>
    <t>Reduced</t>
  </si>
  <si>
    <t>2000 broiler bird unit - FARD &amp; IFAD (40% &amp; 60%)</t>
  </si>
  <si>
    <t>IFAD ( 80 % ),Ben(10%)</t>
  </si>
  <si>
    <t xml:space="preserve">2. GPLF building &amp; strenthening 5 training theme for each GPLF 90*5 cost norm 150 per persomn 6000 per trg </t>
  </si>
  <si>
    <t>B. Tribal culture and values   Processing unit training to 3 members @ MPA level</t>
  </si>
  <si>
    <t>PCR review workshop/Endline survey</t>
  </si>
  <si>
    <t>Multipurpose 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</si>
</sst>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0.0"/>
    <numFmt numFmtId="167" formatCode="#,##0.00_ ;\-#,##0.00\ "/>
    <numFmt numFmtId="168" formatCode="#,##0.00;[Red]#,##0.00"/>
    <numFmt numFmtId="169" formatCode="#,##0.0;\-#,##0.0;\-"/>
    <numFmt numFmtId="170" formatCode="#,##0.0"/>
    <numFmt numFmtId="171" formatCode="_ * #,##0_ ;_ * \-#,##0_ ;_ * &quot;-&quot;??_ ;_ @_ "/>
    <numFmt numFmtId="172" formatCode="#,##0.000"/>
    <numFmt numFmtId="173" formatCode="_-* #,##0_-;\-* #,##0_-;_-* &quot;-&quot;??_-;_-@_-"/>
  </numFmts>
  <fonts count="5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</font>
    <font>
      <b/>
      <u/>
      <sz val="12"/>
      <color rgb="FF000000"/>
      <name val="Calibri"/>
      <family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color rgb="FF000000"/>
      <name val="Calibri"/>
      <family val="2"/>
    </font>
    <font>
      <b/>
      <u/>
      <sz val="14"/>
      <color rgb="FF000000"/>
      <name val="Calibri"/>
      <family val="2"/>
    </font>
    <font>
      <u/>
      <sz val="14"/>
      <color rgb="FF000000"/>
      <name val="Calibri"/>
      <family val="2"/>
    </font>
    <font>
      <b/>
      <sz val="14"/>
      <color theme="1"/>
      <name val="Calibri"/>
      <family val="2"/>
    </font>
    <font>
      <b/>
      <u/>
      <sz val="14"/>
      <color theme="1"/>
      <name val="Calibri"/>
      <family val="2"/>
    </font>
    <font>
      <b/>
      <sz val="14"/>
      <name val="Calibri"/>
      <family val="2"/>
      <scheme val="minor"/>
    </font>
    <font>
      <b/>
      <sz val="11"/>
      <color rgb="FF000000"/>
      <name val="Leelawadee"/>
      <family val="2"/>
    </font>
    <font>
      <sz val="11"/>
      <color rgb="FF000000"/>
      <name val="Leelawadee"/>
      <family val="2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sz val="14"/>
      <color rgb="FF000000"/>
      <name val="Calibri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2"/>
      <name val="Calibri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  <scheme val="minor"/>
    </font>
    <font>
      <b/>
      <sz val="12"/>
      <name val="Arial"/>
      <family val="2"/>
    </font>
    <font>
      <sz val="12"/>
      <color rgb="FF7030A0"/>
      <name val="Calibri"/>
      <family val="2"/>
      <scheme val="minor"/>
    </font>
    <font>
      <b/>
      <sz val="12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.5"/>
      <color theme="1"/>
      <name val="Leelawadee"/>
      <family val="2"/>
    </font>
    <font>
      <sz val="10.5"/>
      <color theme="1"/>
      <name val="Leelawadee"/>
      <family val="2"/>
    </font>
    <font>
      <b/>
      <u/>
      <sz val="10.5"/>
      <color theme="1"/>
      <name val="Leelawadee"/>
      <family val="2"/>
    </font>
    <font>
      <b/>
      <sz val="13.5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Leelawadee"/>
      <family val="2"/>
    </font>
    <font>
      <b/>
      <sz val="10"/>
      <color theme="1"/>
      <name val="Leelawadee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99">
    <xf numFmtId="0" fontId="0" fillId="0" borderId="0" xfId="0"/>
    <xf numFmtId="0" fontId="5" fillId="2" borderId="0" xfId="0" applyFont="1" applyFill="1"/>
    <xf numFmtId="0" fontId="6" fillId="0" borderId="0" xfId="0" applyFont="1"/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7" fillId="0" borderId="0" xfId="0" applyFont="1"/>
    <xf numFmtId="4" fontId="8" fillId="2" borderId="1" xfId="0" applyNumberFormat="1" applyFont="1" applyFill="1" applyBorder="1" applyAlignment="1">
      <alignment vertical="center"/>
    </xf>
    <xf numFmtId="4" fontId="8" fillId="2" borderId="1" xfId="0" applyNumberFormat="1" applyFont="1" applyFill="1" applyBorder="1"/>
    <xf numFmtId="0" fontId="8" fillId="2" borderId="1" xfId="0" applyFont="1" applyFill="1" applyBorder="1"/>
    <xf numFmtId="0" fontId="8" fillId="0" borderId="0" xfId="0" applyFont="1" applyAlignment="1">
      <alignment horizontal="right"/>
    </xf>
    <xf numFmtId="2" fontId="8" fillId="0" borderId="0" xfId="0" applyNumberFormat="1" applyFont="1" applyAlignment="1">
      <alignment horizontal="right"/>
    </xf>
    <xf numFmtId="4" fontId="9" fillId="2" borderId="1" xfId="0" applyNumberFormat="1" applyFont="1" applyFill="1" applyBorder="1"/>
    <xf numFmtId="0" fontId="6" fillId="0" borderId="1" xfId="0" applyFont="1" applyBorder="1"/>
    <xf numFmtId="4" fontId="6" fillId="0" borderId="0" xfId="0" applyNumberFormat="1" applyFont="1"/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0" fillId="4" borderId="0" xfId="0" applyFont="1" applyFill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right"/>
    </xf>
    <xf numFmtId="4" fontId="7" fillId="2" borderId="2" xfId="0" applyNumberFormat="1" applyFont="1" applyFill="1" applyBorder="1" applyAlignment="1">
      <alignment horizontal="right"/>
    </xf>
    <xf numFmtId="0" fontId="7" fillId="2" borderId="0" xfId="0" applyFont="1" applyFill="1"/>
    <xf numFmtId="0" fontId="11" fillId="4" borderId="0" xfId="0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10" fillId="0" borderId="0" xfId="0" applyFont="1"/>
    <xf numFmtId="2" fontId="6" fillId="0" borderId="0" xfId="0" applyNumberFormat="1" applyFont="1"/>
    <xf numFmtId="0" fontId="9" fillId="2" borderId="1" xfId="0" applyFont="1" applyFill="1" applyBorder="1" applyAlignment="1">
      <alignment wrapText="1"/>
    </xf>
    <xf numFmtId="4" fontId="12" fillId="0" borderId="0" xfId="0" applyNumberFormat="1" applyFont="1"/>
    <xf numFmtId="3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7" fillId="0" borderId="1" xfId="0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0" fontId="7" fillId="5" borderId="0" xfId="0" applyFont="1" applyFill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/>
    </xf>
    <xf numFmtId="4" fontId="8" fillId="2" borderId="2" xfId="0" applyNumberFormat="1" applyFont="1" applyFill="1" applyBorder="1" applyAlignment="1">
      <alignment horizontal="right"/>
    </xf>
    <xf numFmtId="0" fontId="13" fillId="4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left"/>
    </xf>
    <xf numFmtId="4" fontId="9" fillId="2" borderId="2" xfId="0" applyNumberFormat="1" applyFont="1" applyFill="1" applyBorder="1" applyAlignment="1">
      <alignment horizontal="right"/>
    </xf>
    <xf numFmtId="0" fontId="11" fillId="4" borderId="1" xfId="0" applyFont="1" applyFill="1" applyBorder="1" applyAlignment="1">
      <alignment horizontal="right"/>
    </xf>
    <xf numFmtId="0" fontId="14" fillId="4" borderId="1" xfId="0" applyFont="1" applyFill="1" applyBorder="1" applyAlignment="1">
      <alignment horizontal="right" wrapText="1"/>
    </xf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11" fillId="4" borderId="1" xfId="0" applyFont="1" applyFill="1" applyBorder="1" applyAlignment="1">
      <alignment horizontal="right" wrapText="1"/>
    </xf>
    <xf numFmtId="4" fontId="11" fillId="4" borderId="1" xfId="0" applyNumberFormat="1" applyFont="1" applyFill="1" applyBorder="1" applyAlignment="1">
      <alignment horizontal="right"/>
    </xf>
    <xf numFmtId="0" fontId="10" fillId="4" borderId="0" xfId="0" applyFont="1" applyFill="1" applyAlignment="1">
      <alignment horizontal="right"/>
    </xf>
    <xf numFmtId="0" fontId="10" fillId="4" borderId="1" xfId="0" applyFont="1" applyFill="1" applyBorder="1" applyAlignment="1">
      <alignment horizontal="left" wrapText="1"/>
    </xf>
    <xf numFmtId="0" fontId="11" fillId="4" borderId="1" xfId="0" applyFont="1" applyFill="1" applyBorder="1" applyAlignment="1">
      <alignment horizontal="left" wrapText="1"/>
    </xf>
    <xf numFmtId="0" fontId="10" fillId="4" borderId="0" xfId="0" applyFont="1" applyFill="1" applyAlignment="1">
      <alignment horizontal="left" wrapText="1"/>
    </xf>
    <xf numFmtId="0" fontId="14" fillId="4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7" fillId="5" borderId="0" xfId="0" applyFont="1" applyFill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4" fillId="4" borderId="2" xfId="0" applyFont="1" applyFill="1" applyBorder="1" applyAlignment="1">
      <alignment horizontal="right" wrapText="1"/>
    </xf>
    <xf numFmtId="0" fontId="13" fillId="4" borderId="2" xfId="0" applyFont="1" applyFill="1" applyBorder="1" applyAlignment="1">
      <alignment horizontal="left"/>
    </xf>
    <xf numFmtId="0" fontId="14" fillId="4" borderId="2" xfId="0" applyFont="1" applyFill="1" applyBorder="1" applyAlignment="1">
      <alignment horizontal="left" wrapText="1"/>
    </xf>
    <xf numFmtId="4" fontId="10" fillId="4" borderId="2" xfId="0" applyNumberFormat="1" applyFont="1" applyFill="1" applyBorder="1" applyAlignment="1">
      <alignment horizontal="left" wrapText="1"/>
    </xf>
    <xf numFmtId="4" fontId="10" fillId="4" borderId="2" xfId="0" applyNumberFormat="1" applyFont="1" applyFill="1" applyBorder="1" applyAlignment="1">
      <alignment horizontal="left"/>
    </xf>
    <xf numFmtId="4" fontId="12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6" fillId="4" borderId="0" xfId="0" applyFont="1" applyFill="1"/>
    <xf numFmtId="2" fontId="16" fillId="4" borderId="0" xfId="0" applyNumberFormat="1" applyFont="1" applyFill="1"/>
    <xf numFmtId="0" fontId="15" fillId="0" borderId="0" xfId="0" applyFont="1" applyAlignment="1">
      <alignment horizontal="center" vertical="center"/>
    </xf>
    <xf numFmtId="0" fontId="5" fillId="0" borderId="1" xfId="0" applyFont="1" applyBorder="1"/>
    <xf numFmtId="0" fontId="5" fillId="5" borderId="1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vertical="center" wrapText="1"/>
    </xf>
    <xf numFmtId="4" fontId="16" fillId="4" borderId="1" xfId="0" applyNumberFormat="1" applyFont="1" applyFill="1" applyBorder="1" applyAlignment="1">
      <alignment vertical="center"/>
    </xf>
    <xf numFmtId="4" fontId="15" fillId="2" borderId="1" xfId="0" applyNumberFormat="1" applyFont="1" applyFill="1" applyBorder="1" applyAlignment="1">
      <alignment horizontal="right" vertical="center"/>
    </xf>
    <xf numFmtId="0" fontId="17" fillId="4" borderId="1" xfId="0" applyFont="1" applyFill="1" applyBorder="1" applyAlignment="1">
      <alignment vertical="center"/>
    </xf>
    <xf numFmtId="0" fontId="17" fillId="4" borderId="1" xfId="0" applyFont="1" applyFill="1" applyBorder="1" applyAlignment="1">
      <alignment vertical="center" wrapText="1"/>
    </xf>
    <xf numFmtId="4" fontId="20" fillId="4" borderId="1" xfId="0" applyNumberFormat="1" applyFont="1" applyFill="1" applyBorder="1" applyAlignment="1">
      <alignment vertical="center"/>
    </xf>
    <xf numFmtId="4" fontId="17" fillId="4" borderId="1" xfId="0" applyNumberFormat="1" applyFont="1" applyFill="1" applyBorder="1" applyAlignment="1">
      <alignment vertical="center"/>
    </xf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vertical="center" wrapText="1"/>
    </xf>
    <xf numFmtId="4" fontId="16" fillId="4" borderId="0" xfId="0" applyNumberFormat="1" applyFont="1" applyFill="1" applyAlignment="1">
      <alignment vertical="center"/>
    </xf>
    <xf numFmtId="0" fontId="21" fillId="4" borderId="1" xfId="0" applyFont="1" applyFill="1" applyBorder="1" applyAlignment="1">
      <alignment horizontal="left" vertical="center"/>
    </xf>
    <xf numFmtId="4" fontId="19" fillId="4" borderId="1" xfId="0" applyNumberFormat="1" applyFont="1" applyFill="1" applyBorder="1" applyAlignment="1">
      <alignment vertical="center"/>
    </xf>
    <xf numFmtId="0" fontId="16" fillId="4" borderId="1" xfId="0" applyFont="1" applyFill="1" applyBorder="1" applyAlignment="1">
      <alignment horizontal="right"/>
    </xf>
    <xf numFmtId="0" fontId="16" fillId="4" borderId="1" xfId="0" applyFont="1" applyFill="1" applyBorder="1" applyAlignment="1">
      <alignment horizontal="left" vertical="center"/>
    </xf>
    <xf numFmtId="4" fontId="15" fillId="0" borderId="0" xfId="0" applyNumberFormat="1" applyFont="1"/>
    <xf numFmtId="4" fontId="5" fillId="2" borderId="1" xfId="0" applyNumberFormat="1" applyFont="1" applyFill="1" applyBorder="1" applyAlignment="1">
      <alignment horizontal="right" vertical="center"/>
    </xf>
    <xf numFmtId="4" fontId="22" fillId="2" borderId="1" xfId="0" applyNumberFormat="1" applyFont="1" applyFill="1" applyBorder="1" applyAlignment="1">
      <alignment horizontal="right" vertical="center"/>
    </xf>
    <xf numFmtId="0" fontId="17" fillId="4" borderId="0" xfId="0" applyFont="1" applyFill="1" applyAlignment="1">
      <alignment horizontal="left"/>
    </xf>
    <xf numFmtId="0" fontId="16" fillId="4" borderId="0" xfId="0" applyFont="1" applyFill="1" applyAlignment="1">
      <alignment horizontal="left"/>
    </xf>
    <xf numFmtId="2" fontId="16" fillId="4" borderId="0" xfId="0" applyNumberFormat="1" applyFont="1" applyFill="1" applyAlignment="1">
      <alignment horizontal="left"/>
    </xf>
    <xf numFmtId="0" fontId="16" fillId="0" borderId="0" xfId="0" applyFont="1"/>
    <xf numFmtId="0" fontId="17" fillId="0" borderId="0" xfId="0" applyFont="1" applyAlignment="1">
      <alignment horizontal="center"/>
    </xf>
    <xf numFmtId="2" fontId="16" fillId="0" borderId="0" xfId="0" applyNumberFormat="1" applyFont="1"/>
    <xf numFmtId="0" fontId="16" fillId="6" borderId="1" xfId="0" applyFont="1" applyFill="1" applyBorder="1"/>
    <xf numFmtId="0" fontId="5" fillId="5" borderId="4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left" wrapText="1" readingOrder="1"/>
    </xf>
    <xf numFmtId="0" fontId="24" fillId="0" borderId="1" xfId="0" applyFont="1" applyBorder="1" applyAlignment="1">
      <alignment horizontal="right" wrapText="1" readingOrder="1"/>
    </xf>
    <xf numFmtId="0" fontId="24" fillId="0" borderId="1" xfId="0" applyFont="1" applyBorder="1" applyAlignment="1">
      <alignment horizontal="left" wrapText="1" readingOrder="1"/>
    </xf>
    <xf numFmtId="4" fontId="24" fillId="0" borderId="1" xfId="0" applyNumberFormat="1" applyFont="1" applyBorder="1" applyAlignment="1">
      <alignment horizontal="right" wrapText="1" readingOrder="1"/>
    </xf>
    <xf numFmtId="4" fontId="23" fillId="0" borderId="1" xfId="0" applyNumberFormat="1" applyFont="1" applyBorder="1" applyAlignment="1">
      <alignment horizontal="right" wrapText="1" readingOrder="1"/>
    </xf>
    <xf numFmtId="165" fontId="24" fillId="0" borderId="1" xfId="1" applyFont="1" applyBorder="1" applyAlignment="1">
      <alignment horizontal="right" wrapText="1" readingOrder="1"/>
    </xf>
    <xf numFmtId="0" fontId="24" fillId="0" borderId="1" xfId="0" applyFont="1" applyBorder="1" applyAlignment="1">
      <alignment horizontal="center" wrapText="1" readingOrder="1"/>
    </xf>
    <xf numFmtId="3" fontId="23" fillId="0" borderId="1" xfId="0" applyNumberFormat="1" applyFont="1" applyBorder="1" applyAlignment="1">
      <alignment horizontal="right" wrapText="1" readingOrder="1"/>
    </xf>
    <xf numFmtId="0" fontId="23" fillId="0" borderId="1" xfId="0" applyFont="1" applyBorder="1" applyAlignment="1">
      <alignment horizontal="right" wrapText="1" readingOrder="1"/>
    </xf>
    <xf numFmtId="4" fontId="16" fillId="6" borderId="2" xfId="0" applyNumberFormat="1" applyFont="1" applyFill="1" applyBorder="1"/>
    <xf numFmtId="4" fontId="16" fillId="7" borderId="8" xfId="0" applyNumberFormat="1" applyFont="1" applyFill="1" applyBorder="1"/>
    <xf numFmtId="0" fontId="15" fillId="7" borderId="9" xfId="0" applyFont="1" applyFill="1" applyBorder="1"/>
    <xf numFmtId="165" fontId="15" fillId="7" borderId="0" xfId="1" applyFont="1" applyFill="1" applyBorder="1"/>
    <xf numFmtId="0" fontId="15" fillId="7" borderId="10" xfId="0" applyFont="1" applyFill="1" applyBorder="1"/>
    <xf numFmtId="2" fontId="16" fillId="7" borderId="11" xfId="0" applyNumberFormat="1" applyFont="1" applyFill="1" applyBorder="1"/>
    <xf numFmtId="0" fontId="25" fillId="4" borderId="0" xfId="0" applyFont="1" applyFill="1" applyAlignment="1">
      <alignment horizontal="center"/>
    </xf>
    <xf numFmtId="0" fontId="26" fillId="4" borderId="0" xfId="0" applyFont="1" applyFill="1" applyAlignment="1">
      <alignment horizontal="center"/>
    </xf>
    <xf numFmtId="0" fontId="25" fillId="4" borderId="0" xfId="0" applyFont="1" applyFill="1"/>
    <xf numFmtId="0" fontId="26" fillId="4" borderId="0" xfId="0" applyFont="1" applyFill="1"/>
    <xf numFmtId="0" fontId="8" fillId="2" borderId="1" xfId="3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9" fillId="2" borderId="12" xfId="0" applyNumberFormat="1" applyFont="1" applyFill="1" applyBorder="1" applyAlignment="1">
      <alignment vertical="center" wrapText="1"/>
    </xf>
    <xf numFmtId="0" fontId="6" fillId="2" borderId="0" xfId="0" applyFont="1" applyFill="1"/>
    <xf numFmtId="0" fontId="6" fillId="2" borderId="1" xfId="0" applyFont="1" applyFill="1" applyBorder="1"/>
    <xf numFmtId="0" fontId="9" fillId="2" borderId="1" xfId="0" applyFont="1" applyFill="1" applyBorder="1" applyAlignment="1">
      <alignment vertical="center" wrapText="1"/>
    </xf>
    <xf numFmtId="4" fontId="8" fillId="2" borderId="0" xfId="0" applyNumberFormat="1" applyFont="1" applyFill="1" applyAlignment="1">
      <alignment vertical="center"/>
    </xf>
    <xf numFmtId="4" fontId="0" fillId="0" borderId="0" xfId="0" applyNumberFormat="1"/>
    <xf numFmtId="0" fontId="23" fillId="0" borderId="0" xfId="0" applyFont="1" applyAlignment="1">
      <alignment horizontal="left" wrapText="1" readingOrder="1"/>
    </xf>
    <xf numFmtId="43" fontId="0" fillId="0" borderId="0" xfId="0" applyNumberFormat="1"/>
    <xf numFmtId="0" fontId="12" fillId="2" borderId="1" xfId="0" applyFont="1" applyFill="1" applyBorder="1"/>
    <xf numFmtId="0" fontId="8" fillId="2" borderId="1" xfId="0" applyFont="1" applyFill="1" applyBorder="1" applyAlignment="1">
      <alignment vertical="top" wrapText="1"/>
    </xf>
    <xf numFmtId="0" fontId="9" fillId="2" borderId="0" xfId="0" applyFont="1" applyFill="1" applyAlignment="1">
      <alignment vertical="center"/>
    </xf>
    <xf numFmtId="4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8" fillId="2" borderId="0" xfId="0" applyFont="1" applyFill="1" applyAlignment="1">
      <alignment horizontal="right"/>
    </xf>
    <xf numFmtId="0" fontId="8" fillId="2" borderId="0" xfId="0" applyFont="1" applyFill="1"/>
    <xf numFmtId="0" fontId="9" fillId="2" borderId="0" xfId="0" applyFont="1" applyFill="1"/>
    <xf numFmtId="0" fontId="9" fillId="2" borderId="1" xfId="3" applyFont="1" applyFill="1" applyBorder="1"/>
    <xf numFmtId="0" fontId="8" fillId="2" borderId="1" xfId="3" applyFont="1" applyFill="1" applyBorder="1" applyAlignment="1">
      <alignment horizontal="center"/>
    </xf>
    <xf numFmtId="0" fontId="8" fillId="2" borderId="1" xfId="3" applyFont="1" applyFill="1" applyBorder="1"/>
    <xf numFmtId="0" fontId="8" fillId="2" borderId="1" xfId="3" applyFont="1" applyFill="1" applyBorder="1" applyAlignment="1">
      <alignment horizontal="right"/>
    </xf>
    <xf numFmtId="3" fontId="8" fillId="2" borderId="1" xfId="3" applyNumberFormat="1" applyFont="1" applyFill="1" applyBorder="1" applyAlignment="1">
      <alignment horizontal="right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right"/>
    </xf>
    <xf numFmtId="0" fontId="9" fillId="2" borderId="1" xfId="0" applyFont="1" applyFill="1" applyBorder="1" applyAlignment="1">
      <alignment vertical="top" wrapText="1"/>
    </xf>
    <xf numFmtId="0" fontId="8" fillId="2" borderId="1" xfId="3" applyFont="1" applyFill="1" applyBorder="1" applyAlignment="1">
      <alignment horizontal="left"/>
    </xf>
    <xf numFmtId="0" fontId="8" fillId="2" borderId="0" xfId="0" applyFont="1" applyFill="1" applyAlignment="1">
      <alignment horizontal="right" vertical="top"/>
    </xf>
    <xf numFmtId="4" fontId="8" fillId="2" borderId="0" xfId="0" applyNumberFormat="1" applyFont="1" applyFill="1" applyAlignment="1">
      <alignment horizontal="right" vertical="top"/>
    </xf>
    <xf numFmtId="0" fontId="8" fillId="2" borderId="0" xfId="0" applyFont="1" applyFill="1" applyAlignment="1">
      <alignment vertical="top"/>
    </xf>
    <xf numFmtId="0" fontId="9" fillId="2" borderId="1" xfId="0" applyFont="1" applyFill="1" applyBorder="1" applyAlignment="1">
      <alignment vertical="top"/>
    </xf>
    <xf numFmtId="0" fontId="9" fillId="2" borderId="1" xfId="3" applyFont="1" applyFill="1" applyBorder="1" applyAlignment="1">
      <alignment horizontal="left"/>
    </xf>
    <xf numFmtId="0" fontId="8" fillId="2" borderId="1" xfId="0" applyFont="1" applyFill="1" applyBorder="1" applyAlignment="1">
      <alignment horizontal="right" vertical="top"/>
    </xf>
    <xf numFmtId="43" fontId="8" fillId="2" borderId="1" xfId="0" applyNumberFormat="1" applyFont="1" applyFill="1" applyBorder="1" applyAlignment="1">
      <alignment vertical="top"/>
    </xf>
    <xf numFmtId="0" fontId="8" fillId="2" borderId="1" xfId="0" applyFont="1" applyFill="1" applyBorder="1" applyAlignment="1">
      <alignment vertical="top"/>
    </xf>
    <xf numFmtId="4" fontId="8" fillId="2" borderId="1" xfId="0" applyNumberFormat="1" applyFont="1" applyFill="1" applyBorder="1" applyAlignment="1">
      <alignment vertical="top"/>
    </xf>
    <xf numFmtId="0" fontId="9" fillId="2" borderId="0" xfId="0" applyFont="1" applyFill="1" applyAlignment="1">
      <alignment vertical="top"/>
    </xf>
    <xf numFmtId="0" fontId="8" fillId="2" borderId="0" xfId="0" applyFont="1" applyFill="1" applyAlignment="1">
      <alignment horizontal="center" vertical="center"/>
    </xf>
    <xf numFmtId="4" fontId="9" fillId="2" borderId="1" xfId="0" applyNumberFormat="1" applyFont="1" applyFill="1" applyBorder="1" applyAlignment="1">
      <alignment vertical="top"/>
    </xf>
    <xf numFmtId="3" fontId="8" fillId="2" borderId="1" xfId="0" applyNumberFormat="1" applyFont="1" applyFill="1" applyBorder="1" applyAlignment="1">
      <alignment vertical="top"/>
    </xf>
    <xf numFmtId="3" fontId="9" fillId="2" borderId="1" xfId="0" applyNumberFormat="1" applyFont="1" applyFill="1" applyBorder="1" applyAlignment="1">
      <alignment vertical="top"/>
    </xf>
    <xf numFmtId="0" fontId="8" fillId="2" borderId="0" xfId="0" applyFont="1" applyFill="1" applyAlignment="1">
      <alignment horizontal="left" vertical="top"/>
    </xf>
    <xf numFmtId="3" fontId="8" fillId="2" borderId="0" xfId="0" applyNumberFormat="1" applyFont="1" applyFill="1" applyAlignment="1">
      <alignment horizontal="right" vertical="top"/>
    </xf>
    <xf numFmtId="0" fontId="29" fillId="2" borderId="1" xfId="3" applyFont="1" applyFill="1" applyBorder="1" applyAlignment="1">
      <alignment vertical="top" wrapText="1"/>
    </xf>
    <xf numFmtId="0" fontId="36" fillId="2" borderId="1" xfId="3" applyFont="1" applyFill="1" applyBorder="1" applyAlignment="1">
      <alignment horizontal="left"/>
    </xf>
    <xf numFmtId="169" fontId="9" fillId="2" borderId="17" xfId="4" applyNumberFormat="1" applyFont="1" applyFill="1" applyBorder="1" applyAlignment="1">
      <alignment horizontal="right"/>
    </xf>
    <xf numFmtId="4" fontId="9" fillId="2" borderId="1" xfId="0" applyNumberFormat="1" applyFont="1" applyFill="1" applyBorder="1" applyAlignment="1">
      <alignment horizontal="left" vertical="top"/>
    </xf>
    <xf numFmtId="0" fontId="9" fillId="2" borderId="12" xfId="0" applyFont="1" applyFill="1" applyBorder="1" applyAlignment="1">
      <alignment horizontal="right" vertical="top"/>
    </xf>
    <xf numFmtId="4" fontId="9" fillId="2" borderId="12" xfId="0" applyNumberFormat="1" applyFont="1" applyFill="1" applyBorder="1" applyAlignment="1">
      <alignment vertical="top"/>
    </xf>
    <xf numFmtId="0" fontId="9" fillId="2" borderId="12" xfId="0" applyFont="1" applyFill="1" applyBorder="1" applyAlignment="1">
      <alignment vertical="top"/>
    </xf>
    <xf numFmtId="4" fontId="9" fillId="2" borderId="1" xfId="0" applyNumberFormat="1" applyFont="1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left" vertical="top"/>
    </xf>
    <xf numFmtId="4" fontId="8" fillId="2" borderId="1" xfId="0" applyNumberFormat="1" applyFont="1" applyFill="1" applyBorder="1" applyAlignment="1">
      <alignment horizontal="left" vertical="top"/>
    </xf>
    <xf numFmtId="164" fontId="9" fillId="2" borderId="1" xfId="0" applyNumberFormat="1" applyFont="1" applyFill="1" applyBorder="1" applyAlignment="1">
      <alignment vertical="top" wrapText="1"/>
    </xf>
    <xf numFmtId="164" fontId="8" fillId="2" borderId="1" xfId="0" applyNumberFormat="1" applyFont="1" applyFill="1" applyBorder="1" applyAlignment="1">
      <alignment vertical="top" wrapText="1"/>
    </xf>
    <xf numFmtId="4" fontId="12" fillId="2" borderId="1" xfId="0" applyNumberFormat="1" applyFont="1" applyFill="1" applyBorder="1"/>
    <xf numFmtId="0" fontId="12" fillId="0" borderId="0" xfId="0" applyFont="1"/>
    <xf numFmtId="0" fontId="40" fillId="2" borderId="1" xfId="0" applyFont="1" applyFill="1" applyBorder="1"/>
    <xf numFmtId="4" fontId="40" fillId="2" borderId="1" xfId="0" applyNumberFormat="1" applyFont="1" applyFill="1" applyBorder="1" applyAlignment="1">
      <alignment horizontal="center" vertical="center" wrapText="1"/>
    </xf>
    <xf numFmtId="4" fontId="40" fillId="2" borderId="1" xfId="0" applyNumberFormat="1" applyFont="1" applyFill="1" applyBorder="1"/>
    <xf numFmtId="0" fontId="40" fillId="0" borderId="0" xfId="0" applyFont="1"/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1" fontId="6" fillId="0" borderId="1" xfId="0" applyNumberFormat="1" applyFont="1" applyBorder="1"/>
    <xf numFmtId="0" fontId="12" fillId="0" borderId="1" xfId="0" applyFont="1" applyBorder="1"/>
    <xf numFmtId="1" fontId="12" fillId="0" borderId="1" xfId="0" applyNumberFormat="1" applyFont="1" applyBorder="1"/>
    <xf numFmtId="0" fontId="40" fillId="0" borderId="1" xfId="0" applyFont="1" applyBorder="1"/>
    <xf numFmtId="1" fontId="40" fillId="0" borderId="1" xfId="0" applyNumberFormat="1" applyFont="1" applyBorder="1"/>
    <xf numFmtId="1" fontId="7" fillId="0" borderId="1" xfId="0" applyNumberFormat="1" applyFont="1" applyBorder="1"/>
    <xf numFmtId="173" fontId="7" fillId="0" borderId="1" xfId="0" applyNumberFormat="1" applyFont="1" applyBorder="1"/>
    <xf numFmtId="166" fontId="6" fillId="0" borderId="1" xfId="0" applyNumberFormat="1" applyFont="1" applyBorder="1"/>
    <xf numFmtId="166" fontId="6" fillId="0" borderId="1" xfId="1" applyNumberFormat="1" applyFont="1" applyBorder="1"/>
    <xf numFmtId="166" fontId="12" fillId="0" borderId="1" xfId="0" applyNumberFormat="1" applyFont="1" applyBorder="1"/>
    <xf numFmtId="166" fontId="12" fillId="0" borderId="1" xfId="1" applyNumberFormat="1" applyFont="1" applyBorder="1"/>
    <xf numFmtId="166" fontId="40" fillId="0" borderId="1" xfId="0" applyNumberFormat="1" applyFont="1" applyBorder="1"/>
    <xf numFmtId="166" fontId="40" fillId="0" borderId="1" xfId="1" applyNumberFormat="1" applyFont="1" applyBorder="1"/>
    <xf numFmtId="4" fontId="8" fillId="2" borderId="0" xfId="0" applyNumberFormat="1" applyFont="1" applyFill="1" applyAlignment="1">
      <alignment vertical="top"/>
    </xf>
    <xf numFmtId="4" fontId="9" fillId="2" borderId="0" xfId="0" applyNumberFormat="1" applyFont="1" applyFill="1" applyAlignment="1">
      <alignment vertical="top"/>
    </xf>
    <xf numFmtId="0" fontId="8" fillId="2" borderId="0" xfId="0" applyFont="1" applyFill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right" vertical="top"/>
    </xf>
    <xf numFmtId="4" fontId="9" fillId="2" borderId="1" xfId="0" applyNumberFormat="1" applyFont="1" applyFill="1" applyBorder="1" applyAlignment="1">
      <alignment horizontal="right" vertical="top"/>
    </xf>
    <xf numFmtId="0" fontId="9" fillId="2" borderId="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top"/>
    </xf>
    <xf numFmtId="0" fontId="5" fillId="3" borderId="0" xfId="0" applyFont="1" applyFill="1"/>
    <xf numFmtId="0" fontId="5" fillId="0" borderId="0" xfId="0" applyFont="1"/>
    <xf numFmtId="1" fontId="5" fillId="0" borderId="0" xfId="0" applyNumberFormat="1" applyFont="1"/>
    <xf numFmtId="1" fontId="15" fillId="0" borderId="0" xfId="0" applyNumberFormat="1" applyFont="1"/>
    <xf numFmtId="0" fontId="29" fillId="2" borderId="1" xfId="0" applyFont="1" applyFill="1" applyBorder="1" applyAlignment="1">
      <alignment horizontal="center" vertical="top"/>
    </xf>
    <xf numFmtId="3" fontId="9" fillId="2" borderId="0" xfId="0" applyNumberFormat="1" applyFont="1" applyFill="1" applyAlignment="1">
      <alignment vertical="top"/>
    </xf>
    <xf numFmtId="0" fontId="9" fillId="2" borderId="17" xfId="0" applyFont="1" applyFill="1" applyBorder="1" applyAlignment="1">
      <alignment vertical="top"/>
    </xf>
    <xf numFmtId="3" fontId="9" fillId="2" borderId="1" xfId="0" applyNumberFormat="1" applyFont="1" applyFill="1" applyBorder="1" applyAlignment="1">
      <alignment horizontal="center" vertical="top"/>
    </xf>
    <xf numFmtId="0" fontId="8" fillId="2" borderId="1" xfId="8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left" vertical="top"/>
    </xf>
    <xf numFmtId="0" fontId="42" fillId="2" borderId="1" xfId="3" applyFont="1" applyFill="1" applyBorder="1"/>
    <xf numFmtId="0" fontId="42" fillId="2" borderId="1" xfId="3" applyFont="1" applyFill="1" applyBorder="1" applyAlignment="1">
      <alignment horizontal="center"/>
    </xf>
    <xf numFmtId="164" fontId="36" fillId="2" borderId="1" xfId="0" applyNumberFormat="1" applyFont="1" applyFill="1" applyBorder="1" applyAlignment="1">
      <alignment vertical="top" wrapText="1"/>
    </xf>
    <xf numFmtId="2" fontId="8" fillId="2" borderId="0" xfId="0" applyNumberFormat="1" applyFont="1" applyFill="1" applyAlignment="1">
      <alignment horizontal="left" vertical="top"/>
    </xf>
    <xf numFmtId="4" fontId="8" fillId="2" borderId="0" xfId="0" applyNumberFormat="1" applyFont="1" applyFill="1" applyAlignment="1">
      <alignment horizontal="left" vertical="top"/>
    </xf>
    <xf numFmtId="3" fontId="8" fillId="2" borderId="0" xfId="0" applyNumberFormat="1" applyFont="1" applyFill="1" applyAlignment="1">
      <alignment horizontal="left" vertical="top"/>
    </xf>
    <xf numFmtId="3" fontId="8" fillId="2" borderId="0" xfId="0" applyNumberFormat="1" applyFont="1" applyFill="1" applyAlignment="1">
      <alignment vertical="top"/>
    </xf>
    <xf numFmtId="0" fontId="43" fillId="0" borderId="0" xfId="0" applyFont="1"/>
    <xf numFmtId="3" fontId="43" fillId="0" borderId="0" xfId="0" applyNumberFormat="1" applyFont="1"/>
    <xf numFmtId="0" fontId="0" fillId="0" borderId="1" xfId="0" applyBorder="1"/>
    <xf numFmtId="0" fontId="43" fillId="0" borderId="1" xfId="0" applyFont="1" applyBorder="1"/>
    <xf numFmtId="0" fontId="43" fillId="0" borderId="0" xfId="0" applyFont="1" applyAlignment="1">
      <alignment horizontal="center"/>
    </xf>
    <xf numFmtId="173" fontId="0" fillId="0" borderId="1" xfId="1" applyNumberFormat="1" applyFont="1" applyBorder="1"/>
    <xf numFmtId="173" fontId="43" fillId="0" borderId="1" xfId="1" applyNumberFormat="1" applyFont="1" applyBorder="1"/>
    <xf numFmtId="0" fontId="43" fillId="0" borderId="0" xfId="0" applyFont="1" applyAlignment="1">
      <alignment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center"/>
    </xf>
    <xf numFmtId="173" fontId="46" fillId="0" borderId="1" xfId="1" applyNumberFormat="1" applyFont="1" applyBorder="1"/>
    <xf numFmtId="173" fontId="45" fillId="0" borderId="1" xfId="1" applyNumberFormat="1" applyFont="1" applyBorder="1"/>
    <xf numFmtId="173" fontId="46" fillId="2" borderId="1" xfId="1" applyNumberFormat="1" applyFont="1" applyFill="1" applyBorder="1"/>
    <xf numFmtId="0" fontId="46" fillId="0" borderId="1" xfId="0" applyFont="1" applyBorder="1" applyAlignment="1">
      <alignment wrapText="1"/>
    </xf>
    <xf numFmtId="0" fontId="45" fillId="0" borderId="0" xfId="0" applyFont="1" applyAlignment="1">
      <alignment horizontal="center"/>
    </xf>
    <xf numFmtId="173" fontId="46" fillId="0" borderId="0" xfId="1" applyNumberFormat="1" applyFont="1"/>
    <xf numFmtId="173" fontId="47" fillId="0" borderId="1" xfId="1" applyNumberFormat="1" applyFont="1" applyBorder="1"/>
    <xf numFmtId="0" fontId="45" fillId="0" borderId="1" xfId="0" applyFont="1" applyBorder="1" applyAlignment="1">
      <alignment wrapText="1"/>
    </xf>
    <xf numFmtId="0" fontId="46" fillId="0" borderId="0" xfId="0" applyFont="1" applyAlignment="1">
      <alignment wrapText="1"/>
    </xf>
    <xf numFmtId="0" fontId="47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3" fillId="0" borderId="1" xfId="0" applyFont="1" applyBorder="1" applyAlignment="1">
      <alignment horizontal="center" vertical="center"/>
    </xf>
    <xf numFmtId="165" fontId="0" fillId="0" borderId="1" xfId="1" applyFont="1" applyBorder="1"/>
    <xf numFmtId="165" fontId="43" fillId="0" borderId="1" xfId="1" applyFont="1" applyBorder="1"/>
    <xf numFmtId="0" fontId="8" fillId="6" borderId="0" xfId="0" applyFont="1" applyFill="1" applyAlignment="1">
      <alignment horizontal="center" vertical="center"/>
    </xf>
    <xf numFmtId="43" fontId="8" fillId="0" borderId="1" xfId="1" applyNumberFormat="1" applyFont="1" applyFill="1" applyBorder="1" applyAlignment="1">
      <alignment vertical="top"/>
    </xf>
    <xf numFmtId="43" fontId="9" fillId="0" borderId="1" xfId="1" applyNumberFormat="1" applyFont="1" applyFill="1" applyBorder="1" applyAlignment="1">
      <alignment vertical="top"/>
    </xf>
    <xf numFmtId="164" fontId="8" fillId="0" borderId="1" xfId="1" applyNumberFormat="1" applyFont="1" applyFill="1" applyBorder="1" applyAlignment="1">
      <alignment vertical="top"/>
    </xf>
    <xf numFmtId="0" fontId="46" fillId="2" borderId="1" xfId="0" applyFont="1" applyFill="1" applyBorder="1" applyAlignment="1">
      <alignment wrapText="1"/>
    </xf>
    <xf numFmtId="0" fontId="8" fillId="6" borderId="0" xfId="0" applyFont="1" applyFill="1" applyAlignment="1">
      <alignment horizontal="right" vertical="center"/>
    </xf>
    <xf numFmtId="0" fontId="44" fillId="0" borderId="20" xfId="0" applyFont="1" applyBorder="1" applyAlignment="1">
      <alignment vertical="center"/>
    </xf>
    <xf numFmtId="43" fontId="8" fillId="0" borderId="1" xfId="1" applyNumberFormat="1" applyFont="1" applyFill="1" applyBorder="1" applyAlignment="1">
      <alignment vertical="center"/>
    </xf>
    <xf numFmtId="0" fontId="8" fillId="9" borderId="0" xfId="0" applyFont="1" applyFill="1"/>
    <xf numFmtId="4" fontId="16" fillId="0" borderId="0" xfId="0" applyNumberFormat="1" applyFont="1"/>
    <xf numFmtId="0" fontId="8" fillId="9" borderId="0" xfId="0" applyFont="1" applyFill="1" applyAlignment="1">
      <alignment vertical="top"/>
    </xf>
    <xf numFmtId="0" fontId="8" fillId="9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right"/>
    </xf>
    <xf numFmtId="0" fontId="9" fillId="9" borderId="0" xfId="0" applyFont="1" applyFill="1" applyAlignment="1">
      <alignment vertical="top"/>
    </xf>
    <xf numFmtId="43" fontId="29" fillId="0" borderId="1" xfId="1" applyNumberFormat="1" applyFont="1" applyFill="1" applyBorder="1" applyAlignment="1">
      <alignment vertical="top"/>
    </xf>
    <xf numFmtId="4" fontId="6" fillId="0" borderId="1" xfId="0" applyNumberFormat="1" applyFont="1" applyBorder="1"/>
    <xf numFmtId="0" fontId="8" fillId="2" borderId="0" xfId="0" applyFont="1" applyFill="1" applyAlignment="1">
      <alignment vertical="center"/>
    </xf>
    <xf numFmtId="0" fontId="36" fillId="0" borderId="14" xfId="0" applyFont="1" applyBorder="1" applyAlignment="1">
      <alignment horizontal="left" vertical="top" wrapText="1"/>
    </xf>
    <xf numFmtId="0" fontId="36" fillId="0" borderId="13" xfId="0" applyFont="1" applyBorder="1"/>
    <xf numFmtId="0" fontId="29" fillId="0" borderId="1" xfId="0" applyFont="1" applyBorder="1" applyAlignment="1">
      <alignment horizontal="center" vertical="top"/>
    </xf>
    <xf numFmtId="0" fontId="29" fillId="0" borderId="1" xfId="3" applyFont="1" applyBorder="1"/>
    <xf numFmtId="0" fontId="29" fillId="0" borderId="1" xfId="3" applyFont="1" applyBorder="1" applyAlignment="1">
      <alignment horizontal="center"/>
    </xf>
    <xf numFmtId="0" fontId="29" fillId="0" borderId="1" xfId="3" applyFont="1" applyBorder="1" applyAlignment="1">
      <alignment horizontal="right"/>
    </xf>
    <xf numFmtId="0" fontId="29" fillId="0" borderId="1" xfId="0" applyFont="1" applyBorder="1" applyAlignment="1">
      <alignment horizontal="right" vertical="top"/>
    </xf>
    <xf numFmtId="165" fontId="29" fillId="0" borderId="1" xfId="1" applyFont="1" applyFill="1" applyBorder="1" applyAlignment="1">
      <alignment horizontal="right" vertical="top"/>
    </xf>
    <xf numFmtId="4" fontId="29" fillId="0" borderId="1" xfId="0" applyNumberFormat="1" applyFont="1" applyBorder="1" applyAlignment="1">
      <alignment horizontal="right" wrapText="1"/>
    </xf>
    <xf numFmtId="3" fontId="29" fillId="0" borderId="1" xfId="0" applyNumberFormat="1" applyFont="1" applyBorder="1" applyAlignment="1">
      <alignment horizontal="right"/>
    </xf>
    <xf numFmtId="0" fontId="29" fillId="0" borderId="1" xfId="0" applyFont="1" applyBorder="1" applyAlignment="1">
      <alignment horizontal="right"/>
    </xf>
    <xf numFmtId="4" fontId="29" fillId="0" borderId="1" xfId="0" applyNumberFormat="1" applyFont="1" applyBorder="1" applyAlignment="1">
      <alignment horizontal="right"/>
    </xf>
    <xf numFmtId="0" fontId="29" fillId="0" borderId="0" xfId="0" applyFont="1" applyAlignment="1">
      <alignment vertical="top"/>
    </xf>
    <xf numFmtId="43" fontId="29" fillId="0" borderId="1" xfId="0" applyNumberFormat="1" applyFont="1" applyBorder="1" applyAlignment="1">
      <alignment vertical="top"/>
    </xf>
    <xf numFmtId="0" fontId="36" fillId="0" borderId="0" xfId="0" applyFont="1" applyAlignment="1">
      <alignment horizontal="left" vertical="top"/>
    </xf>
    <xf numFmtId="1" fontId="8" fillId="2" borderId="1" xfId="0" applyNumberFormat="1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/>
    </xf>
    <xf numFmtId="4" fontId="8" fillId="2" borderId="1" xfId="3" applyNumberFormat="1" applyFont="1" applyFill="1" applyBorder="1" applyAlignment="1">
      <alignment vertical="center"/>
    </xf>
    <xf numFmtId="43" fontId="8" fillId="2" borderId="1" xfId="1" applyNumberFormat="1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vertical="center"/>
    </xf>
    <xf numFmtId="2" fontId="8" fillId="2" borderId="0" xfId="0" applyNumberFormat="1" applyFont="1" applyFill="1" applyAlignment="1">
      <alignment vertical="center"/>
    </xf>
    <xf numFmtId="4" fontId="9" fillId="2" borderId="12" xfId="0" applyNumberFormat="1" applyFont="1" applyFill="1" applyBorder="1" applyAlignment="1">
      <alignment vertical="center"/>
    </xf>
    <xf numFmtId="4" fontId="9" fillId="2" borderId="12" xfId="0" applyNumberFormat="1" applyFont="1" applyFill="1" applyBorder="1" applyAlignment="1">
      <alignment horizontal="right" vertical="center" wrapText="1"/>
    </xf>
    <xf numFmtId="4" fontId="8" fillId="2" borderId="12" xfId="0" applyNumberFormat="1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vertical="center"/>
    </xf>
    <xf numFmtId="0" fontId="9" fillId="2" borderId="1" xfId="3" applyFont="1" applyFill="1" applyBorder="1" applyAlignment="1">
      <alignment vertical="center" wrapText="1"/>
    </xf>
    <xf numFmtId="4" fontId="9" fillId="2" borderId="1" xfId="4" applyNumberFormat="1" applyFont="1" applyFill="1" applyBorder="1" applyAlignment="1">
      <alignment vertical="center"/>
    </xf>
    <xf numFmtId="166" fontId="9" fillId="2" borderId="1" xfId="0" applyNumberFormat="1" applyFont="1" applyFill="1" applyBorder="1" applyAlignment="1">
      <alignment vertical="center" wrapText="1"/>
    </xf>
    <xf numFmtId="0" fontId="9" fillId="2" borderId="1" xfId="3" applyFont="1" applyFill="1" applyBorder="1" applyAlignment="1">
      <alignment vertical="center"/>
    </xf>
    <xf numFmtId="3" fontId="9" fillId="2" borderId="1" xfId="3" applyNumberFormat="1" applyFont="1" applyFill="1" applyBorder="1" applyAlignment="1">
      <alignment horizontal="right" vertical="center"/>
    </xf>
    <xf numFmtId="3" fontId="9" fillId="2" borderId="1" xfId="3" applyNumberFormat="1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vertical="center"/>
    </xf>
    <xf numFmtId="43" fontId="9" fillId="2" borderId="1" xfId="1" applyNumberFormat="1" applyFont="1" applyFill="1" applyBorder="1" applyAlignment="1">
      <alignment vertical="center"/>
    </xf>
    <xf numFmtId="165" fontId="9" fillId="2" borderId="1" xfId="0" applyNumberFormat="1" applyFont="1" applyFill="1" applyBorder="1" applyAlignment="1">
      <alignment vertical="center"/>
    </xf>
    <xf numFmtId="168" fontId="9" fillId="2" borderId="1" xfId="0" applyNumberFormat="1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3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vertical="center" wrapText="1"/>
    </xf>
    <xf numFmtId="4" fontId="8" fillId="2" borderId="18" xfId="0" applyNumberFormat="1" applyFont="1" applyFill="1" applyBorder="1" applyAlignment="1">
      <alignment vertical="center"/>
    </xf>
    <xf numFmtId="3" fontId="8" fillId="2" borderId="1" xfId="3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/>
    </xf>
    <xf numFmtId="1" fontId="8" fillId="0" borderId="1" xfId="0" applyNumberFormat="1" applyFont="1" applyBorder="1" applyAlignment="1">
      <alignment vertical="center"/>
    </xf>
    <xf numFmtId="0" fontId="8" fillId="0" borderId="1" xfId="3" applyFont="1" applyBorder="1" applyAlignment="1">
      <alignment vertical="center"/>
    </xf>
    <xf numFmtId="0" fontId="8" fillId="0" borderId="1" xfId="3" applyFont="1" applyBorder="1" applyAlignment="1">
      <alignment horizontal="right" vertical="center"/>
    </xf>
    <xf numFmtId="4" fontId="8" fillId="0" borderId="1" xfId="0" applyNumberFormat="1" applyFont="1" applyBorder="1" applyAlignment="1">
      <alignment vertical="center"/>
    </xf>
    <xf numFmtId="4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8" fillId="0" borderId="0" xfId="0" applyFont="1"/>
    <xf numFmtId="4" fontId="9" fillId="0" borderId="12" xfId="0" applyNumberFormat="1" applyFont="1" applyBorder="1" applyAlignment="1">
      <alignment horizontal="right" vertical="top" wrapText="1"/>
    </xf>
    <xf numFmtId="4" fontId="9" fillId="0" borderId="12" xfId="0" applyNumberFormat="1" applyFont="1" applyBorder="1" applyAlignment="1">
      <alignment horizontal="center" vertical="top"/>
    </xf>
    <xf numFmtId="4" fontId="9" fillId="0" borderId="4" xfId="0" applyNumberFormat="1" applyFont="1" applyBorder="1" applyAlignment="1">
      <alignment vertical="center" wrapText="1"/>
    </xf>
    <xf numFmtId="0" fontId="8" fillId="0" borderId="1" xfId="0" applyFont="1" applyBorder="1"/>
    <xf numFmtId="4" fontId="9" fillId="0" borderId="12" xfId="0" applyNumberFormat="1" applyFont="1" applyBorder="1" applyAlignment="1">
      <alignment horizontal="center" vertical="center"/>
    </xf>
    <xf numFmtId="4" fontId="9" fillId="0" borderId="12" xfId="0" applyNumberFormat="1" applyFont="1" applyBorder="1" applyAlignment="1">
      <alignment vertical="center" wrapText="1"/>
    </xf>
    <xf numFmtId="4" fontId="9" fillId="0" borderId="1" xfId="0" applyNumberFormat="1" applyFont="1" applyBorder="1"/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right"/>
    </xf>
    <xf numFmtId="4" fontId="9" fillId="0" borderId="13" xfId="0" applyNumberFormat="1" applyFont="1" applyBorder="1" applyAlignment="1">
      <alignment horizontal="center" vertical="top"/>
    </xf>
    <xf numFmtId="4" fontId="9" fillId="0" borderId="13" xfId="0" applyNumberFormat="1" applyFont="1" applyBorder="1" applyAlignment="1">
      <alignment horizontal="center" vertical="center"/>
    </xf>
    <xf numFmtId="4" fontId="9" fillId="0" borderId="13" xfId="0" applyNumberFormat="1" applyFont="1" applyBorder="1" applyAlignment="1">
      <alignment vertical="center" wrapText="1"/>
    </xf>
    <xf numFmtId="4" fontId="9" fillId="0" borderId="1" xfId="4" applyNumberFormat="1" applyFont="1" applyBorder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4" fontId="9" fillId="0" borderId="1" xfId="0" applyNumberFormat="1" applyFont="1" applyBorder="1" applyAlignment="1">
      <alignment vertical="center"/>
    </xf>
    <xf numFmtId="4" fontId="8" fillId="0" borderId="1" xfId="0" applyNumberFormat="1" applyFont="1" applyBorder="1"/>
    <xf numFmtId="4" fontId="8" fillId="0" borderId="2" xfId="0" applyNumberFormat="1" applyFont="1" applyBorder="1"/>
    <xf numFmtId="43" fontId="8" fillId="0" borderId="1" xfId="1" applyNumberFormat="1" applyFont="1" applyFill="1" applyBorder="1"/>
    <xf numFmtId="43" fontId="8" fillId="0" borderId="1" xfId="0" applyNumberFormat="1" applyFont="1" applyBorder="1"/>
    <xf numFmtId="0" fontId="8" fillId="0" borderId="1" xfId="3" applyFont="1" applyBorder="1"/>
    <xf numFmtId="0" fontId="8" fillId="0" borderId="1" xfId="3" applyFont="1" applyBorder="1" applyAlignment="1">
      <alignment horizontal="right"/>
    </xf>
    <xf numFmtId="0" fontId="8" fillId="0" borderId="1" xfId="3" applyFont="1" applyBorder="1" applyAlignment="1">
      <alignment wrapText="1"/>
    </xf>
    <xf numFmtId="4" fontId="12" fillId="0" borderId="1" xfId="0" applyNumberFormat="1" applyFont="1" applyBorder="1" applyAlignment="1">
      <alignment vertical="center"/>
    </xf>
    <xf numFmtId="0" fontId="9" fillId="0" borderId="1" xfId="3" applyFont="1" applyBorder="1" applyAlignment="1">
      <alignment horizontal="center"/>
    </xf>
    <xf numFmtId="3" fontId="9" fillId="0" borderId="1" xfId="0" applyNumberFormat="1" applyFont="1" applyBorder="1"/>
    <xf numFmtId="0" fontId="9" fillId="0" borderId="1" xfId="0" applyFont="1" applyBorder="1" applyAlignment="1">
      <alignment horizontal="right"/>
    </xf>
    <xf numFmtId="43" fontId="9" fillId="0" borderId="1" xfId="0" applyNumberFormat="1" applyFont="1" applyBorder="1"/>
    <xf numFmtId="1" fontId="8" fillId="0" borderId="1" xfId="0" applyNumberFormat="1" applyFont="1" applyBorder="1"/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/>
    <xf numFmtId="43" fontId="9" fillId="0" borderId="1" xfId="1" applyNumberFormat="1" applyFont="1" applyFill="1" applyBorder="1"/>
    <xf numFmtId="0" fontId="9" fillId="0" borderId="1" xfId="3" applyFont="1" applyBorder="1" applyAlignment="1">
      <alignment horizontal="right"/>
    </xf>
    <xf numFmtId="165" fontId="8" fillId="0" borderId="1" xfId="1" applyFont="1" applyFill="1" applyBorder="1"/>
    <xf numFmtId="165" fontId="9" fillId="0" borderId="1" xfId="1" applyFont="1" applyFill="1" applyBorder="1"/>
    <xf numFmtId="4" fontId="9" fillId="0" borderId="0" xfId="0" applyNumberFormat="1" applyFont="1"/>
    <xf numFmtId="0" fontId="9" fillId="0" borderId="1" xfId="3" applyFont="1" applyBorder="1" applyAlignment="1">
      <alignment horizontal="left"/>
    </xf>
    <xf numFmtId="0" fontId="8" fillId="0" borderId="0" xfId="0" applyFont="1" applyAlignment="1">
      <alignment vertical="top"/>
    </xf>
    <xf numFmtId="4" fontId="8" fillId="0" borderId="0" xfId="0" applyNumberFormat="1" applyFont="1" applyAlignment="1">
      <alignment vertical="center"/>
    </xf>
    <xf numFmtId="4" fontId="8" fillId="0" borderId="0" xfId="0" applyNumberFormat="1" applyFont="1"/>
    <xf numFmtId="43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3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right" vertical="top"/>
    </xf>
    <xf numFmtId="0" fontId="9" fillId="0" borderId="1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2" fontId="8" fillId="0" borderId="0" xfId="0" applyNumberFormat="1" applyFont="1" applyAlignment="1">
      <alignment horizontal="right" vertical="top"/>
    </xf>
    <xf numFmtId="0" fontId="8" fillId="0" borderId="14" xfId="0" applyFont="1" applyBorder="1" applyAlignment="1">
      <alignment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8" fillId="0" borderId="1" xfId="0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169" fontId="9" fillId="0" borderId="1" xfId="4" applyNumberFormat="1" applyFont="1" applyBorder="1" applyAlignment="1">
      <alignment horizontal="right" vertical="top"/>
    </xf>
    <xf numFmtId="3" fontId="9" fillId="0" borderId="1" xfId="0" applyNumberFormat="1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vertical="top" wrapText="1"/>
    </xf>
    <xf numFmtId="0" fontId="8" fillId="0" borderId="12" xfId="0" applyFont="1" applyBorder="1" applyAlignment="1">
      <alignment vertical="top" textRotation="90" wrapText="1"/>
    </xf>
    <xf numFmtId="0" fontId="9" fillId="0" borderId="1" xfId="3" applyFont="1" applyBorder="1" applyAlignment="1">
      <alignment vertical="top"/>
    </xf>
    <xf numFmtId="0" fontId="8" fillId="0" borderId="1" xfId="3" applyFont="1" applyBorder="1" applyAlignment="1">
      <alignment horizontal="center" vertical="top"/>
    </xf>
    <xf numFmtId="0" fontId="30" fillId="0" borderId="1" xfId="0" applyFont="1" applyBorder="1" applyAlignment="1">
      <alignment horizontal="right" vertical="top"/>
    </xf>
    <xf numFmtId="0" fontId="31" fillId="0" borderId="1" xfId="0" applyFont="1" applyBorder="1" applyAlignment="1">
      <alignment horizontal="right" vertical="top"/>
    </xf>
    <xf numFmtId="3" fontId="30" fillId="0" borderId="1" xfId="0" applyNumberFormat="1" applyFont="1" applyBorder="1" applyAlignment="1">
      <alignment horizontal="right" vertical="top"/>
    </xf>
    <xf numFmtId="3" fontId="31" fillId="0" borderId="1" xfId="0" applyNumberFormat="1" applyFont="1" applyBorder="1" applyAlignment="1">
      <alignment horizontal="right" vertical="top"/>
    </xf>
    <xf numFmtId="4" fontId="9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top"/>
    </xf>
    <xf numFmtId="3" fontId="8" fillId="0" borderId="1" xfId="0" applyNumberFormat="1" applyFont="1" applyBorder="1" applyAlignment="1">
      <alignment horizontal="right" vertical="top"/>
    </xf>
    <xf numFmtId="165" fontId="8" fillId="0" borderId="1" xfId="0" applyNumberFormat="1" applyFont="1" applyBorder="1" applyAlignment="1">
      <alignment vertical="top"/>
    </xf>
    <xf numFmtId="0" fontId="8" fillId="0" borderId="15" xfId="0" applyFont="1" applyBorder="1" applyAlignment="1">
      <alignment vertical="top" textRotation="90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/>
    </xf>
    <xf numFmtId="171" fontId="8" fillId="0" borderId="1" xfId="0" applyNumberFormat="1" applyFont="1" applyBorder="1" applyAlignment="1">
      <alignment horizontal="right" vertical="top"/>
    </xf>
    <xf numFmtId="0" fontId="8" fillId="0" borderId="1" xfId="3" applyFont="1" applyBorder="1" applyAlignment="1">
      <alignment vertical="top"/>
    </xf>
    <xf numFmtId="0" fontId="8" fillId="0" borderId="1" xfId="3" applyFont="1" applyBorder="1" applyAlignment="1">
      <alignment horizontal="right" vertical="top"/>
    </xf>
    <xf numFmtId="4" fontId="8" fillId="0" borderId="0" xfId="0" applyNumberFormat="1" applyFont="1" applyAlignment="1">
      <alignment vertical="top"/>
    </xf>
    <xf numFmtId="0" fontId="8" fillId="0" borderId="1" xfId="3" applyFont="1" applyBorder="1" applyAlignment="1">
      <alignment vertical="top" wrapText="1"/>
    </xf>
    <xf numFmtId="3" fontId="8" fillId="0" borderId="1" xfId="3" applyNumberFormat="1" applyFont="1" applyBorder="1" applyAlignment="1">
      <alignment horizontal="right" vertical="top"/>
    </xf>
    <xf numFmtId="0" fontId="9" fillId="0" borderId="1" xfId="3" applyFont="1" applyBorder="1" applyAlignment="1">
      <alignment horizontal="center" vertical="top"/>
    </xf>
    <xf numFmtId="0" fontId="9" fillId="0" borderId="1" xfId="3" applyFont="1" applyBorder="1" applyAlignment="1">
      <alignment horizontal="right" vertical="top"/>
    </xf>
    <xf numFmtId="4" fontId="9" fillId="0" borderId="0" xfId="0" applyNumberFormat="1" applyFont="1" applyAlignment="1">
      <alignment vertical="top"/>
    </xf>
    <xf numFmtId="3" fontId="9" fillId="0" borderId="1" xfId="0" applyNumberFormat="1" applyFont="1" applyBorder="1" applyAlignment="1">
      <alignment horizontal="right" vertical="top"/>
    </xf>
    <xf numFmtId="165" fontId="9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vertical="top"/>
    </xf>
    <xf numFmtId="164" fontId="12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left" vertical="top"/>
    </xf>
    <xf numFmtId="164" fontId="9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172" fontId="8" fillId="0" borderId="1" xfId="0" applyNumberFormat="1" applyFont="1" applyBorder="1" applyAlignment="1">
      <alignment horizontal="right" vertical="top"/>
    </xf>
    <xf numFmtId="170" fontId="8" fillId="0" borderId="1" xfId="0" applyNumberFormat="1" applyFont="1" applyBorder="1" applyAlignment="1">
      <alignment horizontal="right" vertical="top"/>
    </xf>
    <xf numFmtId="171" fontId="9" fillId="0" borderId="1" xfId="0" applyNumberFormat="1" applyFont="1" applyBorder="1" applyAlignment="1">
      <alignment horizontal="right" vertical="top" wrapText="1"/>
    </xf>
    <xf numFmtId="0" fontId="8" fillId="0" borderId="1" xfId="5" applyFont="1" applyBorder="1" applyAlignment="1">
      <alignment horizontal="center" vertical="top"/>
    </xf>
    <xf numFmtId="0" fontId="8" fillId="0" borderId="1" xfId="3" applyFont="1" applyBorder="1" applyAlignment="1">
      <alignment horizontal="left" vertical="top"/>
    </xf>
    <xf numFmtId="0" fontId="32" fillId="0" borderId="1" xfId="3" applyFont="1" applyBorder="1" applyAlignment="1">
      <alignment horizontal="left" vertical="top"/>
    </xf>
    <xf numFmtId="3" fontId="8" fillId="0" borderId="0" xfId="0" applyNumberFormat="1" applyFont="1" applyAlignment="1">
      <alignment vertical="top"/>
    </xf>
    <xf numFmtId="0" fontId="9" fillId="0" borderId="0" xfId="0" applyFont="1" applyAlignment="1">
      <alignment horizontal="center" vertical="top"/>
    </xf>
    <xf numFmtId="2" fontId="8" fillId="0" borderId="0" xfId="0" applyNumberFormat="1" applyFont="1"/>
    <xf numFmtId="0" fontId="9" fillId="0" borderId="1" xfId="0" applyFont="1" applyBorder="1" applyAlignment="1">
      <alignment horizontal="right" vertical="top"/>
    </xf>
    <xf numFmtId="169" fontId="9" fillId="0" borderId="1" xfId="4" applyNumberFormat="1" applyFont="1" applyBorder="1" applyAlignment="1">
      <alignment horizontal="right"/>
    </xf>
    <xf numFmtId="4" fontId="9" fillId="0" borderId="2" xfId="0" applyNumberFormat="1" applyFont="1" applyBorder="1" applyAlignment="1">
      <alignment horizontal="right" vertical="top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top"/>
    </xf>
    <xf numFmtId="0" fontId="8" fillId="0" borderId="1" xfId="3" applyFont="1" applyBorder="1" applyAlignment="1">
      <alignment horizontal="left"/>
    </xf>
    <xf numFmtId="43" fontId="8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/>
    </xf>
    <xf numFmtId="167" fontId="8" fillId="0" borderId="1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/>
    </xf>
    <xf numFmtId="0" fontId="9" fillId="0" borderId="15" xfId="0" applyFont="1" applyBorder="1" applyAlignment="1">
      <alignment vertical="top" textRotation="90" wrapText="1"/>
    </xf>
    <xf numFmtId="4" fontId="9" fillId="0" borderId="1" xfId="3" applyNumberFormat="1" applyFont="1" applyBorder="1" applyAlignment="1">
      <alignment horizontal="left"/>
    </xf>
    <xf numFmtId="4" fontId="9" fillId="0" borderId="1" xfId="3" applyNumberFormat="1" applyFont="1" applyBorder="1"/>
    <xf numFmtId="164" fontId="9" fillId="0" borderId="1" xfId="0" applyNumberFormat="1" applyFont="1" applyBorder="1" applyAlignment="1">
      <alignment horizontal="right" vertical="top"/>
    </xf>
    <xf numFmtId="43" fontId="9" fillId="0" borderId="1" xfId="0" applyNumberFormat="1" applyFont="1" applyBorder="1" applyAlignment="1">
      <alignment vertical="top"/>
    </xf>
    <xf numFmtId="4" fontId="31" fillId="0" borderId="1" xfId="0" applyNumberFormat="1" applyFont="1" applyBorder="1" applyAlignment="1">
      <alignment horizontal="right" vertical="top"/>
    </xf>
    <xf numFmtId="0" fontId="8" fillId="0" borderId="15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/>
    </xf>
    <xf numFmtId="0" fontId="8" fillId="0" borderId="1" xfId="3" applyFont="1" applyBorder="1" applyAlignment="1">
      <alignment horizontal="left" vertical="center" wrapText="1"/>
    </xf>
    <xf numFmtId="0" fontId="8" fillId="0" borderId="1" xfId="3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8" fillId="0" borderId="1" xfId="1" applyNumberFormat="1" applyFont="1" applyFill="1" applyBorder="1" applyAlignment="1">
      <alignment horizontal="center" vertical="center"/>
    </xf>
    <xf numFmtId="43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right" vertical="top"/>
    </xf>
    <xf numFmtId="1" fontId="8" fillId="0" borderId="1" xfId="0" applyNumberFormat="1" applyFont="1" applyBorder="1" applyAlignment="1">
      <alignment vertical="top"/>
    </xf>
    <xf numFmtId="0" fontId="8" fillId="0" borderId="1" xfId="3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3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/>
    </xf>
    <xf numFmtId="4" fontId="8" fillId="0" borderId="1" xfId="3" applyNumberFormat="1" applyFont="1" applyBorder="1"/>
    <xf numFmtId="171" fontId="8" fillId="0" borderId="1" xfId="0" applyNumberFormat="1" applyFont="1" applyBorder="1" applyAlignment="1">
      <alignment horizontal="right" vertical="top" wrapText="1"/>
    </xf>
    <xf numFmtId="0" fontId="8" fillId="0" borderId="1" xfId="3" applyFont="1" applyBorder="1" applyAlignment="1">
      <alignment horizontal="left" wrapText="1"/>
    </xf>
    <xf numFmtId="0" fontId="8" fillId="0" borderId="15" xfId="0" applyFont="1" applyBorder="1" applyAlignment="1">
      <alignment horizontal="right" vertical="center" textRotation="90" wrapText="1"/>
    </xf>
    <xf numFmtId="0" fontId="8" fillId="0" borderId="1" xfId="0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 wrapText="1"/>
    </xf>
    <xf numFmtId="167" fontId="8" fillId="0" borderId="1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43" fontId="8" fillId="0" borderId="1" xfId="1" applyNumberFormat="1" applyFont="1" applyFill="1" applyBorder="1" applyAlignment="1">
      <alignment horizontal="right" vertical="center"/>
    </xf>
    <xf numFmtId="43" fontId="8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vertical="top"/>
    </xf>
    <xf numFmtId="0" fontId="8" fillId="0" borderId="15" xfId="0" applyFont="1" applyBorder="1" applyAlignment="1">
      <alignment vertical="center" textRotation="90" wrapText="1"/>
    </xf>
    <xf numFmtId="164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165" fontId="8" fillId="0" borderId="1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8" fillId="0" borderId="1" xfId="5" applyFont="1" applyBorder="1" applyAlignment="1">
      <alignment horizontal="center"/>
    </xf>
    <xf numFmtId="0" fontId="8" fillId="0" borderId="1" xfId="5" applyFont="1" applyBorder="1" applyAlignment="1">
      <alignment horizontal="right"/>
    </xf>
    <xf numFmtId="4" fontId="8" fillId="0" borderId="0" xfId="0" applyNumberFormat="1" applyFont="1" applyAlignment="1">
      <alignment horizontal="right"/>
    </xf>
    <xf numFmtId="43" fontId="8" fillId="0" borderId="1" xfId="1" applyNumberFormat="1" applyFont="1" applyFill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0" fontId="9" fillId="0" borderId="15" xfId="0" applyFont="1" applyBorder="1" applyAlignment="1">
      <alignment vertical="center" textRotation="90" wrapText="1"/>
    </xf>
    <xf numFmtId="0" fontId="9" fillId="0" borderId="1" xfId="0" applyFont="1" applyBorder="1" applyAlignment="1">
      <alignment horizontal="left" vertical="center"/>
    </xf>
    <xf numFmtId="3" fontId="9" fillId="0" borderId="1" xfId="0" applyNumberFormat="1" applyFont="1" applyBorder="1" applyAlignment="1">
      <alignment vertical="top" wrapText="1"/>
    </xf>
    <xf numFmtId="165" fontId="9" fillId="0" borderId="1" xfId="1" applyFont="1" applyFill="1" applyBorder="1" applyAlignment="1">
      <alignment horizontal="center" vertical="top" wrapText="1"/>
    </xf>
    <xf numFmtId="3" fontId="8" fillId="0" borderId="1" xfId="0" applyNumberFormat="1" applyFont="1" applyBorder="1" applyAlignment="1">
      <alignment vertical="top"/>
    </xf>
    <xf numFmtId="0" fontId="8" fillId="0" borderId="1" xfId="5" applyFont="1" applyBorder="1"/>
    <xf numFmtId="3" fontId="33" fillId="0" borderId="1" xfId="0" applyNumberFormat="1" applyFont="1" applyBorder="1" applyAlignment="1">
      <alignment horizontal="right" vertical="center"/>
    </xf>
    <xf numFmtId="3" fontId="35" fillId="0" borderId="1" xfId="0" applyNumberFormat="1" applyFont="1" applyBorder="1" applyAlignment="1">
      <alignment horizontal="right" vertical="top"/>
    </xf>
    <xf numFmtId="0" fontId="8" fillId="0" borderId="1" xfId="0" applyFont="1" applyBorder="1" applyAlignment="1">
      <alignment horizontal="left" vertical="center"/>
    </xf>
    <xf numFmtId="165" fontId="8" fillId="0" borderId="1" xfId="1" applyFont="1" applyFill="1" applyBorder="1" applyAlignment="1">
      <alignment horizontal="right" vertical="top" wrapText="1"/>
    </xf>
    <xf numFmtId="0" fontId="12" fillId="0" borderId="1" xfId="0" applyFont="1" applyBorder="1" applyAlignment="1">
      <alignment vertical="top" wrapText="1"/>
    </xf>
    <xf numFmtId="3" fontId="9" fillId="0" borderId="1" xfId="0" applyNumberFormat="1" applyFont="1" applyBorder="1" applyAlignment="1">
      <alignment vertical="top"/>
    </xf>
    <xf numFmtId="0" fontId="36" fillId="0" borderId="0" xfId="0" applyFont="1" applyAlignment="1">
      <alignment horizontal="center" vertical="top"/>
    </xf>
    <xf numFmtId="0" fontId="36" fillId="0" borderId="0" xfId="0" applyFont="1" applyAlignment="1">
      <alignment vertical="top"/>
    </xf>
    <xf numFmtId="4" fontId="29" fillId="0" borderId="0" xfId="0" applyNumberFormat="1" applyFont="1" applyAlignment="1">
      <alignment vertical="top"/>
    </xf>
    <xf numFmtId="0" fontId="29" fillId="0" borderId="0" xfId="0" applyFont="1" applyAlignment="1">
      <alignment horizontal="right" vertical="top"/>
    </xf>
    <xf numFmtId="0" fontId="29" fillId="0" borderId="0" xfId="0" applyFont="1" applyAlignment="1">
      <alignment vertical="top" wrapText="1"/>
    </xf>
    <xf numFmtId="2" fontId="29" fillId="0" borderId="0" xfId="0" applyNumberFormat="1" applyFont="1" applyAlignment="1">
      <alignment horizontal="right" vertical="top"/>
    </xf>
    <xf numFmtId="0" fontId="36" fillId="0" borderId="16" xfId="0" applyFont="1" applyBorder="1" applyAlignment="1">
      <alignment horizontal="center" vertical="top"/>
    </xf>
    <xf numFmtId="0" fontId="29" fillId="0" borderId="1" xfId="0" applyFont="1" applyBorder="1" applyAlignment="1">
      <alignment vertical="top" wrapText="1"/>
    </xf>
    <xf numFmtId="0" fontId="36" fillId="0" borderId="12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 wrapText="1"/>
    </xf>
    <xf numFmtId="0" fontId="36" fillId="0" borderId="13" xfId="0" applyFont="1" applyBorder="1" applyAlignment="1">
      <alignment horizontal="center" vertical="top" wrapText="1"/>
    </xf>
    <xf numFmtId="169" fontId="36" fillId="0" borderId="1" xfId="4" applyNumberFormat="1" applyFont="1" applyBorder="1" applyAlignment="1">
      <alignment horizontal="right" vertical="top"/>
    </xf>
    <xf numFmtId="0" fontId="36" fillId="0" borderId="1" xfId="0" applyFont="1" applyBorder="1" applyAlignment="1">
      <alignment horizontal="left" vertical="top"/>
    </xf>
    <xf numFmtId="0" fontId="36" fillId="0" borderId="1" xfId="0" applyFont="1" applyBorder="1" applyAlignment="1">
      <alignment vertical="top"/>
    </xf>
    <xf numFmtId="4" fontId="36" fillId="0" borderId="1" xfId="0" applyNumberFormat="1" applyFont="1" applyBorder="1" applyAlignment="1">
      <alignment vertical="top"/>
    </xf>
    <xf numFmtId="0" fontId="36" fillId="0" borderId="1" xfId="0" applyFont="1" applyBorder="1" applyAlignment="1">
      <alignment horizontal="right" vertical="top"/>
    </xf>
    <xf numFmtId="0" fontId="36" fillId="0" borderId="1" xfId="0" applyFont="1" applyBorder="1" applyAlignment="1">
      <alignment vertical="top" wrapText="1"/>
    </xf>
    <xf numFmtId="0" fontId="36" fillId="0" borderId="1" xfId="0" applyFont="1" applyBorder="1" applyAlignment="1">
      <alignment horizontal="center" vertical="top"/>
    </xf>
    <xf numFmtId="0" fontId="36" fillId="0" borderId="12" xfId="0" applyFont="1" applyBorder="1" applyAlignment="1">
      <alignment vertical="top" wrapText="1"/>
    </xf>
    <xf numFmtId="0" fontId="36" fillId="0" borderId="13" xfId="0" applyFont="1" applyBorder="1" applyAlignment="1">
      <alignment vertical="top"/>
    </xf>
    <xf numFmtId="0" fontId="36" fillId="0" borderId="1" xfId="3" applyFont="1" applyBorder="1" applyAlignment="1">
      <alignment vertical="top"/>
    </xf>
    <xf numFmtId="0" fontId="29" fillId="0" borderId="1" xfId="3" applyFont="1" applyBorder="1" applyAlignment="1">
      <alignment horizontal="center" vertical="top"/>
    </xf>
    <xf numFmtId="0" fontId="29" fillId="0" borderId="1" xfId="0" applyFont="1" applyBorder="1" applyAlignment="1">
      <alignment vertical="top"/>
    </xf>
    <xf numFmtId="0" fontId="36" fillId="0" borderId="1" xfId="0" applyFont="1" applyBorder="1" applyAlignment="1">
      <alignment horizontal="right" vertical="top" wrapText="1"/>
    </xf>
    <xf numFmtId="0" fontId="36" fillId="0" borderId="15" xfId="0" applyFont="1" applyBorder="1" applyAlignment="1">
      <alignment vertical="top" wrapText="1"/>
    </xf>
    <xf numFmtId="0" fontId="29" fillId="0" borderId="1" xfId="0" applyFont="1" applyBorder="1" applyAlignment="1">
      <alignment horizontal="left" vertical="top"/>
    </xf>
    <xf numFmtId="0" fontId="36" fillId="0" borderId="13" xfId="0" applyFont="1" applyBorder="1" applyAlignment="1">
      <alignment horizontal="center" vertical="top"/>
    </xf>
    <xf numFmtId="0" fontId="29" fillId="0" borderId="1" xfId="3" applyFont="1" applyBorder="1" applyAlignment="1">
      <alignment horizontal="left" vertical="top"/>
    </xf>
    <xf numFmtId="0" fontId="29" fillId="0" borderId="1" xfId="3" applyFont="1" applyBorder="1" applyAlignment="1">
      <alignment horizontal="right" vertical="top"/>
    </xf>
    <xf numFmtId="43" fontId="29" fillId="0" borderId="1" xfId="0" applyNumberFormat="1" applyFont="1" applyBorder="1" applyAlignment="1">
      <alignment horizontal="center" vertical="top"/>
    </xf>
    <xf numFmtId="164" fontId="29" fillId="0" borderId="1" xfId="0" applyNumberFormat="1" applyFont="1" applyBorder="1" applyAlignment="1">
      <alignment horizontal="center" vertical="top" wrapText="1"/>
    </xf>
    <xf numFmtId="4" fontId="29" fillId="0" borderId="1" xfId="0" applyNumberFormat="1" applyFont="1" applyBorder="1" applyAlignment="1">
      <alignment horizontal="center" vertical="top"/>
    </xf>
    <xf numFmtId="1" fontId="29" fillId="0" borderId="1" xfId="0" applyNumberFormat="1" applyFont="1" applyBorder="1" applyAlignment="1">
      <alignment horizontal="center" vertical="top"/>
    </xf>
    <xf numFmtId="164" fontId="29" fillId="0" borderId="1" xfId="0" applyNumberFormat="1" applyFont="1" applyBorder="1" applyAlignment="1">
      <alignment horizontal="center" vertical="top"/>
    </xf>
    <xf numFmtId="0" fontId="29" fillId="0" borderId="0" xfId="0" applyFont="1" applyAlignment="1">
      <alignment horizontal="center" vertical="top"/>
    </xf>
    <xf numFmtId="43" fontId="29" fillId="0" borderId="1" xfId="1" applyNumberFormat="1" applyFont="1" applyFill="1" applyBorder="1" applyAlignment="1">
      <alignment horizontal="center" vertical="top"/>
    </xf>
    <xf numFmtId="1" fontId="29" fillId="0" borderId="1" xfId="0" applyNumberFormat="1" applyFont="1" applyBorder="1" applyAlignment="1">
      <alignment horizontal="left" vertical="top"/>
    </xf>
    <xf numFmtId="164" fontId="29" fillId="0" borderId="1" xfId="0" applyNumberFormat="1" applyFont="1" applyBorder="1" applyAlignment="1">
      <alignment horizontal="left" vertical="top"/>
    </xf>
    <xf numFmtId="0" fontId="29" fillId="0" borderId="1" xfId="3" applyFont="1" applyBorder="1" applyAlignment="1">
      <alignment vertical="top" wrapText="1"/>
    </xf>
    <xf numFmtId="164" fontId="29" fillId="0" borderId="1" xfId="0" applyNumberFormat="1" applyFont="1" applyBorder="1" applyAlignment="1">
      <alignment horizontal="right" vertical="top" wrapText="1"/>
    </xf>
    <xf numFmtId="4" fontId="29" fillId="0" borderId="1" xfId="0" applyNumberFormat="1" applyFont="1" applyBorder="1" applyAlignment="1">
      <alignment horizontal="right" vertical="top"/>
    </xf>
    <xf numFmtId="4" fontId="29" fillId="0" borderId="1" xfId="0" applyNumberFormat="1" applyFont="1" applyBorder="1" applyAlignment="1">
      <alignment vertical="top"/>
    </xf>
    <xf numFmtId="0" fontId="29" fillId="0" borderId="13" xfId="0" applyFont="1" applyBorder="1" applyAlignment="1">
      <alignment vertical="top"/>
    </xf>
    <xf numFmtId="0" fontId="29" fillId="0" borderId="1" xfId="3" applyFont="1" applyBorder="1" applyAlignment="1">
      <alignment vertical="top"/>
    </xf>
    <xf numFmtId="0" fontId="36" fillId="0" borderId="1" xfId="3" applyFont="1" applyBorder="1" applyAlignment="1">
      <alignment horizontal="center" vertical="top"/>
    </xf>
    <xf numFmtId="0" fontId="36" fillId="0" borderId="1" xfId="3" applyFont="1" applyBorder="1" applyAlignment="1">
      <alignment horizontal="right" vertical="top"/>
    </xf>
    <xf numFmtId="4" fontId="36" fillId="0" borderId="1" xfId="0" applyNumberFormat="1" applyFont="1" applyBorder="1" applyAlignment="1">
      <alignment horizontal="right" vertical="top"/>
    </xf>
    <xf numFmtId="0" fontId="38" fillId="0" borderId="1" xfId="0" applyFont="1" applyBorder="1" applyAlignment="1">
      <alignment horizontal="right" vertical="top"/>
    </xf>
    <xf numFmtId="0" fontId="38" fillId="0" borderId="1" xfId="0" applyFont="1" applyBorder="1" applyAlignment="1">
      <alignment horizontal="left" vertical="top"/>
    </xf>
    <xf numFmtId="1" fontId="29" fillId="0" borderId="1" xfId="0" applyNumberFormat="1" applyFont="1" applyBorder="1" applyAlignment="1">
      <alignment horizontal="right" vertical="top"/>
    </xf>
    <xf numFmtId="0" fontId="49" fillId="0" borderId="1" xfId="0" applyFont="1" applyBorder="1" applyAlignment="1">
      <alignment horizontal="center" vertical="top"/>
    </xf>
    <xf numFmtId="0" fontId="36" fillId="0" borderId="1" xfId="0" applyFont="1" applyBorder="1" applyAlignment="1">
      <alignment horizontal="center" vertical="top" wrapText="1"/>
    </xf>
    <xf numFmtId="164" fontId="29" fillId="0" borderId="1" xfId="0" applyNumberFormat="1" applyFont="1" applyBorder="1" applyAlignment="1">
      <alignment vertical="top" wrapText="1"/>
    </xf>
    <xf numFmtId="0" fontId="36" fillId="0" borderId="1" xfId="3" applyFont="1" applyBorder="1" applyAlignment="1">
      <alignment vertical="top" wrapText="1"/>
    </xf>
    <xf numFmtId="43" fontId="29" fillId="0" borderId="1" xfId="0" applyNumberFormat="1" applyFont="1" applyBorder="1" applyAlignment="1">
      <alignment horizontal="right" vertical="top"/>
    </xf>
    <xf numFmtId="164" fontId="29" fillId="0" borderId="1" xfId="0" applyNumberFormat="1" applyFont="1" applyBorder="1" applyAlignment="1">
      <alignment horizontal="right" vertical="top"/>
    </xf>
    <xf numFmtId="0" fontId="29" fillId="0" borderId="1" xfId="6" applyFont="1" applyBorder="1" applyAlignment="1">
      <alignment horizontal="center" vertical="top"/>
    </xf>
    <xf numFmtId="0" fontId="29" fillId="0" borderId="1" xfId="5" applyFont="1" applyBorder="1" applyAlignment="1">
      <alignment horizontal="center" vertical="top"/>
    </xf>
    <xf numFmtId="0" fontId="29" fillId="0" borderId="1" xfId="0" applyFont="1" applyBorder="1" applyAlignment="1">
      <alignment horizontal="left" vertical="top" wrapText="1"/>
    </xf>
    <xf numFmtId="2" fontId="29" fillId="0" borderId="1" xfId="0" applyNumberFormat="1" applyFont="1" applyBorder="1" applyAlignment="1">
      <alignment horizontal="right" vertical="top"/>
    </xf>
    <xf numFmtId="3" fontId="29" fillId="0" borderId="1" xfId="0" applyNumberFormat="1" applyFont="1" applyBorder="1" applyAlignment="1">
      <alignment horizontal="right" vertical="top" wrapText="1"/>
    </xf>
    <xf numFmtId="164" fontId="36" fillId="0" borderId="1" xfId="0" applyNumberFormat="1" applyFont="1" applyBorder="1" applyAlignment="1">
      <alignment horizontal="right" vertical="top"/>
    </xf>
    <xf numFmtId="3" fontId="29" fillId="0" borderId="1" xfId="0" applyNumberFormat="1" applyFont="1" applyBorder="1" applyAlignment="1">
      <alignment horizontal="right" vertical="top"/>
    </xf>
    <xf numFmtId="2" fontId="36" fillId="0" borderId="1" xfId="3" applyNumberFormat="1" applyFont="1" applyBorder="1" applyAlignment="1">
      <alignment horizontal="right" vertical="top"/>
    </xf>
    <xf numFmtId="43" fontId="36" fillId="0" borderId="1" xfId="0" applyNumberFormat="1" applyFont="1" applyBorder="1" applyAlignment="1">
      <alignment vertical="top"/>
    </xf>
    <xf numFmtId="43" fontId="36" fillId="0" borderId="1" xfId="1" applyNumberFormat="1" applyFont="1" applyFill="1" applyBorder="1" applyAlignment="1">
      <alignment horizontal="right" vertical="top"/>
    </xf>
    <xf numFmtId="0" fontId="50" fillId="0" borderId="1" xfId="0" applyFont="1" applyBorder="1" applyAlignment="1">
      <alignment vertical="top"/>
    </xf>
    <xf numFmtId="164" fontId="36" fillId="0" borderId="1" xfId="0" applyNumberFormat="1" applyFont="1" applyBorder="1" applyAlignment="1">
      <alignment vertical="top"/>
    </xf>
    <xf numFmtId="164" fontId="36" fillId="0" borderId="1" xfId="0" applyNumberFormat="1" applyFont="1" applyBorder="1" applyAlignment="1">
      <alignment horizontal="right" vertical="top" wrapText="1"/>
    </xf>
    <xf numFmtId="164" fontId="29" fillId="0" borderId="0" xfId="0" applyNumberFormat="1" applyFont="1" applyAlignment="1">
      <alignment horizontal="right" vertical="top"/>
    </xf>
    <xf numFmtId="43" fontId="29" fillId="0" borderId="0" xfId="0" applyNumberFormat="1" applyFont="1" applyAlignment="1">
      <alignment horizontal="right" vertical="top"/>
    </xf>
    <xf numFmtId="164" fontId="29" fillId="0" borderId="0" xfId="0" applyNumberFormat="1" applyFont="1" applyAlignment="1">
      <alignment vertical="top"/>
    </xf>
    <xf numFmtId="43" fontId="29" fillId="0" borderId="0" xfId="0" applyNumberFormat="1" applyFont="1" applyAlignment="1">
      <alignment vertical="top"/>
    </xf>
    <xf numFmtId="3" fontId="36" fillId="0" borderId="0" xfId="0" applyNumberFormat="1" applyFont="1" applyAlignment="1">
      <alignment vertical="top"/>
    </xf>
    <xf numFmtId="4" fontId="36" fillId="0" borderId="0" xfId="0" applyNumberFormat="1" applyFont="1" applyAlignment="1">
      <alignment vertical="top"/>
    </xf>
    <xf numFmtId="0" fontId="29" fillId="0" borderId="0" xfId="0" applyFont="1" applyAlignment="1">
      <alignment horizontal="right"/>
    </xf>
    <xf numFmtId="2" fontId="29" fillId="0" borderId="0" xfId="0" applyNumberFormat="1" applyFont="1" applyAlignment="1">
      <alignment horizontal="right"/>
    </xf>
    <xf numFmtId="0" fontId="36" fillId="0" borderId="16" xfId="0" applyFont="1" applyBorder="1" applyAlignment="1">
      <alignment horizontal="right" vertical="top"/>
    </xf>
    <xf numFmtId="0" fontId="29" fillId="0" borderId="0" xfId="0" applyFont="1" applyAlignment="1">
      <alignment horizontal="left" vertical="top"/>
    </xf>
    <xf numFmtId="0" fontId="36" fillId="0" borderId="12" xfId="0" applyFont="1" applyBorder="1" applyAlignment="1">
      <alignment horizontal="left" vertical="top"/>
    </xf>
    <xf numFmtId="0" fontId="36" fillId="0" borderId="12" xfId="0" applyFont="1" applyBorder="1" applyAlignment="1">
      <alignment horizontal="left" vertical="top" wrapText="1"/>
    </xf>
    <xf numFmtId="0" fontId="36" fillId="0" borderId="0" xfId="0" applyFont="1"/>
    <xf numFmtId="0" fontId="36" fillId="0" borderId="13" xfId="0" applyFont="1" applyBorder="1" applyAlignment="1">
      <alignment horizontal="left" vertical="top"/>
    </xf>
    <xf numFmtId="169" fontId="36" fillId="0" borderId="12" xfId="4" applyNumberFormat="1" applyFont="1" applyBorder="1" applyAlignment="1">
      <alignment horizontal="right"/>
    </xf>
    <xf numFmtId="3" fontId="36" fillId="0" borderId="12" xfId="0" applyNumberFormat="1" applyFont="1" applyBorder="1" applyAlignment="1">
      <alignment horizontal="left" vertical="top"/>
    </xf>
    <xf numFmtId="4" fontId="36" fillId="0" borderId="12" xfId="0" applyNumberFormat="1" applyFont="1" applyBorder="1" applyAlignment="1">
      <alignment horizontal="left" vertical="top"/>
    </xf>
    <xf numFmtId="0" fontId="36" fillId="0" borderId="12" xfId="0" applyFont="1" applyBorder="1" applyAlignment="1">
      <alignment horizontal="right" vertical="top"/>
    </xf>
    <xf numFmtId="0" fontId="36" fillId="0" borderId="12" xfId="0" applyFont="1" applyBorder="1" applyAlignment="1">
      <alignment vertical="top"/>
    </xf>
    <xf numFmtId="0" fontId="36" fillId="0" borderId="1" xfId="0" applyFont="1" applyBorder="1"/>
    <xf numFmtId="0" fontId="36" fillId="0" borderId="1" xfId="0" applyFont="1" applyBorder="1" applyAlignment="1">
      <alignment wrapText="1"/>
    </xf>
    <xf numFmtId="0" fontId="36" fillId="0" borderId="1" xfId="0" applyFont="1" applyBorder="1" applyAlignment="1">
      <alignment horizontal="center" vertical="center"/>
    </xf>
    <xf numFmtId="0" fontId="36" fillId="0" borderId="1" xfId="3" applyFont="1" applyBorder="1"/>
    <xf numFmtId="0" fontId="38" fillId="0" borderId="1" xfId="0" applyFont="1" applyBorder="1" applyAlignment="1">
      <alignment horizontal="right"/>
    </xf>
    <xf numFmtId="3" fontId="38" fillId="0" borderId="1" xfId="0" applyNumberFormat="1" applyFont="1" applyBorder="1" applyAlignment="1">
      <alignment horizontal="right"/>
    </xf>
    <xf numFmtId="3" fontId="36" fillId="0" borderId="1" xfId="0" applyNumberFormat="1" applyFont="1" applyBorder="1" applyAlignment="1">
      <alignment horizontal="right" wrapText="1"/>
    </xf>
    <xf numFmtId="4" fontId="36" fillId="0" borderId="1" xfId="0" applyNumberFormat="1" applyFont="1" applyBorder="1" applyAlignment="1">
      <alignment horizontal="right" wrapText="1"/>
    </xf>
    <xf numFmtId="0" fontId="36" fillId="0" borderId="1" xfId="0" applyFont="1" applyBorder="1" applyAlignment="1">
      <alignment horizontal="right"/>
    </xf>
    <xf numFmtId="0" fontId="36" fillId="0" borderId="15" xfId="0" applyFont="1" applyBorder="1" applyAlignment="1">
      <alignment horizontal="left" vertical="top" wrapText="1"/>
    </xf>
    <xf numFmtId="0" fontId="36" fillId="0" borderId="1" xfId="0" applyFont="1" applyBorder="1" applyAlignment="1">
      <alignment horizontal="right" wrapText="1"/>
    </xf>
    <xf numFmtId="3" fontId="29" fillId="0" borderId="1" xfId="3" applyNumberFormat="1" applyFont="1" applyBorder="1" applyAlignment="1">
      <alignment horizontal="right"/>
    </xf>
    <xf numFmtId="3" fontId="29" fillId="0" borderId="1" xfId="0" applyNumberFormat="1" applyFont="1" applyBorder="1" applyAlignment="1">
      <alignment horizontal="right" wrapText="1"/>
    </xf>
    <xf numFmtId="0" fontId="29" fillId="0" borderId="1" xfId="0" applyFont="1" applyBorder="1"/>
    <xf numFmtId="4" fontId="36" fillId="0" borderId="1" xfId="0" applyNumberFormat="1" applyFont="1" applyBorder="1" applyAlignment="1">
      <alignment horizontal="right"/>
    </xf>
    <xf numFmtId="0" fontId="36" fillId="0" borderId="1" xfId="0" applyFont="1" applyBorder="1" applyAlignment="1">
      <alignment horizontal="left" wrapText="1"/>
    </xf>
    <xf numFmtId="0" fontId="36" fillId="0" borderId="1" xfId="3" applyFont="1" applyBorder="1" applyAlignment="1">
      <alignment horizontal="left"/>
    </xf>
    <xf numFmtId="0" fontId="36" fillId="0" borderId="1" xfId="3" applyFont="1" applyBorder="1" applyAlignment="1">
      <alignment horizontal="right"/>
    </xf>
    <xf numFmtId="0" fontId="29" fillId="0" borderId="1" xfId="0" applyFont="1" applyBorder="1" applyAlignment="1">
      <alignment wrapText="1"/>
    </xf>
    <xf numFmtId="0" fontId="36" fillId="0" borderId="1" xfId="3" applyFont="1" applyBorder="1" applyAlignment="1">
      <alignment horizontal="center"/>
    </xf>
    <xf numFmtId="1" fontId="36" fillId="0" borderId="1" xfId="0" applyNumberFormat="1" applyFont="1" applyBorder="1" applyAlignment="1">
      <alignment horizontal="right" vertical="top"/>
    </xf>
    <xf numFmtId="0" fontId="29" fillId="0" borderId="13" xfId="0" applyFont="1" applyBorder="1"/>
    <xf numFmtId="0" fontId="29" fillId="0" borderId="1" xfId="3" applyFont="1" applyBorder="1" applyAlignment="1">
      <alignment wrapText="1"/>
    </xf>
    <xf numFmtId="170" fontId="29" fillId="0" borderId="1" xfId="0" applyNumberFormat="1" applyFont="1" applyBorder="1" applyAlignment="1">
      <alignment horizontal="right"/>
    </xf>
    <xf numFmtId="0" fontId="36" fillId="0" borderId="14" xfId="0" applyFont="1" applyBorder="1" applyAlignment="1">
      <alignment horizontal="right" vertical="top" wrapText="1"/>
    </xf>
    <xf numFmtId="0" fontId="36" fillId="0" borderId="13" xfId="0" applyFont="1" applyBorder="1" applyAlignment="1">
      <alignment horizontal="right"/>
    </xf>
    <xf numFmtId="0" fontId="36" fillId="0" borderId="0" xfId="0" applyFont="1" applyAlignment="1">
      <alignment horizontal="right" vertical="top"/>
    </xf>
    <xf numFmtId="3" fontId="36" fillId="0" borderId="1" xfId="0" applyNumberFormat="1" applyFont="1" applyBorder="1" applyAlignment="1">
      <alignment horizontal="right"/>
    </xf>
    <xf numFmtId="0" fontId="29" fillId="0" borderId="14" xfId="0" applyFont="1" applyBorder="1" applyAlignment="1">
      <alignment horizontal="left" vertical="top" wrapText="1"/>
    </xf>
    <xf numFmtId="1" fontId="29" fillId="0" borderId="1" xfId="0" applyNumberFormat="1" applyFont="1" applyBorder="1" applyAlignment="1">
      <alignment horizontal="right"/>
    </xf>
    <xf numFmtId="0" fontId="29" fillId="0" borderId="0" xfId="0" applyFont="1"/>
    <xf numFmtId="0" fontId="36" fillId="0" borderId="13" xfId="0" applyFont="1" applyBorder="1" applyAlignment="1">
      <alignment wrapText="1"/>
    </xf>
    <xf numFmtId="1" fontId="36" fillId="0" borderId="1" xfId="0" applyNumberFormat="1" applyFont="1" applyBorder="1" applyAlignment="1">
      <alignment horizontal="right" wrapText="1"/>
    </xf>
    <xf numFmtId="4" fontId="29" fillId="0" borderId="0" xfId="0" applyNumberFormat="1" applyFont="1" applyAlignment="1">
      <alignment horizontal="right" vertical="top"/>
    </xf>
    <xf numFmtId="3" fontId="29" fillId="0" borderId="0" xfId="0" applyNumberFormat="1" applyFont="1" applyAlignment="1">
      <alignment horizontal="left" vertical="top"/>
    </xf>
    <xf numFmtId="4" fontId="29" fillId="0" borderId="0" xfId="0" applyNumberFormat="1" applyFont="1" applyAlignment="1">
      <alignment horizontal="left" vertical="top"/>
    </xf>
    <xf numFmtId="1" fontId="29" fillId="0" borderId="0" xfId="0" applyNumberFormat="1" applyFont="1" applyAlignment="1">
      <alignment vertical="top"/>
    </xf>
    <xf numFmtId="0" fontId="9" fillId="0" borderId="0" xfId="0" applyFont="1" applyAlignment="1">
      <alignment horizontal="center"/>
    </xf>
    <xf numFmtId="0" fontId="8" fillId="0" borderId="0" xfId="0" applyFont="1" applyAlignment="1">
      <alignment wrapText="1"/>
    </xf>
    <xf numFmtId="1" fontId="8" fillId="0" borderId="0" xfId="0" applyNumberFormat="1" applyFont="1"/>
    <xf numFmtId="0" fontId="9" fillId="0" borderId="12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center" vertical="top" wrapText="1"/>
    </xf>
    <xf numFmtId="1" fontId="9" fillId="0" borderId="12" xfId="0" applyNumberFormat="1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1" fontId="9" fillId="0" borderId="13" xfId="0" applyNumberFormat="1" applyFont="1" applyBorder="1" applyAlignment="1">
      <alignment horizontal="center" vertical="top" wrapText="1"/>
    </xf>
    <xf numFmtId="169" fontId="9" fillId="0" borderId="17" xfId="4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left" vertical="top"/>
    </xf>
    <xf numFmtId="0" fontId="9" fillId="0" borderId="12" xfId="0" applyFont="1" applyBorder="1" applyAlignment="1">
      <alignment horizontal="right" vertical="top"/>
    </xf>
    <xf numFmtId="4" fontId="9" fillId="0" borderId="12" xfId="0" applyNumberFormat="1" applyFont="1" applyBorder="1" applyAlignment="1">
      <alignment vertical="top"/>
    </xf>
    <xf numFmtId="0" fontId="9" fillId="0" borderId="1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9" fillId="0" borderId="2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vertical="top" wrapText="1"/>
    </xf>
    <xf numFmtId="0" fontId="30" fillId="0" borderId="1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1" fillId="0" borderId="1" xfId="0" applyFont="1" applyBorder="1" applyAlignment="1">
      <alignment horizontal="left" vertical="top"/>
    </xf>
    <xf numFmtId="4" fontId="31" fillId="0" borderId="1" xfId="0" applyNumberFormat="1" applyFont="1" applyBorder="1" applyAlignment="1">
      <alignment horizontal="left" vertical="top"/>
    </xf>
    <xf numFmtId="4" fontId="9" fillId="0" borderId="1" xfId="0" applyNumberFormat="1" applyFont="1" applyBorder="1" applyAlignment="1">
      <alignment horizontal="center" vertical="top"/>
    </xf>
    <xf numFmtId="4" fontId="9" fillId="0" borderId="2" xfId="0" applyNumberFormat="1" applyFont="1" applyBorder="1" applyAlignment="1">
      <alignment horizontal="center" vertical="top"/>
    </xf>
    <xf numFmtId="2" fontId="31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2" fontId="8" fillId="0" borderId="1" xfId="0" applyNumberFormat="1" applyFont="1" applyBorder="1" applyAlignment="1">
      <alignment horizontal="left" vertical="top"/>
    </xf>
    <xf numFmtId="4" fontId="8" fillId="0" borderId="1" xfId="0" applyNumberFormat="1" applyFont="1" applyBorder="1" applyAlignment="1">
      <alignment horizontal="left" vertical="top"/>
    </xf>
    <xf numFmtId="164" fontId="8" fillId="0" borderId="1" xfId="0" applyNumberFormat="1" applyFont="1" applyBorder="1" applyAlignment="1">
      <alignment horizontal="left"/>
    </xf>
    <xf numFmtId="0" fontId="9" fillId="0" borderId="2" xfId="0" applyFont="1" applyBorder="1" applyAlignment="1">
      <alignment horizontal="left" wrapText="1"/>
    </xf>
    <xf numFmtId="0" fontId="8" fillId="0" borderId="2" xfId="0" applyFont="1" applyBorder="1"/>
    <xf numFmtId="43" fontId="8" fillId="0" borderId="2" xfId="1" applyNumberFormat="1" applyFont="1" applyFill="1" applyBorder="1"/>
    <xf numFmtId="166" fontId="8" fillId="0" borderId="1" xfId="0" applyNumberFormat="1" applyFont="1" applyBorder="1" applyAlignment="1">
      <alignment horizontal="left" vertical="top" wrapText="1"/>
    </xf>
    <xf numFmtId="3" fontId="8" fillId="0" borderId="1" xfId="3" applyNumberFormat="1" applyFont="1" applyBorder="1" applyAlignment="1">
      <alignment horizontal="right"/>
    </xf>
    <xf numFmtId="1" fontId="8" fillId="0" borderId="1" xfId="0" applyNumberFormat="1" applyFont="1" applyBorder="1" applyAlignment="1">
      <alignment horizontal="right"/>
    </xf>
    <xf numFmtId="1" fontId="9" fillId="0" borderId="1" xfId="0" applyNumberFormat="1" applyFont="1" applyBorder="1" applyAlignment="1">
      <alignment vertical="top" wrapText="1"/>
    </xf>
    <xf numFmtId="0" fontId="8" fillId="0" borderId="1" xfId="3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3" fontId="8" fillId="0" borderId="2" xfId="1" applyNumberFormat="1" applyFont="1" applyFill="1" applyBorder="1" applyAlignment="1">
      <alignment horizontal="center" vertical="center"/>
    </xf>
    <xf numFmtId="0" fontId="9" fillId="0" borderId="1" xfId="6" applyFont="1" applyBorder="1" applyAlignment="1">
      <alignment horizontal="center"/>
    </xf>
    <xf numFmtId="0" fontId="9" fillId="0" borderId="17" xfId="0" applyFont="1" applyBorder="1"/>
    <xf numFmtId="0" fontId="9" fillId="0" borderId="1" xfId="0" applyFont="1" applyBorder="1" applyAlignment="1">
      <alignment horizontal="left"/>
    </xf>
    <xf numFmtId="169" fontId="9" fillId="0" borderId="0" xfId="4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1" fontId="30" fillId="0" borderId="1" xfId="0" applyNumberFormat="1" applyFont="1" applyBorder="1" applyAlignment="1">
      <alignment horizontal="right"/>
    </xf>
    <xf numFmtId="1" fontId="9" fillId="0" borderId="1" xfId="0" applyNumberFormat="1" applyFont="1" applyBorder="1" applyAlignment="1">
      <alignment horizontal="right"/>
    </xf>
    <xf numFmtId="164" fontId="8" fillId="0" borderId="1" xfId="0" applyNumberFormat="1" applyFont="1" applyBorder="1"/>
    <xf numFmtId="4" fontId="9" fillId="0" borderId="1" xfId="0" applyNumberFormat="1" applyFont="1" applyBorder="1" applyAlignment="1">
      <alignment vertical="top" wrapText="1"/>
    </xf>
    <xf numFmtId="4" fontId="9" fillId="0" borderId="2" xfId="0" applyNumberFormat="1" applyFont="1" applyBorder="1" applyAlignment="1">
      <alignment vertical="top" wrapText="1"/>
    </xf>
    <xf numFmtId="43" fontId="9" fillId="0" borderId="2" xfId="1" applyNumberFormat="1" applyFont="1" applyFill="1" applyBorder="1"/>
    <xf numFmtId="4" fontId="8" fillId="0" borderId="2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vertical="top" wrapText="1"/>
    </xf>
    <xf numFmtId="4" fontId="8" fillId="0" borderId="2" xfId="0" applyNumberFormat="1" applyFont="1" applyBorder="1" applyAlignment="1">
      <alignment horizontal="right" vertical="top"/>
    </xf>
    <xf numFmtId="0" fontId="9" fillId="0" borderId="0" xfId="0" applyFont="1" applyAlignment="1">
      <alignment horizontal="left" vertical="center" wrapText="1"/>
    </xf>
    <xf numFmtId="169" fontId="39" fillId="0" borderId="0" xfId="4" applyNumberFormat="1" applyFont="1" applyAlignment="1">
      <alignment horizontal="right"/>
    </xf>
    <xf numFmtId="0" fontId="30" fillId="0" borderId="1" xfId="0" applyFont="1" applyBorder="1" applyAlignment="1">
      <alignment horizontal="right"/>
    </xf>
    <xf numFmtId="0" fontId="30" fillId="0" borderId="18" xfId="0" applyFont="1" applyBorder="1" applyAlignment="1">
      <alignment horizontal="left"/>
    </xf>
    <xf numFmtId="4" fontId="30" fillId="0" borderId="1" xfId="0" applyNumberFormat="1" applyFont="1" applyBorder="1" applyAlignment="1">
      <alignment horizontal="left"/>
    </xf>
    <xf numFmtId="0" fontId="8" fillId="0" borderId="18" xfId="0" applyFont="1" applyBorder="1" applyAlignment="1">
      <alignment vertical="top" wrapText="1"/>
    </xf>
    <xf numFmtId="0" fontId="32" fillId="0" borderId="1" xfId="7" applyFont="1" applyBorder="1" applyAlignment="1">
      <alignment horizontal="center"/>
    </xf>
    <xf numFmtId="165" fontId="8" fillId="0" borderId="18" xfId="1" applyFont="1" applyFill="1" applyBorder="1" applyAlignment="1">
      <alignment vertical="top" wrapText="1"/>
    </xf>
    <xf numFmtId="43" fontId="8" fillId="0" borderId="1" xfId="1" applyNumberFormat="1" applyFont="1" applyFill="1" applyBorder="1" applyAlignment="1"/>
    <xf numFmtId="43" fontId="8" fillId="0" borderId="2" xfId="1" applyNumberFormat="1" applyFont="1" applyFill="1" applyBorder="1" applyAlignment="1"/>
    <xf numFmtId="4" fontId="8" fillId="0" borderId="18" xfId="0" applyNumberFormat="1" applyFont="1" applyBorder="1"/>
    <xf numFmtId="0" fontId="8" fillId="0" borderId="18" xfId="0" applyFont="1" applyBorder="1"/>
    <xf numFmtId="164" fontId="8" fillId="0" borderId="18" xfId="0" applyNumberFormat="1" applyFont="1" applyBorder="1"/>
    <xf numFmtId="43" fontId="8" fillId="0" borderId="18" xfId="0" applyNumberFormat="1" applyFont="1" applyBorder="1"/>
    <xf numFmtId="0" fontId="32" fillId="0" borderId="18" xfId="7" applyFont="1" applyBorder="1" applyAlignment="1">
      <alignment horizontal="center"/>
    </xf>
    <xf numFmtId="43" fontId="8" fillId="0" borderId="18" xfId="1" applyNumberFormat="1" applyFont="1" applyFill="1" applyBorder="1"/>
    <xf numFmtId="43" fontId="8" fillId="0" borderId="16" xfId="1" applyNumberFormat="1" applyFont="1" applyFill="1" applyBorder="1"/>
    <xf numFmtId="164" fontId="9" fillId="0" borderId="1" xfId="0" applyNumberFormat="1" applyFont="1" applyBorder="1" applyAlignment="1">
      <alignment vertical="top" wrapText="1"/>
    </xf>
    <xf numFmtId="0" fontId="9" fillId="0" borderId="18" xfId="0" applyFont="1" applyBorder="1" applyAlignment="1">
      <alignment vertical="top" wrapText="1"/>
    </xf>
    <xf numFmtId="164" fontId="8" fillId="0" borderId="1" xfId="0" applyNumberFormat="1" applyFont="1" applyBorder="1" applyAlignment="1">
      <alignment vertical="top" wrapText="1"/>
    </xf>
    <xf numFmtId="0" fontId="9" fillId="0" borderId="18" xfId="0" applyFont="1" applyBorder="1"/>
    <xf numFmtId="0" fontId="9" fillId="0" borderId="18" xfId="0" applyFont="1" applyBorder="1" applyAlignment="1">
      <alignment horizontal="right" vertical="top"/>
    </xf>
    <xf numFmtId="4" fontId="9" fillId="0" borderId="2" xfId="0" applyNumberFormat="1" applyFont="1" applyBorder="1"/>
    <xf numFmtId="0" fontId="8" fillId="2" borderId="1" xfId="0" applyFont="1" applyFill="1" applyBorder="1" applyAlignment="1">
      <alignment vertical="center" wrapText="1"/>
    </xf>
    <xf numFmtId="43" fontId="8" fillId="2" borderId="1" xfId="0" applyNumberFormat="1" applyFont="1" applyFill="1" applyBorder="1" applyAlignment="1">
      <alignment vertical="center"/>
    </xf>
    <xf numFmtId="4" fontId="6" fillId="0" borderId="1" xfId="3" applyNumberFormat="1" applyFont="1" applyBorder="1" applyAlignment="1">
      <alignment vertical="center"/>
    </xf>
    <xf numFmtId="0" fontId="8" fillId="0" borderId="1" xfId="3" applyFont="1" applyBorder="1" applyAlignment="1">
      <alignment vertical="center" wrapText="1"/>
    </xf>
    <xf numFmtId="0" fontId="6" fillId="0" borderId="1" xfId="3" applyFont="1" applyBorder="1" applyAlignment="1">
      <alignment wrapText="1"/>
    </xf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4" fontId="7" fillId="0" borderId="1" xfId="0" applyNumberFormat="1" applyFont="1" applyBorder="1"/>
    <xf numFmtId="43" fontId="6" fillId="0" borderId="1" xfId="1" applyNumberFormat="1" applyFont="1" applyFill="1" applyBorder="1"/>
    <xf numFmtId="43" fontId="6" fillId="0" borderId="1" xfId="0" applyNumberFormat="1" applyFont="1" applyBorder="1"/>
    <xf numFmtId="0" fontId="7" fillId="0" borderId="1" xfId="3" applyFont="1" applyBorder="1" applyAlignment="1">
      <alignment vertical="top" wrapText="1"/>
    </xf>
    <xf numFmtId="0" fontId="6" fillId="0" borderId="1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51" fillId="0" borderId="1" xfId="3" applyFont="1" applyBorder="1" applyAlignment="1">
      <alignment vertical="top"/>
    </xf>
    <xf numFmtId="0" fontId="6" fillId="2" borderId="1" xfId="3" applyFont="1" applyFill="1" applyBorder="1"/>
    <xf numFmtId="165" fontId="0" fillId="0" borderId="15" xfId="1" applyFont="1" applyFill="1" applyBorder="1"/>
    <xf numFmtId="4" fontId="6" fillId="2" borderId="1" xfId="3" applyNumberFormat="1" applyFont="1" applyFill="1" applyBorder="1" applyAlignment="1">
      <alignment vertical="center"/>
    </xf>
    <xf numFmtId="0" fontId="7" fillId="2" borderId="1" xfId="3" applyFont="1" applyFill="1" applyBorder="1" applyAlignment="1">
      <alignment vertical="center" wrapText="1"/>
    </xf>
    <xf numFmtId="0" fontId="6" fillId="0" borderId="1" xfId="3" applyFont="1" applyBorder="1"/>
    <xf numFmtId="0" fontId="36" fillId="2" borderId="15" xfId="0" applyFont="1" applyFill="1" applyBorder="1" applyAlignment="1">
      <alignment vertical="top" wrapText="1"/>
    </xf>
    <xf numFmtId="0" fontId="36" fillId="2" borderId="1" xfId="0" applyFont="1" applyFill="1" applyBorder="1" applyAlignment="1">
      <alignment horizontal="right" vertical="top"/>
    </xf>
    <xf numFmtId="0" fontId="36" fillId="2" borderId="1" xfId="0" applyFont="1" applyFill="1" applyBorder="1" applyAlignment="1">
      <alignment horizontal="center" vertical="top"/>
    </xf>
    <xf numFmtId="0" fontId="29" fillId="2" borderId="1" xfId="3" applyFont="1" applyFill="1" applyBorder="1" applyAlignment="1">
      <alignment horizontal="center" vertical="top"/>
    </xf>
    <xf numFmtId="0" fontId="29" fillId="2" borderId="1" xfId="3" applyFont="1" applyFill="1" applyBorder="1" applyAlignment="1">
      <alignment horizontal="right" vertical="top"/>
    </xf>
    <xf numFmtId="3" fontId="29" fillId="2" borderId="1" xfId="0" applyNumberFormat="1" applyFont="1" applyFill="1" applyBorder="1" applyAlignment="1">
      <alignment horizontal="right" vertical="top" wrapText="1"/>
    </xf>
    <xf numFmtId="164" fontId="29" fillId="2" borderId="1" xfId="0" applyNumberFormat="1" applyFont="1" applyFill="1" applyBorder="1" applyAlignment="1">
      <alignment horizontal="right" vertical="top"/>
    </xf>
    <xf numFmtId="43" fontId="29" fillId="2" borderId="1" xfId="0" applyNumberFormat="1" applyFont="1" applyFill="1" applyBorder="1" applyAlignment="1">
      <alignment horizontal="right" vertical="top"/>
    </xf>
    <xf numFmtId="0" fontId="36" fillId="2" borderId="1" xfId="0" applyFont="1" applyFill="1" applyBorder="1" applyAlignment="1">
      <alignment vertical="top"/>
    </xf>
    <xf numFmtId="43" fontId="36" fillId="2" borderId="1" xfId="0" applyNumberFormat="1" applyFont="1" applyFill="1" applyBorder="1" applyAlignment="1">
      <alignment vertical="top"/>
    </xf>
    <xf numFmtId="4" fontId="29" fillId="2" borderId="1" xfId="0" applyNumberFormat="1" applyFont="1" applyFill="1" applyBorder="1" applyAlignment="1">
      <alignment horizontal="right" vertical="top"/>
    </xf>
    <xf numFmtId="43" fontId="29" fillId="2" borderId="1" xfId="0" applyNumberFormat="1" applyFont="1" applyFill="1" applyBorder="1" applyAlignment="1">
      <alignment vertical="top"/>
    </xf>
    <xf numFmtId="0" fontId="36" fillId="2" borderId="0" xfId="0" applyFont="1" applyFill="1" applyAlignment="1">
      <alignment vertical="top"/>
    </xf>
    <xf numFmtId="43" fontId="36" fillId="2" borderId="1" xfId="1" applyNumberFormat="1" applyFont="1" applyFill="1" applyBorder="1" applyAlignment="1">
      <alignment horizontal="right" vertical="top"/>
    </xf>
    <xf numFmtId="43" fontId="29" fillId="2" borderId="1" xfId="1" applyNumberFormat="1" applyFont="1" applyFill="1" applyBorder="1" applyAlignment="1">
      <alignment vertical="top"/>
    </xf>
    <xf numFmtId="0" fontId="23" fillId="0" borderId="17" xfId="0" applyFont="1" applyBorder="1" applyAlignment="1">
      <alignment wrapText="1" readingOrder="1"/>
    </xf>
    <xf numFmtId="0" fontId="23" fillId="0" borderId="18" xfId="0" applyFont="1" applyBorder="1" applyAlignment="1">
      <alignment wrapText="1" readingOrder="1"/>
    </xf>
    <xf numFmtId="173" fontId="0" fillId="0" borderId="0" xfId="0" applyNumberFormat="1"/>
    <xf numFmtId="4" fontId="16" fillId="7" borderId="7" xfId="0" applyNumberFormat="1" applyFont="1" applyFill="1" applyBorder="1"/>
    <xf numFmtId="0" fontId="8" fillId="3" borderId="1" xfId="5" applyFont="1" applyFill="1" applyBorder="1" applyAlignment="1">
      <alignment horizontal="center" vertical="top"/>
    </xf>
    <xf numFmtId="0" fontId="29" fillId="2" borderId="1" xfId="3" applyFont="1" applyFill="1" applyBorder="1"/>
    <xf numFmtId="3" fontId="8" fillId="3" borderId="1" xfId="3" applyNumberFormat="1" applyFont="1" applyFill="1" applyBorder="1" applyAlignment="1">
      <alignment horizontal="right"/>
    </xf>
    <xf numFmtId="0" fontId="52" fillId="0" borderId="0" xfId="0" applyFont="1" applyAlignment="1">
      <alignment wrapText="1"/>
    </xf>
    <xf numFmtId="3" fontId="52" fillId="0" borderId="0" xfId="0" applyNumberFormat="1" applyFont="1"/>
    <xf numFmtId="4" fontId="52" fillId="0" borderId="0" xfId="0" applyNumberFormat="1" applyFont="1"/>
    <xf numFmtId="0" fontId="52" fillId="2" borderId="0" xfId="0" applyFont="1" applyFill="1" applyAlignment="1">
      <alignment wrapText="1"/>
    </xf>
    <xf numFmtId="0" fontId="53" fillId="0" borderId="0" xfId="0" applyFont="1" applyAlignment="1">
      <alignment wrapText="1"/>
    </xf>
    <xf numFmtId="3" fontId="53" fillId="0" borderId="0" xfId="0" applyNumberFormat="1" applyFont="1"/>
    <xf numFmtId="4" fontId="53" fillId="0" borderId="0" xfId="0" applyNumberFormat="1" applyFont="1"/>
    <xf numFmtId="0" fontId="52" fillId="0" borderId="0" xfId="0" applyFont="1"/>
    <xf numFmtId="0" fontId="53" fillId="0" borderId="0" xfId="0" applyFont="1"/>
    <xf numFmtId="3" fontId="52" fillId="0" borderId="0" xfId="0" applyNumberFormat="1" applyFont="1" applyAlignment="1">
      <alignment wrapText="1"/>
    </xf>
    <xf numFmtId="4" fontId="52" fillId="0" borderId="0" xfId="0" applyNumberFormat="1" applyFont="1" applyAlignment="1">
      <alignment wrapText="1"/>
    </xf>
    <xf numFmtId="164" fontId="8" fillId="2" borderId="1" xfId="0" applyNumberFormat="1" applyFont="1" applyFill="1" applyBorder="1" applyAlignment="1">
      <alignment horizontal="right" vertical="top"/>
    </xf>
    <xf numFmtId="164" fontId="8" fillId="2" borderId="1" xfId="0" applyNumberFormat="1" applyFont="1" applyFill="1" applyBorder="1" applyAlignment="1">
      <alignment horizontal="right" vertical="top" wrapText="1"/>
    </xf>
    <xf numFmtId="0" fontId="7" fillId="0" borderId="17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4" borderId="12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6" fillId="4" borderId="16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4" borderId="16" xfId="0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wrapText="1" readingOrder="1"/>
    </xf>
    <xf numFmtId="0" fontId="23" fillId="0" borderId="17" xfId="0" applyFont="1" applyBorder="1" applyAlignment="1">
      <alignment horizontal="center" wrapText="1" readingOrder="1"/>
    </xf>
    <xf numFmtId="0" fontId="23" fillId="0" borderId="2" xfId="0" applyFont="1" applyBorder="1" applyAlignment="1">
      <alignment horizontal="center" wrapText="1" readingOrder="1"/>
    </xf>
    <xf numFmtId="0" fontId="23" fillId="0" borderId="16" xfId="0" applyFont="1" applyBorder="1" applyAlignment="1">
      <alignment horizontal="center" wrapText="1" readingOrder="1"/>
    </xf>
    <xf numFmtId="4" fontId="9" fillId="8" borderId="2" xfId="0" applyNumberFormat="1" applyFont="1" applyFill="1" applyBorder="1" applyAlignment="1">
      <alignment horizontal="center" vertical="center" wrapText="1"/>
    </xf>
    <xf numFmtId="4" fontId="9" fillId="8" borderId="18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top" wrapText="1"/>
    </xf>
    <xf numFmtId="4" fontId="9" fillId="0" borderId="18" xfId="0" applyNumberFormat="1" applyFont="1" applyBorder="1" applyAlignment="1">
      <alignment horizontal="center" vertical="top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right"/>
    </xf>
    <xf numFmtId="0" fontId="11" fillId="4" borderId="15" xfId="0" applyFont="1" applyFill="1" applyBorder="1" applyAlignment="1">
      <alignment horizontal="right"/>
    </xf>
    <xf numFmtId="0" fontId="11" fillId="4" borderId="13" xfId="0" applyFont="1" applyFill="1" applyBorder="1" applyAlignment="1">
      <alignment horizontal="right"/>
    </xf>
    <xf numFmtId="0" fontId="11" fillId="4" borderId="2" xfId="0" applyFont="1" applyFill="1" applyBorder="1" applyAlignment="1">
      <alignment horizontal="right"/>
    </xf>
    <xf numFmtId="0" fontId="11" fillId="4" borderId="16" xfId="0" applyFont="1" applyFill="1" applyBorder="1" applyAlignment="1">
      <alignment horizontal="right"/>
    </xf>
    <xf numFmtId="0" fontId="11" fillId="4" borderId="18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4" fontId="9" fillId="2" borderId="2" xfId="0" applyNumberFormat="1" applyFont="1" applyFill="1" applyBorder="1" applyAlignment="1">
      <alignment vertical="center" wrapText="1"/>
    </xf>
    <xf numFmtId="4" fontId="9" fillId="2" borderId="18" xfId="0" applyNumberFormat="1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vertical="center"/>
    </xf>
    <xf numFmtId="4" fontId="9" fillId="2" borderId="16" xfId="0" applyNumberFormat="1" applyFont="1" applyFill="1" applyBorder="1" applyAlignment="1">
      <alignment vertical="center"/>
    </xf>
    <xf numFmtId="4" fontId="9" fillId="2" borderId="18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" fontId="8" fillId="2" borderId="12" xfId="0" applyNumberFormat="1" applyFont="1" applyFill="1" applyBorder="1" applyAlignment="1">
      <alignment vertical="center" textRotation="90"/>
    </xf>
    <xf numFmtId="4" fontId="8" fillId="2" borderId="15" xfId="0" applyNumberFormat="1" applyFont="1" applyFill="1" applyBorder="1" applyAlignment="1">
      <alignment vertical="center" textRotation="90"/>
    </xf>
    <xf numFmtId="4" fontId="9" fillId="2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4" fontId="9" fillId="0" borderId="2" xfId="0" applyNumberFormat="1" applyFont="1" applyBorder="1" applyAlignment="1">
      <alignment vertical="center" wrapText="1"/>
    </xf>
    <xf numFmtId="4" fontId="9" fillId="0" borderId="18" xfId="0" applyNumberFormat="1" applyFont="1" applyBorder="1" applyAlignment="1">
      <alignment vertical="center" wrapText="1"/>
    </xf>
    <xf numFmtId="4" fontId="9" fillId="0" borderId="2" xfId="0" applyNumberFormat="1" applyFont="1" applyBorder="1" applyAlignment="1">
      <alignment horizontal="center" vertical="top"/>
    </xf>
    <xf numFmtId="4" fontId="9" fillId="0" borderId="16" xfId="0" applyNumberFormat="1" applyFont="1" applyBorder="1" applyAlignment="1">
      <alignment horizontal="center" vertical="top"/>
    </xf>
    <xf numFmtId="4" fontId="9" fillId="0" borderId="18" xfId="0" applyNumberFormat="1" applyFont="1" applyBorder="1" applyAlignment="1">
      <alignment horizontal="center" vertical="top"/>
    </xf>
    <xf numFmtId="4" fontId="9" fillId="0" borderId="4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4" fontId="9" fillId="0" borderId="19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4" fontId="9" fillId="0" borderId="6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right" vertical="top"/>
    </xf>
    <xf numFmtId="10" fontId="9" fillId="0" borderId="2" xfId="0" applyNumberFormat="1" applyFont="1" applyBorder="1" applyAlignment="1">
      <alignment horizontal="center" vertical="top"/>
    </xf>
    <xf numFmtId="10" fontId="9" fillId="0" borderId="16" xfId="0" applyNumberFormat="1" applyFont="1" applyBorder="1" applyAlignment="1">
      <alignment horizontal="center" vertical="top"/>
    </xf>
    <xf numFmtId="10" fontId="9" fillId="0" borderId="18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3" fontId="9" fillId="0" borderId="1" xfId="0" applyNumberFormat="1" applyFont="1" applyBorder="1" applyAlignment="1">
      <alignment horizontal="right" vertical="top"/>
    </xf>
    <xf numFmtId="4" fontId="9" fillId="0" borderId="1" xfId="0" applyNumberFormat="1" applyFont="1" applyBorder="1" applyAlignment="1">
      <alignment horizontal="right" vertical="top"/>
    </xf>
    <xf numFmtId="0" fontId="8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top"/>
    </xf>
    <xf numFmtId="4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3" fontId="9" fillId="0" borderId="4" xfId="0" applyNumberFormat="1" applyFont="1" applyBorder="1" applyAlignment="1">
      <alignment horizontal="right" vertical="top"/>
    </xf>
    <xf numFmtId="3" fontId="9" fillId="0" borderId="5" xfId="0" applyNumberFormat="1" applyFont="1" applyBorder="1" applyAlignment="1">
      <alignment horizontal="right" vertical="top"/>
    </xf>
    <xf numFmtId="3" fontId="9" fillId="0" borderId="6" xfId="0" applyNumberFormat="1" applyFont="1" applyBorder="1" applyAlignment="1">
      <alignment horizontal="right" vertical="top"/>
    </xf>
    <xf numFmtId="3" fontId="9" fillId="0" borderId="3" xfId="0" applyNumberFormat="1" applyFont="1" applyBorder="1" applyAlignment="1">
      <alignment horizontal="right" vertical="top"/>
    </xf>
    <xf numFmtId="3" fontId="9" fillId="0" borderId="17" xfId="0" applyNumberFormat="1" applyFont="1" applyBorder="1" applyAlignment="1">
      <alignment horizontal="right" vertical="top"/>
    </xf>
    <xf numFmtId="3" fontId="9" fillId="0" borderId="19" xfId="0" applyNumberFormat="1" applyFont="1" applyBorder="1" applyAlignment="1">
      <alignment horizontal="right" vertical="top"/>
    </xf>
    <xf numFmtId="4" fontId="9" fillId="0" borderId="4" xfId="0" applyNumberFormat="1" applyFont="1" applyBorder="1" applyAlignment="1">
      <alignment horizontal="right" vertical="top"/>
    </xf>
    <xf numFmtId="4" fontId="9" fillId="0" borderId="5" xfId="0" applyNumberFormat="1" applyFont="1" applyBorder="1" applyAlignment="1">
      <alignment horizontal="right" vertical="top"/>
    </xf>
    <xf numFmtId="4" fontId="9" fillId="0" borderId="3" xfId="0" applyNumberFormat="1" applyFont="1" applyBorder="1" applyAlignment="1">
      <alignment horizontal="right" vertical="top"/>
    </xf>
    <xf numFmtId="4" fontId="9" fillId="0" borderId="17" xfId="0" applyNumberFormat="1" applyFont="1" applyBorder="1" applyAlignment="1">
      <alignment horizontal="right" vertical="top"/>
    </xf>
    <xf numFmtId="0" fontId="9" fillId="0" borderId="1" xfId="0" applyFont="1" applyBorder="1" applyAlignment="1">
      <alignment horizontal="center" vertical="top" wrapText="1"/>
    </xf>
    <xf numFmtId="0" fontId="36" fillId="0" borderId="0" xfId="0" applyFont="1" applyAlignment="1">
      <alignment horizontal="center" vertical="top"/>
    </xf>
    <xf numFmtId="0" fontId="36" fillId="0" borderId="0" xfId="0" applyFont="1" applyAlignment="1">
      <alignment horizontal="left" vertical="top"/>
    </xf>
    <xf numFmtId="0" fontId="36" fillId="0" borderId="4" xfId="0" applyFont="1" applyBorder="1" applyAlignment="1">
      <alignment horizontal="center" vertical="top" wrapText="1"/>
    </xf>
    <xf numFmtId="0" fontId="36" fillId="0" borderId="5" xfId="0" applyFont="1" applyBorder="1" applyAlignment="1">
      <alignment horizontal="center" vertical="top" wrapText="1"/>
    </xf>
    <xf numFmtId="0" fontId="36" fillId="0" borderId="6" xfId="0" applyFont="1" applyBorder="1" applyAlignment="1">
      <alignment horizontal="center" vertical="top" wrapText="1"/>
    </xf>
    <xf numFmtId="0" fontId="36" fillId="0" borderId="3" xfId="0" applyFont="1" applyBorder="1" applyAlignment="1">
      <alignment horizontal="center" vertical="top" wrapText="1"/>
    </xf>
    <xf numFmtId="0" fontId="36" fillId="0" borderId="17" xfId="0" applyFont="1" applyBorder="1" applyAlignment="1">
      <alignment horizontal="center" vertical="top" wrapText="1"/>
    </xf>
    <xf numFmtId="0" fontId="36" fillId="0" borderId="19" xfId="0" applyFont="1" applyBorder="1" applyAlignment="1">
      <alignment horizontal="center" vertical="top" wrapText="1"/>
    </xf>
    <xf numFmtId="0" fontId="36" fillId="0" borderId="4" xfId="0" applyFont="1" applyBorder="1" applyAlignment="1">
      <alignment horizontal="left" vertical="top" wrapText="1"/>
    </xf>
    <xf numFmtId="0" fontId="36" fillId="0" borderId="5" xfId="0" applyFont="1" applyBorder="1" applyAlignment="1">
      <alignment horizontal="left" vertical="top" wrapText="1"/>
    </xf>
    <xf numFmtId="0" fontId="36" fillId="0" borderId="6" xfId="0" applyFont="1" applyBorder="1" applyAlignment="1">
      <alignment horizontal="left" vertical="top" wrapText="1"/>
    </xf>
    <xf numFmtId="0" fontId="36" fillId="0" borderId="3" xfId="0" applyFont="1" applyBorder="1" applyAlignment="1">
      <alignment horizontal="left" vertical="top" wrapText="1"/>
    </xf>
    <xf numFmtId="0" fontId="36" fillId="0" borderId="17" xfId="0" applyFont="1" applyBorder="1" applyAlignment="1">
      <alignment horizontal="left" vertical="top" wrapText="1"/>
    </xf>
    <xf numFmtId="0" fontId="36" fillId="0" borderId="19" xfId="0" applyFont="1" applyBorder="1" applyAlignment="1">
      <alignment horizontal="left" vertical="top" wrapText="1"/>
    </xf>
    <xf numFmtId="0" fontId="36" fillId="0" borderId="12" xfId="0" applyFont="1" applyBorder="1" applyAlignment="1">
      <alignment horizontal="center" vertical="top"/>
    </xf>
    <xf numFmtId="0" fontId="36" fillId="0" borderId="13" xfId="0" applyFont="1" applyBorder="1" applyAlignment="1">
      <alignment horizontal="center" vertical="top"/>
    </xf>
    <xf numFmtId="0" fontId="36" fillId="0" borderId="12" xfId="0" applyFont="1" applyBorder="1" applyAlignment="1">
      <alignment horizontal="center" vertical="top" wrapText="1"/>
    </xf>
    <xf numFmtId="0" fontId="36" fillId="0" borderId="13" xfId="0" applyFont="1" applyBorder="1" applyAlignment="1">
      <alignment horizontal="center" vertical="top" wrapText="1"/>
    </xf>
    <xf numFmtId="0" fontId="36" fillId="0" borderId="2" xfId="0" applyFont="1" applyBorder="1" applyAlignment="1">
      <alignment horizontal="center" vertical="top"/>
    </xf>
    <xf numFmtId="0" fontId="36" fillId="0" borderId="16" xfId="0" applyFont="1" applyBorder="1" applyAlignment="1">
      <alignment horizontal="center" vertical="top"/>
    </xf>
    <xf numFmtId="0" fontId="36" fillId="0" borderId="18" xfId="0" applyFont="1" applyBorder="1" applyAlignment="1">
      <alignment horizontal="center" vertical="top"/>
    </xf>
    <xf numFmtId="10" fontId="36" fillId="0" borderId="2" xfId="0" applyNumberFormat="1" applyFont="1" applyBorder="1" applyAlignment="1">
      <alignment horizontal="center" vertical="top"/>
    </xf>
    <xf numFmtId="10" fontId="36" fillId="0" borderId="16" xfId="0" applyNumberFormat="1" applyFont="1" applyBorder="1" applyAlignment="1">
      <alignment horizontal="center" vertical="top"/>
    </xf>
    <xf numFmtId="10" fontId="36" fillId="0" borderId="18" xfId="0" applyNumberFormat="1" applyFont="1" applyBorder="1" applyAlignment="1">
      <alignment horizontal="center" vertical="top"/>
    </xf>
    <xf numFmtId="0" fontId="36" fillId="0" borderId="1" xfId="0" applyFont="1" applyBorder="1" applyAlignment="1">
      <alignment horizontal="center" vertical="top" wrapText="1"/>
    </xf>
    <xf numFmtId="0" fontId="36" fillId="0" borderId="1" xfId="0" applyFont="1" applyBorder="1" applyAlignment="1">
      <alignment horizontal="center" vertical="top"/>
    </xf>
    <xf numFmtId="0" fontId="29" fillId="0" borderId="1" xfId="0" applyFont="1" applyBorder="1" applyAlignment="1">
      <alignment horizontal="center" vertical="top"/>
    </xf>
    <xf numFmtId="0" fontId="36" fillId="0" borderId="12" xfId="0" applyFont="1" applyBorder="1" applyAlignment="1">
      <alignment horizontal="right" vertical="top" wrapText="1"/>
    </xf>
    <xf numFmtId="0" fontId="36" fillId="0" borderId="13" xfId="0" applyFont="1" applyBorder="1" applyAlignment="1">
      <alignment horizontal="right" vertical="top" wrapText="1"/>
    </xf>
    <xf numFmtId="0" fontId="36" fillId="0" borderId="12" xfId="0" applyFont="1" applyBorder="1" applyAlignment="1">
      <alignment horizontal="left" vertical="top" wrapText="1"/>
    </xf>
    <xf numFmtId="0" fontId="36" fillId="0" borderId="13" xfId="0" applyFont="1" applyBorder="1" applyAlignment="1">
      <alignment horizontal="left" vertical="top" wrapText="1"/>
    </xf>
    <xf numFmtId="0" fontId="36" fillId="0" borderId="2" xfId="0" applyFont="1" applyBorder="1" applyAlignment="1">
      <alignment horizontal="left" vertical="top"/>
    </xf>
    <xf numFmtId="0" fontId="36" fillId="0" borderId="16" xfId="0" applyFont="1" applyBorder="1" applyAlignment="1">
      <alignment horizontal="left" vertical="top"/>
    </xf>
    <xf numFmtId="0" fontId="36" fillId="0" borderId="18" xfId="0" applyFont="1" applyBorder="1" applyAlignment="1">
      <alignment horizontal="left" vertical="top"/>
    </xf>
    <xf numFmtId="0" fontId="36" fillId="0" borderId="2" xfId="0" applyFont="1" applyBorder="1" applyAlignment="1">
      <alignment horizontal="right" vertical="top"/>
    </xf>
    <xf numFmtId="0" fontId="36" fillId="0" borderId="18" xfId="0" applyFont="1" applyBorder="1" applyAlignment="1">
      <alignment horizontal="right" vertical="top"/>
    </xf>
    <xf numFmtId="0" fontId="36" fillId="0" borderId="15" xfId="0" applyFont="1" applyBorder="1" applyAlignment="1">
      <alignment horizontal="left" vertical="top" wrapText="1"/>
    </xf>
    <xf numFmtId="0" fontId="36" fillId="0" borderId="15" xfId="0" applyFont="1" applyBorder="1" applyAlignment="1">
      <alignment horizontal="right" vertical="top" wrapText="1"/>
    </xf>
    <xf numFmtId="4" fontId="29" fillId="0" borderId="12" xfId="0" applyNumberFormat="1" applyFont="1" applyBorder="1" applyAlignment="1">
      <alignment horizontal="right" vertical="top" wrapText="1"/>
    </xf>
    <xf numFmtId="4" fontId="29" fillId="0" borderId="15" xfId="0" applyNumberFormat="1" applyFont="1" applyBorder="1" applyAlignment="1">
      <alignment horizontal="right" vertical="top" wrapText="1"/>
    </xf>
    <xf numFmtId="0" fontId="36" fillId="0" borderId="14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center" vertical="top"/>
    </xf>
    <xf numFmtId="3" fontId="36" fillId="0" borderId="4" xfId="0" applyNumberFormat="1" applyFont="1" applyBorder="1" applyAlignment="1">
      <alignment horizontal="center" vertical="top" wrapText="1"/>
    </xf>
    <xf numFmtId="3" fontId="36" fillId="0" borderId="5" xfId="0" applyNumberFormat="1" applyFont="1" applyBorder="1" applyAlignment="1">
      <alignment horizontal="center" vertical="top" wrapText="1"/>
    </xf>
    <xf numFmtId="3" fontId="36" fillId="0" borderId="6" xfId="0" applyNumberFormat="1" applyFont="1" applyBorder="1" applyAlignment="1">
      <alignment horizontal="center" vertical="top" wrapText="1"/>
    </xf>
    <xf numFmtId="3" fontId="36" fillId="0" borderId="3" xfId="0" applyNumberFormat="1" applyFont="1" applyBorder="1" applyAlignment="1">
      <alignment horizontal="center" vertical="top" wrapText="1"/>
    </xf>
    <xf numFmtId="3" fontId="36" fillId="0" borderId="17" xfId="0" applyNumberFormat="1" applyFont="1" applyBorder="1" applyAlignment="1">
      <alignment horizontal="center" vertical="top" wrapText="1"/>
    </xf>
    <xf numFmtId="3" fontId="36" fillId="0" borderId="19" xfId="0" applyNumberFormat="1" applyFont="1" applyBorder="1" applyAlignment="1">
      <alignment horizontal="center" vertical="top" wrapText="1"/>
    </xf>
    <xf numFmtId="4" fontId="36" fillId="0" borderId="4" xfId="0" applyNumberFormat="1" applyFont="1" applyBorder="1" applyAlignment="1">
      <alignment horizontal="left" vertical="top" wrapText="1"/>
    </xf>
    <xf numFmtId="4" fontId="36" fillId="0" borderId="5" xfId="0" applyNumberFormat="1" applyFont="1" applyBorder="1" applyAlignment="1">
      <alignment horizontal="left" vertical="top" wrapText="1"/>
    </xf>
    <xf numFmtId="4" fontId="36" fillId="0" borderId="6" xfId="0" applyNumberFormat="1" applyFont="1" applyBorder="1" applyAlignment="1">
      <alignment horizontal="left" vertical="top" wrapText="1"/>
    </xf>
    <xf numFmtId="4" fontId="36" fillId="0" borderId="3" xfId="0" applyNumberFormat="1" applyFont="1" applyBorder="1" applyAlignment="1">
      <alignment horizontal="left" vertical="top" wrapText="1"/>
    </xf>
    <xf numFmtId="4" fontId="36" fillId="0" borderId="17" xfId="0" applyNumberFormat="1" applyFont="1" applyBorder="1" applyAlignment="1">
      <alignment horizontal="left" vertical="top" wrapText="1"/>
    </xf>
    <xf numFmtId="4" fontId="36" fillId="0" borderId="19" xfId="0" applyNumberFormat="1" applyFont="1" applyBorder="1" applyAlignment="1">
      <alignment horizontal="left" vertical="top" wrapText="1"/>
    </xf>
    <xf numFmtId="0" fontId="3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" fontId="9" fillId="0" borderId="17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0" fontId="9" fillId="0" borderId="18" xfId="0" applyFont="1" applyBorder="1" applyAlignment="1">
      <alignment horizontal="center" vertical="top"/>
    </xf>
    <xf numFmtId="0" fontId="9" fillId="0" borderId="12" xfId="0" applyFont="1" applyBorder="1" applyAlignment="1">
      <alignment horizontal="right" vertical="top" wrapText="1"/>
    </xf>
    <xf numFmtId="0" fontId="9" fillId="0" borderId="13" xfId="0" applyFont="1" applyBorder="1" applyAlignment="1">
      <alignment horizontal="right" vertical="top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left"/>
    </xf>
    <xf numFmtId="0" fontId="3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center" vertical="top" wrapText="1"/>
    </xf>
    <xf numFmtId="4" fontId="9" fillId="0" borderId="12" xfId="0" applyNumberFormat="1" applyFont="1" applyBorder="1" applyAlignment="1">
      <alignment horizontal="left" vertical="top" wrapText="1"/>
    </xf>
    <xf numFmtId="4" fontId="9" fillId="0" borderId="13" xfId="0" applyNumberFormat="1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4" fontId="9" fillId="2" borderId="4" xfId="0" applyNumberFormat="1" applyFont="1" applyFill="1" applyBorder="1" applyAlignment="1">
      <alignment horizontal="center" vertical="top"/>
    </xf>
    <xf numFmtId="4" fontId="9" fillId="2" borderId="5" xfId="0" applyNumberFormat="1" applyFont="1" applyFill="1" applyBorder="1" applyAlignment="1">
      <alignment horizontal="center" vertical="top"/>
    </xf>
    <xf numFmtId="4" fontId="9" fillId="2" borderId="6" xfId="0" applyNumberFormat="1" applyFont="1" applyFill="1" applyBorder="1" applyAlignment="1">
      <alignment horizontal="center" vertical="top"/>
    </xf>
    <xf numFmtId="4" fontId="9" fillId="2" borderId="3" xfId="0" applyNumberFormat="1" applyFont="1" applyFill="1" applyBorder="1" applyAlignment="1">
      <alignment horizontal="center" vertical="top"/>
    </xf>
    <xf numFmtId="4" fontId="9" fillId="2" borderId="17" xfId="0" applyNumberFormat="1" applyFont="1" applyFill="1" applyBorder="1" applyAlignment="1">
      <alignment horizontal="center" vertical="top"/>
    </xf>
    <xf numFmtId="4" fontId="9" fillId="2" borderId="19" xfId="0" applyNumberFormat="1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4" fontId="9" fillId="2" borderId="12" xfId="0" applyNumberFormat="1" applyFont="1" applyFill="1" applyBorder="1" applyAlignment="1">
      <alignment horizontal="center" vertical="top" wrapText="1"/>
    </xf>
    <xf numFmtId="4" fontId="9" fillId="2" borderId="13" xfId="0" applyNumberFormat="1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/>
    </xf>
    <xf numFmtId="0" fontId="9" fillId="2" borderId="16" xfId="0" applyFont="1" applyFill="1" applyBorder="1" applyAlignment="1">
      <alignment horizontal="center" vertical="top"/>
    </xf>
    <xf numFmtId="0" fontId="9" fillId="2" borderId="18" xfId="0" applyFont="1" applyFill="1" applyBorder="1" applyAlignment="1">
      <alignment horizontal="center" vertical="top"/>
    </xf>
    <xf numFmtId="10" fontId="9" fillId="2" borderId="2" xfId="0" applyNumberFormat="1" applyFont="1" applyFill="1" applyBorder="1" applyAlignment="1">
      <alignment horizontal="center" vertical="top"/>
    </xf>
    <xf numFmtId="10" fontId="9" fillId="2" borderId="16" xfId="0" applyNumberFormat="1" applyFont="1" applyFill="1" applyBorder="1" applyAlignment="1">
      <alignment horizontal="center" vertical="top"/>
    </xf>
    <xf numFmtId="10" fontId="9" fillId="2" borderId="18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top"/>
    </xf>
    <xf numFmtId="3" fontId="9" fillId="2" borderId="4" xfId="0" applyNumberFormat="1" applyFont="1" applyFill="1" applyBorder="1" applyAlignment="1">
      <alignment horizontal="center" vertical="top"/>
    </xf>
    <xf numFmtId="3" fontId="9" fillId="2" borderId="5" xfId="0" applyNumberFormat="1" applyFont="1" applyFill="1" applyBorder="1" applyAlignment="1">
      <alignment horizontal="center" vertical="top"/>
    </xf>
    <xf numFmtId="3" fontId="9" fillId="2" borderId="6" xfId="0" applyNumberFormat="1" applyFont="1" applyFill="1" applyBorder="1" applyAlignment="1">
      <alignment horizontal="center" vertical="top"/>
    </xf>
    <xf numFmtId="3" fontId="9" fillId="2" borderId="3" xfId="0" applyNumberFormat="1" applyFont="1" applyFill="1" applyBorder="1" applyAlignment="1">
      <alignment horizontal="center" vertical="top"/>
    </xf>
    <xf numFmtId="3" fontId="9" fillId="2" borderId="17" xfId="0" applyNumberFormat="1" applyFont="1" applyFill="1" applyBorder="1" applyAlignment="1">
      <alignment horizontal="center" vertical="top"/>
    </xf>
    <xf numFmtId="3" fontId="9" fillId="2" borderId="19" xfId="0" applyNumberFormat="1" applyFont="1" applyFill="1" applyBorder="1" applyAlignment="1">
      <alignment horizontal="center" vertical="top"/>
    </xf>
    <xf numFmtId="0" fontId="5" fillId="0" borderId="1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48" fillId="0" borderId="1" xfId="0" applyFont="1" applyBorder="1" applyAlignment="1">
      <alignment horizontal="center"/>
    </xf>
  </cellXfs>
  <cellStyles count="9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_COMFIN" xfId="4" xr:uid="{00000000-0005-0000-0000-000004000000}"/>
    <cellStyle name="Normal_DT_2_1" xfId="5" xr:uid="{00000000-0005-0000-0000-000005000000}"/>
    <cellStyle name="Normal_DT_3_2" xfId="6" xr:uid="{00000000-0005-0000-0000-000006000000}"/>
    <cellStyle name="Normal_DT_4_2" xfId="7" xr:uid="{00000000-0005-0000-0000-000007000000}"/>
    <cellStyle name="Normal_DT_4_3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'Component wise'!$D$28</c:f>
              <c:strCache>
                <c:ptCount val="1"/>
                <c:pt idx="0">
                  <c:v> Budget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multiLvlStrRef>
              <c:f>'Component wise'!$B$29:$C$37</c:f>
              <c:multiLvlStrCache>
                <c:ptCount val="9"/>
                <c:lvl>
                  <c:pt idx="0">
                    <c:v>GoO</c:v>
                  </c:pt>
                  <c:pt idx="1">
                    <c:v>IFAD</c:v>
                  </c:pt>
                  <c:pt idx="2">
                    <c:v>SCA-TSS</c:v>
                  </c:pt>
                  <c:pt idx="3">
                    <c:v>Article-275 (1)</c:v>
                  </c:pt>
                  <c:pt idx="4">
                    <c:v>CCD</c:v>
                  </c:pt>
                  <c:pt idx="5">
                    <c:v>MGNREGS</c:v>
                  </c:pt>
                  <c:pt idx="6">
                    <c:v>RKVY</c:v>
                  </c:pt>
                  <c:pt idx="7">
                    <c:v>FARD</c:v>
                  </c:pt>
                  <c:pt idx="8">
                    <c:v>Beneficiary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'Component wise'!$D$29:$D$37</c:f>
              <c:numCache>
                <c:formatCode>_-* #,##0.00_-;\-* #,##0.00_-;_-* "-"??_-;_-@_-</c:formatCode>
                <c:ptCount val="9"/>
                <c:pt idx="0">
                  <c:v>207729167</c:v>
                </c:pt>
                <c:pt idx="1">
                  <c:v>674757228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120401800</c:v>
                </c:pt>
                <c:pt idx="6">
                  <c:v>0</c:v>
                </c:pt>
                <c:pt idx="7">
                  <c:v>102320000</c:v>
                </c:pt>
                <c:pt idx="8">
                  <c:v>42756140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B9-46E0-B4F3-AA66732CF532}"/>
            </c:ext>
          </c:extLst>
        </c:ser>
        <c:ser>
          <c:idx val="1"/>
          <c:order val="1"/>
          <c:tx>
            <c:strRef>
              <c:f>'Component wise'!$E$28</c:f>
              <c:strCache>
                <c:ptCount val="1"/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multiLvlStrRef>
              <c:f>'Component wise'!$B$29:$C$37</c:f>
              <c:multiLvlStrCache>
                <c:ptCount val="9"/>
                <c:lvl>
                  <c:pt idx="0">
                    <c:v>GoO</c:v>
                  </c:pt>
                  <c:pt idx="1">
                    <c:v>IFAD</c:v>
                  </c:pt>
                  <c:pt idx="2">
                    <c:v>SCA-TSS</c:v>
                  </c:pt>
                  <c:pt idx="3">
                    <c:v>Article-275 (1)</c:v>
                  </c:pt>
                  <c:pt idx="4">
                    <c:v>CCD</c:v>
                  </c:pt>
                  <c:pt idx="5">
                    <c:v>MGNREGS</c:v>
                  </c:pt>
                  <c:pt idx="6">
                    <c:v>RKVY</c:v>
                  </c:pt>
                  <c:pt idx="7">
                    <c:v>FARD</c:v>
                  </c:pt>
                  <c:pt idx="8">
                    <c:v>Beneficiary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'Component wise'!$E$29:$E$37</c:f>
              <c:numCache>
                <c:formatCode>_-* #,##0.00_-;\-* #,##0.00_-;_-* "-"??_-;_-@_-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55B9-46E0-B4F3-AA66732CF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8764160"/>
        <c:axId val="168765696"/>
        <c:axId val="0"/>
      </c:bar3DChart>
      <c:catAx>
        <c:axId val="16876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765696"/>
        <c:crosses val="autoZero"/>
        <c:auto val="1"/>
        <c:lblAlgn val="ctr"/>
        <c:lblOffset val="100"/>
        <c:noMultiLvlLbl val="0"/>
      </c:catAx>
      <c:valAx>
        <c:axId val="16876569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76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'Component wise'!$H$3</c:f>
              <c:strCache>
                <c:ptCount val="1"/>
                <c:pt idx="0">
                  <c:v>Budget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DBB-463E-A695-1E765F393C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DBB-463E-A695-1E765F393C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4DBB-463E-A695-1E765F393C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4DBB-463E-A695-1E765F393C8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'Component wise'!$G$4:$G$7</c:f>
              <c:strCache>
                <c:ptCount val="4"/>
                <c:pt idx="0">
                  <c:v>Community Empowerment</c:v>
                </c:pt>
                <c:pt idx="1">
                  <c:v>Natural Resources Management and Livelihoods Improvement</c:v>
                </c:pt>
                <c:pt idx="2">
                  <c:v>Community Infrastructure and Drudgery reduction.</c:v>
                </c:pt>
                <c:pt idx="3">
                  <c:v>Programme Management</c:v>
                </c:pt>
              </c:strCache>
            </c:strRef>
          </c:cat>
          <c:val>
            <c:numRef>
              <c:f>'Component wise'!$H$4:$H$7</c:f>
              <c:numCache>
                <c:formatCode>#,##0.00</c:formatCode>
                <c:ptCount val="4"/>
                <c:pt idx="0">
                  <c:v>265478135</c:v>
                </c:pt>
                <c:pt idx="1">
                  <c:v>574077200</c:v>
                </c:pt>
                <c:pt idx="2">
                  <c:v>140785000</c:v>
                </c:pt>
                <c:pt idx="3">
                  <c:v>167624000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A-454F-9849-EDA431C0C7A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'Component wise'!$D$28</c:f>
              <c:strCache>
                <c:ptCount val="1"/>
                <c:pt idx="0">
                  <c:v> Budget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EBA-4516-887C-04F8D6098D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EBA-4516-887C-04F8D6098D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EBA-4516-887C-04F8D6098D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EBA-4516-887C-04F8D6098D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EBA-4516-887C-04F8D6098D6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EBA-4516-887C-04F8D6098D6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EBA-4516-887C-04F8D6098D6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EBA-4516-887C-04F8D6098D6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EBA-4516-887C-04F8D6098D6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'Component wise'!$C$29:$C$37</c:f>
              <c:strCache>
                <c:ptCount val="9"/>
                <c:pt idx="0">
                  <c:v>GoO</c:v>
                </c:pt>
                <c:pt idx="1">
                  <c:v>IFAD</c:v>
                </c:pt>
                <c:pt idx="2">
                  <c:v>SCA-TSS</c:v>
                </c:pt>
                <c:pt idx="3">
                  <c:v>Article-275 (1)</c:v>
                </c:pt>
                <c:pt idx="4">
                  <c:v>CCD</c:v>
                </c:pt>
                <c:pt idx="5">
                  <c:v>MGNREGS</c:v>
                </c:pt>
                <c:pt idx="6">
                  <c:v>RKVY</c:v>
                </c:pt>
                <c:pt idx="7">
                  <c:v>FARD</c:v>
                </c:pt>
                <c:pt idx="8">
                  <c:v>Beneficiary</c:v>
                </c:pt>
              </c:strCache>
            </c:strRef>
          </c:cat>
          <c:val>
            <c:numRef>
              <c:f>'Component wise'!$D$29:$D$37</c:f>
              <c:numCache>
                <c:formatCode>_-* #,##0.00_-;\-* #,##0.00_-;_-* "-"??_-;_-@_-</c:formatCode>
                <c:ptCount val="9"/>
                <c:pt idx="0">
                  <c:v>207729167</c:v>
                </c:pt>
                <c:pt idx="1">
                  <c:v>674757228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120401800</c:v>
                </c:pt>
                <c:pt idx="6">
                  <c:v>0</c:v>
                </c:pt>
                <c:pt idx="7">
                  <c:v>102320000</c:v>
                </c:pt>
                <c:pt idx="8">
                  <c:v>42756140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6-4D8F-82BD-3AEDD385D67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28</xdr:row>
      <xdr:rowOff>180939</xdr:rowOff>
    </xdr:from>
    <xdr:to>
      <xdr:col>1</xdr:col>
      <xdr:colOff>2257425</xdr:colOff>
      <xdr:row>36</xdr:row>
      <xdr:rowOff>143204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C2A564-7B51-73DC-1224-00DE07FEE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524464"/>
          <a:ext cx="2505075" cy="148626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95</xdr:row>
      <xdr:rowOff>0</xdr:rowOff>
    </xdr:from>
    <xdr:to>
      <xdr:col>3</xdr:col>
      <xdr:colOff>1770289</xdr:colOff>
      <xdr:row>102</xdr:row>
      <xdr:rowOff>57515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07D69D-5F0E-4C40-92B8-7338EAD62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5464" y="24751393"/>
          <a:ext cx="2505075" cy="148626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75</xdr:row>
      <xdr:rowOff>0</xdr:rowOff>
    </xdr:from>
    <xdr:to>
      <xdr:col>3</xdr:col>
      <xdr:colOff>1421606</xdr:colOff>
      <xdr:row>83</xdr:row>
      <xdr:rowOff>152765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C5281E-2D91-4AFA-864C-B1D0F94EB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252531"/>
          <a:ext cx="2505075" cy="148626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58</xdr:row>
      <xdr:rowOff>0</xdr:rowOff>
    </xdr:from>
    <xdr:to>
      <xdr:col>4</xdr:col>
      <xdr:colOff>2505075</xdr:colOff>
      <xdr:row>67</xdr:row>
      <xdr:rowOff>28940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081DFB-2DE6-4707-AC12-82D93DF3B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4375" y="9963150"/>
          <a:ext cx="2505075" cy="148626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49</xdr:row>
      <xdr:rowOff>0</xdr:rowOff>
    </xdr:from>
    <xdr:to>
      <xdr:col>2</xdr:col>
      <xdr:colOff>2505075</xdr:colOff>
      <xdr:row>56</xdr:row>
      <xdr:rowOff>57515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2927F9-B3ED-46D6-BA31-C1A5CDF1D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4" y="12722679"/>
          <a:ext cx="2505075" cy="148626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91</xdr:row>
      <xdr:rowOff>0</xdr:rowOff>
    </xdr:from>
    <xdr:to>
      <xdr:col>2</xdr:col>
      <xdr:colOff>2505075</xdr:colOff>
      <xdr:row>98</xdr:row>
      <xdr:rowOff>69421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7EB67A-614B-4695-A6F0-347488C53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4" y="20621625"/>
          <a:ext cx="2505075" cy="148626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58</xdr:row>
      <xdr:rowOff>0</xdr:rowOff>
    </xdr:from>
    <xdr:to>
      <xdr:col>2</xdr:col>
      <xdr:colOff>2505075</xdr:colOff>
      <xdr:row>65</xdr:row>
      <xdr:rowOff>69421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84D265-8075-4558-BB5E-26F560EE9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1625" y="17656969"/>
          <a:ext cx="2505075" cy="148626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38</xdr:row>
      <xdr:rowOff>0</xdr:rowOff>
    </xdr:from>
    <xdr:to>
      <xdr:col>2</xdr:col>
      <xdr:colOff>1576388</xdr:colOff>
      <xdr:row>45</xdr:row>
      <xdr:rowOff>69421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8E1924-4B80-4E28-9429-17051948C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813" y="8655844"/>
          <a:ext cx="2505075" cy="148626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119</xdr:row>
      <xdr:rowOff>0</xdr:rowOff>
    </xdr:from>
    <xdr:to>
      <xdr:col>2</xdr:col>
      <xdr:colOff>2505075</xdr:colOff>
      <xdr:row>126</xdr:row>
      <xdr:rowOff>152765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3FB377-C348-4222-AEF1-D5CDD8CB1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867525"/>
          <a:ext cx="2505075" cy="148626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77</xdr:row>
      <xdr:rowOff>0</xdr:rowOff>
    </xdr:from>
    <xdr:to>
      <xdr:col>2</xdr:col>
      <xdr:colOff>419100</xdr:colOff>
      <xdr:row>84</xdr:row>
      <xdr:rowOff>152765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21EC2D-6BD3-4721-9D1F-5ADAA8B54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23079075"/>
          <a:ext cx="2505075" cy="148626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6</xdr:col>
      <xdr:colOff>28575</xdr:colOff>
      <xdr:row>18</xdr:row>
      <xdr:rowOff>152765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C87A53-7217-496B-9728-C920413BD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0675" y="3619500"/>
          <a:ext cx="2505075" cy="1486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2</xdr:col>
      <xdr:colOff>114300</xdr:colOff>
      <xdr:row>33</xdr:row>
      <xdr:rowOff>152765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5555FF-27C5-4707-88A5-A6AA82159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4962525"/>
          <a:ext cx="2505075" cy="14862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55</xdr:row>
      <xdr:rowOff>0</xdr:rowOff>
    </xdr:from>
    <xdr:to>
      <xdr:col>2</xdr:col>
      <xdr:colOff>2505075</xdr:colOff>
      <xdr:row>61</xdr:row>
      <xdr:rowOff>57515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76FD5B-4DB8-4392-ACCA-32FFF2102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0" y="13779500"/>
          <a:ext cx="2505075" cy="14862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657225</xdr:colOff>
      <xdr:row>20</xdr:row>
      <xdr:rowOff>166687</xdr:rowOff>
    </xdr:from>
    <xdr:to>
      <xdr:col>10</xdr:col>
      <xdr:colOff>1019175</xdr:colOff>
      <xdr:row>34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DE09E1-B9BA-B090-E104-6907593ABF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781050</xdr:colOff>
      <xdr:row>8</xdr:row>
      <xdr:rowOff>119062</xdr:rowOff>
    </xdr:from>
    <xdr:to>
      <xdr:col>8</xdr:col>
      <xdr:colOff>1104900</xdr:colOff>
      <xdr:row>22</xdr:row>
      <xdr:rowOff>119062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A6F2B9C-4E92-21C9-EE13-723070A0BB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1038225</xdr:colOff>
      <xdr:row>26</xdr:row>
      <xdr:rowOff>23811</xdr:rowOff>
    </xdr:from>
    <xdr:to>
      <xdr:col>8</xdr:col>
      <xdr:colOff>76200</xdr:colOff>
      <xdr:row>42</xdr:row>
      <xdr:rowOff>104774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2AE8809-72D5-F3D8-160F-8D09D90EC4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2505075</xdr:colOff>
      <xdr:row>50</xdr:row>
      <xdr:rowOff>152765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224BD6-1970-40BE-89A9-CA77A395C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28900" y="8686800"/>
          <a:ext cx="2505075" cy="14862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36</xdr:row>
      <xdr:rowOff>0</xdr:rowOff>
    </xdr:from>
    <xdr:to>
      <xdr:col>3</xdr:col>
      <xdr:colOff>300717</xdr:colOff>
      <xdr:row>43</xdr:row>
      <xdr:rowOff>57515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E75D0A-DD31-4676-B086-2290B5048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9071" y="8137071"/>
          <a:ext cx="2505075" cy="14862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2</xdr:col>
      <xdr:colOff>1216399</xdr:colOff>
      <xdr:row>40</xdr:row>
      <xdr:rowOff>152765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448A72-D82E-4878-9B0D-2F0BC2007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412" y="6521824"/>
          <a:ext cx="2505075" cy="148626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59</xdr:row>
      <xdr:rowOff>0</xdr:rowOff>
    </xdr:from>
    <xdr:to>
      <xdr:col>3</xdr:col>
      <xdr:colOff>2505075</xdr:colOff>
      <xdr:row>66</xdr:row>
      <xdr:rowOff>69422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635FD0-E34A-4659-BC4F-AE5D28E69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0688" y="16930688"/>
          <a:ext cx="2505075" cy="148626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73</xdr:row>
      <xdr:rowOff>0</xdr:rowOff>
    </xdr:from>
    <xdr:to>
      <xdr:col>1</xdr:col>
      <xdr:colOff>2505075</xdr:colOff>
      <xdr:row>80</xdr:row>
      <xdr:rowOff>69422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C9AD73-294A-41CB-B65E-0A6F69663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1531" y="18026063"/>
          <a:ext cx="2505075" cy="148626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115</xdr:row>
      <xdr:rowOff>0</xdr:rowOff>
    </xdr:from>
    <xdr:to>
      <xdr:col>2</xdr:col>
      <xdr:colOff>2505075</xdr:colOff>
      <xdr:row>122</xdr:row>
      <xdr:rowOff>69421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1E42AD-C4BF-49A3-86B6-DE655C69E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7313" y="28753594"/>
          <a:ext cx="2505075" cy="14862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Goutam%20OPELIP\OPELIP%20updates%2031.12.22\AWPB\AWPB%202023-24\V13._AWPB_23-24_draft_05.04.23_-_IFAD.xlsx" TargetMode="External"/><Relationship Id="rId1" Type="http://schemas.openxmlformats.org/officeDocument/2006/relationships/externalLinkPath" Target="file:///F:\Goutam%20OPELIP\OPELIP%20updates%2031.12.22\AWPB\AWPB%202023-24\V13._AWPB_23-24_draft_05.04.23_-_IF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b-Comp. quartely targ (2)"/>
      <sheetName val="Sub-Comp. quartely targ"/>
      <sheetName val="Sum, scheme"/>
      <sheetName val="Component wise"/>
      <sheetName val="Sum , MPA"/>
      <sheetName val="Summary "/>
      <sheetName val="1.1"/>
      <sheetName val="1.2"/>
      <sheetName val="2.1"/>
      <sheetName val="2.2"/>
      <sheetName val="2.3"/>
      <sheetName val="3.1"/>
      <sheetName val="3.2"/>
      <sheetName val="4.1 "/>
      <sheetName val="4.2"/>
      <sheetName val="4.3 "/>
      <sheetName val="major activiites -IFAD"/>
      <sheetName val="Category wise"/>
      <sheetName val="Consolidated"/>
    </sheetNames>
    <sheetDataSet>
      <sheetData sheetId="0"/>
      <sheetData sheetId="1"/>
      <sheetData sheetId="2">
        <row r="34">
          <cell r="F34">
            <v>912528595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5"/>
  <sheetViews>
    <sheetView tabSelected="1" workbookViewId="0">
      <selection activeCell="E34" sqref="E34"/>
    </sheetView>
  </sheetViews>
  <sheetFormatPr defaultRowHeight="15" x14ac:dyDescent="0.25"/>
  <cols>
    <col min="1" max="1" width="6.7109375" bestFit="1" customWidth="1"/>
    <col min="2" max="2" width="35.85546875" customWidth="1"/>
    <col min="3" max="3" width="11" bestFit="1" customWidth="1"/>
    <col min="4" max="7" width="15.28515625" bestFit="1" customWidth="1"/>
    <col min="8" max="8" width="16.85546875" bestFit="1" customWidth="1"/>
    <col min="10" max="10" width="15" bestFit="1" customWidth="1"/>
  </cols>
  <sheetData>
    <row r="2" spans="1:10" ht="15.75" x14ac:dyDescent="0.25">
      <c r="B2" s="759" t="s">
        <v>1190</v>
      </c>
      <c r="C2" s="759"/>
      <c r="D2" s="759"/>
      <c r="E2" s="759"/>
      <c r="F2" s="759"/>
      <c r="G2" s="759"/>
      <c r="H2" s="759"/>
    </row>
    <row r="3" spans="1:10" x14ac:dyDescent="0.25">
      <c r="A3" s="227" t="str">
        <f>'Component wise'!B3</f>
        <v>Sl. No.</v>
      </c>
      <c r="B3" s="227" t="str">
        <f>'Component wise'!C3</f>
        <v>Component</v>
      </c>
      <c r="C3" s="227" t="str">
        <f>'Component wise'!D3</f>
        <v xml:space="preserve"> Budget</v>
      </c>
      <c r="D3" s="227"/>
      <c r="E3" s="227"/>
      <c r="F3" s="227"/>
      <c r="G3" s="227"/>
      <c r="H3" s="227"/>
      <c r="J3" t="s">
        <v>1224</v>
      </c>
    </row>
    <row r="4" spans="1:10" x14ac:dyDescent="0.25">
      <c r="A4" s="227">
        <f>'Component wise'!B4</f>
        <v>1</v>
      </c>
      <c r="B4" s="227" t="str">
        <f>'Component wise'!C4</f>
        <v>Community Empowerment</v>
      </c>
      <c r="C4" s="227"/>
      <c r="D4" s="247" t="s">
        <v>7</v>
      </c>
      <c r="E4" s="247" t="s">
        <v>8</v>
      </c>
      <c r="F4" s="247" t="s">
        <v>9</v>
      </c>
      <c r="G4" s="247" t="s">
        <v>10</v>
      </c>
      <c r="H4" s="247" t="s">
        <v>17</v>
      </c>
    </row>
    <row r="5" spans="1:10" x14ac:dyDescent="0.25">
      <c r="A5" s="227">
        <f>'Component wise'!B5</f>
        <v>1.1000000000000001</v>
      </c>
      <c r="B5" s="227" t="str">
        <f>'Component wise'!C5</f>
        <v>Community Institutions Development</v>
      </c>
      <c r="C5" s="227">
        <f>'Component wise'!D5</f>
        <v>246062310</v>
      </c>
      <c r="D5" s="248">
        <f>'1.1'!W56</f>
        <v>81712944</v>
      </c>
      <c r="E5" s="248">
        <f>'1.1'!X56</f>
        <v>55831294</v>
      </c>
      <c r="F5" s="248">
        <f>'1.1'!Y56</f>
        <v>45337761</v>
      </c>
      <c r="G5" s="248">
        <f>'1.1'!Z56</f>
        <v>63180311</v>
      </c>
      <c r="H5" s="248">
        <f>SUM(D5:G5)</f>
        <v>246062310</v>
      </c>
      <c r="J5" s="131">
        <f>C5-H5</f>
        <v>0</v>
      </c>
    </row>
    <row r="6" spans="1:10" x14ac:dyDescent="0.25">
      <c r="A6" s="227">
        <f>'Component wise'!B6</f>
        <v>1.2</v>
      </c>
      <c r="B6" s="227" t="str">
        <f>'Component wise'!C6</f>
        <v>Stregthening SHGs and Rural Finance</v>
      </c>
      <c r="C6" s="227">
        <f>'Component wise'!D6</f>
        <v>19415825</v>
      </c>
      <c r="D6" s="248">
        <f>'1.2'!U66</f>
        <v>6534831.25</v>
      </c>
      <c r="E6" s="248">
        <f>'1.2'!V66</f>
        <v>6053581.25</v>
      </c>
      <c r="F6" s="248">
        <f>'1.2'!W66</f>
        <v>3838331.25</v>
      </c>
      <c r="G6" s="248">
        <f>'1.2'!X66</f>
        <v>2989081.25</v>
      </c>
      <c r="H6" s="248">
        <f t="shared" ref="H6:H23" si="0">SUM(D6:G6)</f>
        <v>19415825</v>
      </c>
      <c r="J6" s="131">
        <f t="shared" ref="J6:J23" si="1">C6-H6</f>
        <v>0</v>
      </c>
    </row>
    <row r="7" spans="1:10" s="225" customFormat="1" x14ac:dyDescent="0.25">
      <c r="A7" s="228">
        <f>'Component wise'!B7</f>
        <v>0</v>
      </c>
      <c r="B7" s="228" t="str">
        <f>'Component wise'!C7</f>
        <v>Sub Total</v>
      </c>
      <c r="C7" s="228">
        <f>'Component wise'!D7</f>
        <v>265478135</v>
      </c>
      <c r="D7" s="249">
        <f>SUM(D5:D6)</f>
        <v>88247775.25</v>
      </c>
      <c r="E7" s="249">
        <f t="shared" ref="E7:G7" si="2">SUM(E5:E6)</f>
        <v>61884875.25</v>
      </c>
      <c r="F7" s="249">
        <f t="shared" si="2"/>
        <v>49176092.25</v>
      </c>
      <c r="G7" s="249">
        <f t="shared" si="2"/>
        <v>66169392.25</v>
      </c>
      <c r="H7" s="249">
        <f t="shared" si="0"/>
        <v>265478135</v>
      </c>
      <c r="J7" s="131">
        <f t="shared" si="1"/>
        <v>0</v>
      </c>
    </row>
    <row r="8" spans="1:10" x14ac:dyDescent="0.25">
      <c r="A8" s="227">
        <f>'Component wise'!B8</f>
        <v>2</v>
      </c>
      <c r="B8" s="227" t="str">
        <f>'Component wise'!C8</f>
        <v>Natural Resources Management and Livelihoods Improvement</v>
      </c>
      <c r="C8" s="227"/>
      <c r="D8" s="248"/>
      <c r="E8" s="248"/>
      <c r="F8" s="248"/>
      <c r="G8" s="248"/>
      <c r="H8" s="248"/>
      <c r="J8" s="131">
        <f t="shared" si="1"/>
        <v>0</v>
      </c>
    </row>
    <row r="9" spans="1:10" x14ac:dyDescent="0.25">
      <c r="A9" s="227">
        <f>'Component wise'!B9</f>
        <v>2.1</v>
      </c>
      <c r="B9" s="227" t="str">
        <f>'Component wise'!C9</f>
        <v xml:space="preserve"> Natural Resource Management</v>
      </c>
      <c r="C9" s="227">
        <f>'Component wise'!D9</f>
        <v>221262800</v>
      </c>
      <c r="D9" s="248">
        <f>'2.1'!V108</f>
        <v>80327975</v>
      </c>
      <c r="E9" s="248">
        <f>'2.1'!W108</f>
        <v>92630375</v>
      </c>
      <c r="F9" s="248">
        <f>'2.1'!X108</f>
        <v>31006125</v>
      </c>
      <c r="G9" s="248">
        <f>'2.1'!Y108</f>
        <v>17298325</v>
      </c>
      <c r="H9" s="248">
        <f t="shared" si="0"/>
        <v>221262800</v>
      </c>
      <c r="J9" s="131">
        <f t="shared" si="1"/>
        <v>0</v>
      </c>
    </row>
    <row r="10" spans="1:10" x14ac:dyDescent="0.25">
      <c r="A10" s="227">
        <f>'Component wise'!B10</f>
        <v>2.2000000000000002</v>
      </c>
      <c r="B10" s="227" t="str">
        <f>'Component wise'!C10</f>
        <v>Food &amp; Nutrition Security</v>
      </c>
      <c r="C10" s="227">
        <f>'Component wise'!D10</f>
        <v>44856250</v>
      </c>
      <c r="D10" s="248">
        <f>'2.2'!W92</f>
        <v>16500937.5</v>
      </c>
      <c r="E10" s="248">
        <f>'2.2'!X92</f>
        <v>19391125</v>
      </c>
      <c r="F10" s="248">
        <f>'2.2'!Y92</f>
        <v>8964187.5</v>
      </c>
      <c r="G10" s="248">
        <f>'2.2'!Z92</f>
        <v>0</v>
      </c>
      <c r="H10" s="248">
        <f t="shared" si="0"/>
        <v>44856250</v>
      </c>
      <c r="J10" s="131">
        <f t="shared" si="1"/>
        <v>0</v>
      </c>
    </row>
    <row r="11" spans="1:10" x14ac:dyDescent="0.25">
      <c r="A11" s="227">
        <f>'Component wise'!B11</f>
        <v>2.2999999999999998</v>
      </c>
      <c r="B11" s="227" t="str">
        <f>'Component wise'!C11</f>
        <v>Livelihoods Improvement</v>
      </c>
      <c r="C11" s="227">
        <f>'Component wise'!D11</f>
        <v>307958150</v>
      </c>
      <c r="D11" s="248">
        <f>'2.3'!W72</f>
        <v>26384000</v>
      </c>
      <c r="E11" s="248">
        <f>'2.3'!X72</f>
        <v>170686205</v>
      </c>
      <c r="F11" s="248">
        <f>'2.3'!Y72</f>
        <v>99387945</v>
      </c>
      <c r="G11" s="248">
        <f>'2.3'!Z72</f>
        <v>11500000</v>
      </c>
      <c r="H11" s="248">
        <f t="shared" si="0"/>
        <v>307958150</v>
      </c>
      <c r="J11" s="131">
        <f t="shared" si="1"/>
        <v>0</v>
      </c>
    </row>
    <row r="12" spans="1:10" s="225" customFormat="1" x14ac:dyDescent="0.25">
      <c r="A12" s="228">
        <f>'Component wise'!B12</f>
        <v>0</v>
      </c>
      <c r="B12" s="228" t="str">
        <f>'Component wise'!C12</f>
        <v>Sub Total</v>
      </c>
      <c r="C12" s="228">
        <f>'Component wise'!D12</f>
        <v>574077200</v>
      </c>
      <c r="D12" s="249">
        <f>SUM(D9:D11)</f>
        <v>123212912.5</v>
      </c>
      <c r="E12" s="249">
        <f t="shared" ref="E12:G12" si="3">SUM(E9:E11)</f>
        <v>282707705</v>
      </c>
      <c r="F12" s="249">
        <f t="shared" si="3"/>
        <v>139358257.5</v>
      </c>
      <c r="G12" s="249">
        <f t="shared" si="3"/>
        <v>28798325</v>
      </c>
      <c r="H12" s="249">
        <f t="shared" si="0"/>
        <v>574077200</v>
      </c>
      <c r="J12" s="131">
        <f t="shared" si="1"/>
        <v>0</v>
      </c>
    </row>
    <row r="13" spans="1:10" x14ac:dyDescent="0.25">
      <c r="A13" s="227">
        <f>'Component wise'!B13</f>
        <v>3</v>
      </c>
      <c r="B13" s="227" t="str">
        <f>'Component wise'!C13</f>
        <v>Community Infrastructure and Drudgery reduction.</v>
      </c>
      <c r="C13" s="227"/>
      <c r="D13" s="248"/>
      <c r="E13" s="248"/>
      <c r="F13" s="248"/>
      <c r="G13" s="248"/>
      <c r="H13" s="248"/>
      <c r="J13" s="131">
        <f t="shared" si="1"/>
        <v>0</v>
      </c>
    </row>
    <row r="14" spans="1:10" x14ac:dyDescent="0.25">
      <c r="A14" s="227">
        <f>'Component wise'!B14</f>
        <v>3.1</v>
      </c>
      <c r="B14" s="227" t="str">
        <f>'Component wise'!C14</f>
        <v>Community Infrastructure</v>
      </c>
      <c r="C14" s="227">
        <f>'Component wise'!D14</f>
        <v>62380000</v>
      </c>
      <c r="D14" s="248">
        <f>'3.1'!X56</f>
        <v>45552000</v>
      </c>
      <c r="E14" s="248">
        <f>'3.1'!Y56</f>
        <v>5732000</v>
      </c>
      <c r="F14" s="248">
        <f>'3.1'!Z56</f>
        <v>10888000</v>
      </c>
      <c r="G14" s="248">
        <f>'3.1'!AA56</f>
        <v>208000</v>
      </c>
      <c r="H14" s="248">
        <f t="shared" si="0"/>
        <v>62380000</v>
      </c>
      <c r="J14" s="131">
        <f t="shared" si="1"/>
        <v>0</v>
      </c>
    </row>
    <row r="15" spans="1:10" x14ac:dyDescent="0.25">
      <c r="A15" s="227">
        <f>'Component wise'!B15</f>
        <v>3.2</v>
      </c>
      <c r="B15" s="227" t="str">
        <f>'Component wise'!C15</f>
        <v>Drudgery Reduction</v>
      </c>
      <c r="C15" s="227">
        <f>'Component wise'!D15</f>
        <v>78405000</v>
      </c>
      <c r="D15" s="248">
        <f>'3.2'!V46</f>
        <v>28742000</v>
      </c>
      <c r="E15" s="248">
        <f>'3.2'!W46</f>
        <v>29377000</v>
      </c>
      <c r="F15" s="248">
        <f>'3.2'!X46</f>
        <v>17050000</v>
      </c>
      <c r="G15" s="248">
        <f>'3.2'!Y46</f>
        <v>3236000</v>
      </c>
      <c r="H15" s="248">
        <f t="shared" si="0"/>
        <v>78405000</v>
      </c>
      <c r="J15" s="131">
        <f t="shared" si="1"/>
        <v>0</v>
      </c>
    </row>
    <row r="16" spans="1:10" s="225" customFormat="1" x14ac:dyDescent="0.25">
      <c r="A16" s="228">
        <f>'Component wise'!B16</f>
        <v>0</v>
      </c>
      <c r="B16" s="228" t="str">
        <f>'Component wise'!C16</f>
        <v>Sub Total</v>
      </c>
      <c r="C16" s="228">
        <f>'Component wise'!D16</f>
        <v>140785000</v>
      </c>
      <c r="D16" s="249">
        <f>SUM(D14:D15)</f>
        <v>74294000</v>
      </c>
      <c r="E16" s="249">
        <f t="shared" ref="E16:G16" si="4">SUM(E14:E15)</f>
        <v>35109000</v>
      </c>
      <c r="F16" s="249">
        <f t="shared" si="4"/>
        <v>27938000</v>
      </c>
      <c r="G16" s="249">
        <f t="shared" si="4"/>
        <v>3444000</v>
      </c>
      <c r="H16" s="249">
        <f t="shared" si="0"/>
        <v>140785000</v>
      </c>
      <c r="J16" s="131">
        <f t="shared" si="1"/>
        <v>0</v>
      </c>
    </row>
    <row r="17" spans="1:10" x14ac:dyDescent="0.25">
      <c r="A17" s="227">
        <f>'Component wise'!B17</f>
        <v>4</v>
      </c>
      <c r="B17" s="227" t="str">
        <f>'Component wise'!C17</f>
        <v>Programme Management</v>
      </c>
      <c r="C17" s="227"/>
      <c r="D17" s="248"/>
      <c r="E17" s="248"/>
      <c r="F17" s="248"/>
      <c r="G17" s="248"/>
      <c r="H17" s="248"/>
      <c r="J17" s="131">
        <f t="shared" si="1"/>
        <v>0</v>
      </c>
    </row>
    <row r="18" spans="1:10" x14ac:dyDescent="0.25">
      <c r="A18" s="227">
        <f>'Component wise'!B18</f>
        <v>4.0999999999999996</v>
      </c>
      <c r="B18" s="227" t="str">
        <f>'Component wise'!C18</f>
        <v>Programme Management Unit</v>
      </c>
      <c r="C18" s="227">
        <f>'Component wise'!D18</f>
        <v>86675000</v>
      </c>
      <c r="D18" s="248">
        <f>'4.1 '!V89</f>
        <v>21263750</v>
      </c>
      <c r="E18" s="248">
        <f>'4.1 '!W89</f>
        <v>26033750</v>
      </c>
      <c r="F18" s="248">
        <f>'4.1 '!X89</f>
        <v>22313750</v>
      </c>
      <c r="G18" s="248">
        <f>'4.1 '!Y89</f>
        <v>17063750</v>
      </c>
      <c r="H18" s="248">
        <f t="shared" si="0"/>
        <v>86675000</v>
      </c>
      <c r="J18" s="131">
        <f t="shared" si="1"/>
        <v>0</v>
      </c>
    </row>
    <row r="19" spans="1:10" x14ac:dyDescent="0.25">
      <c r="A19" s="227">
        <f>'Component wise'!B19</f>
        <v>4.2</v>
      </c>
      <c r="B19" s="227" t="str">
        <f>'Component wise'!C19</f>
        <v>Micro Project Agency Unit</v>
      </c>
      <c r="C19" s="227">
        <f>'Component wise'!D19</f>
        <v>74709000</v>
      </c>
      <c r="D19" s="248">
        <f>'4.2'!V56</f>
        <v>18602250</v>
      </c>
      <c r="E19" s="248">
        <f>'4.2'!W56</f>
        <v>19012250</v>
      </c>
      <c r="F19" s="248">
        <f>'4.2'!X56</f>
        <v>18562250</v>
      </c>
      <c r="G19" s="248">
        <f>'4.2'!Y56</f>
        <v>18532250</v>
      </c>
      <c r="H19" s="248">
        <f t="shared" si="0"/>
        <v>74709000</v>
      </c>
      <c r="J19" s="131">
        <f t="shared" si="1"/>
        <v>0</v>
      </c>
    </row>
    <row r="20" spans="1:10" x14ac:dyDescent="0.25">
      <c r="A20" s="227">
        <f>'Component wise'!B20</f>
        <v>4.3</v>
      </c>
      <c r="B20" s="227" t="str">
        <f>'Component wise'!C20</f>
        <v>Monitoring, Evaluation and KM</v>
      </c>
      <c r="C20" s="227">
        <f>'Component wise'!D20</f>
        <v>6240000</v>
      </c>
      <c r="D20" s="248">
        <f>'4.3 '!W35</f>
        <v>1335000</v>
      </c>
      <c r="E20" s="248">
        <f>'4.3 '!X35</f>
        <v>2735000</v>
      </c>
      <c r="F20" s="248">
        <f>'4.3 '!Y35</f>
        <v>2085000</v>
      </c>
      <c r="G20" s="248">
        <f>'4.3 '!Z35</f>
        <v>85000</v>
      </c>
      <c r="H20" s="248">
        <f t="shared" si="0"/>
        <v>6240000</v>
      </c>
      <c r="J20" s="131">
        <f t="shared" si="1"/>
        <v>0</v>
      </c>
    </row>
    <row r="21" spans="1:10" s="225" customFormat="1" x14ac:dyDescent="0.25">
      <c r="A21" s="228"/>
      <c r="B21" s="228" t="str">
        <f>'Component wise'!C21</f>
        <v>Sub Total</v>
      </c>
      <c r="C21" s="228">
        <f>'Component wise'!D21</f>
        <v>167624000</v>
      </c>
      <c r="D21" s="249">
        <f>SUM(D18:D20)</f>
        <v>41201000</v>
      </c>
      <c r="E21" s="249">
        <f t="shared" ref="E21:G21" si="5">SUM(E18:E20)</f>
        <v>47781000</v>
      </c>
      <c r="F21" s="249">
        <f t="shared" si="5"/>
        <v>42961000</v>
      </c>
      <c r="G21" s="249">
        <f t="shared" si="5"/>
        <v>35681000</v>
      </c>
      <c r="H21" s="249">
        <f t="shared" si="0"/>
        <v>167624000</v>
      </c>
      <c r="J21" s="131">
        <f t="shared" si="1"/>
        <v>0</v>
      </c>
    </row>
    <row r="22" spans="1:10" x14ac:dyDescent="0.25">
      <c r="A22" s="227"/>
      <c r="B22" s="227"/>
      <c r="C22" s="227"/>
      <c r="D22" s="248"/>
      <c r="E22" s="248"/>
      <c r="F22" s="248"/>
      <c r="G22" s="248"/>
      <c r="H22" s="248"/>
      <c r="J22" s="131">
        <f t="shared" si="1"/>
        <v>0</v>
      </c>
    </row>
    <row r="23" spans="1:10" s="225" customFormat="1" x14ac:dyDescent="0.25">
      <c r="A23" s="228"/>
      <c r="B23" s="228" t="str">
        <f>'Component wise'!C23</f>
        <v>GRAND TOTAL</v>
      </c>
      <c r="C23" s="228">
        <f>'Component wise'!D23</f>
        <v>1147964335</v>
      </c>
      <c r="D23" s="249">
        <f>D21+D16+D12+D7</f>
        <v>326955687.75</v>
      </c>
      <c r="E23" s="249">
        <f t="shared" ref="E23:G23" si="6">E21+E16+E12+E7</f>
        <v>427482580.25</v>
      </c>
      <c r="F23" s="249">
        <f t="shared" si="6"/>
        <v>259433349.75</v>
      </c>
      <c r="G23" s="249">
        <f t="shared" si="6"/>
        <v>134092717.25</v>
      </c>
      <c r="H23" s="249">
        <f t="shared" si="0"/>
        <v>1147964335</v>
      </c>
      <c r="J23" s="131">
        <f t="shared" si="1"/>
        <v>0</v>
      </c>
    </row>
    <row r="24" spans="1:10" x14ac:dyDescent="0.25">
      <c r="D24">
        <v>35</v>
      </c>
      <c r="E24">
        <v>41</v>
      </c>
      <c r="F24">
        <v>25</v>
      </c>
      <c r="G24">
        <v>16.739999999999998</v>
      </c>
      <c r="H24" s="720">
        <f>SUM(D24:G24)</f>
        <v>117.74</v>
      </c>
    </row>
    <row r="25" spans="1:10" x14ac:dyDescent="0.25">
      <c r="D25" s="131">
        <f>D23/C23*100</f>
        <v>28.481345437443402</v>
      </c>
      <c r="E25" s="131">
        <f>E23/C23*100</f>
        <v>37.238315443833017</v>
      </c>
      <c r="F25" s="131">
        <f>F23/C23*100</f>
        <v>22.599425943838227</v>
      </c>
      <c r="G25" s="131">
        <f>G23/C23*100</f>
        <v>11.680913174885351</v>
      </c>
      <c r="H25" s="131">
        <f>SUM(D25:G25)</f>
        <v>99.999999999999986</v>
      </c>
    </row>
  </sheetData>
  <mergeCells count="1">
    <mergeCell ref="B2:H2"/>
  </mergeCells>
  <pageMargins left="0" right="0" top="0.75" bottom="0.75" header="0.3" footer="0.3"/>
  <pageSetup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rgb="FFFF0000"/>
    <pageSetUpPr fitToPage="1"/>
  </sheetPr>
  <dimension ref="A1:BW96"/>
  <sheetViews>
    <sheetView zoomScale="70" zoomScaleNormal="70" workbookViewId="0">
      <pane xSplit="8" ySplit="8" topLeftCell="I87" activePane="bottomRight" state="frozen"/>
      <selection pane="topRight" activeCell="I1" sqref="I1"/>
      <selection pane="bottomLeft" activeCell="A9" sqref="A9"/>
      <selection pane="bottomRight" activeCell="G108" sqref="G108"/>
    </sheetView>
  </sheetViews>
  <sheetFormatPr defaultColWidth="8.7109375" defaultRowHeight="15.75" x14ac:dyDescent="0.25"/>
  <cols>
    <col min="1" max="1" width="11.28515625" style="151" customWidth="1"/>
    <col min="2" max="2" width="7.7109375" style="151" customWidth="1"/>
    <col min="3" max="3" width="11" style="202" customWidth="1"/>
    <col min="4" max="4" width="46.28515625" style="163" customWidth="1"/>
    <col min="5" max="5" width="13.140625" style="149" customWidth="1"/>
    <col min="6" max="6" width="14" style="149" customWidth="1"/>
    <col min="7" max="7" width="11.140625" style="149" customWidth="1"/>
    <col min="8" max="8" width="17.5703125" style="149" customWidth="1"/>
    <col min="9" max="10" width="16.7109375" style="149" customWidth="1"/>
    <col min="11" max="11" width="15.28515625" style="149" customWidth="1"/>
    <col min="12" max="12" width="14" style="149" customWidth="1"/>
    <col min="13" max="13" width="15.5703125" style="149" customWidth="1"/>
    <col min="14" max="14" width="15.140625" style="149" customWidth="1"/>
    <col min="15" max="15" width="5.5703125" style="149" customWidth="1"/>
    <col min="16" max="16" width="11.28515625" style="149" customWidth="1"/>
    <col min="17" max="17" width="15.5703125" style="149" customWidth="1"/>
    <col min="18" max="18" width="8.28515625" style="149" customWidth="1"/>
    <col min="19" max="19" width="8.7109375" style="164" customWidth="1"/>
    <col min="20" max="20" width="7.42578125" style="164" customWidth="1"/>
    <col min="21" max="21" width="7" style="164" customWidth="1"/>
    <col min="22" max="22" width="9.85546875" style="164" customWidth="1"/>
    <col min="23" max="23" width="16.7109375" style="150" customWidth="1"/>
    <col min="24" max="24" width="16.28515625" style="150" customWidth="1"/>
    <col min="25" max="25" width="15.28515625" style="150" customWidth="1"/>
    <col min="26" max="26" width="15.5703125" style="150" customWidth="1"/>
    <col min="27" max="27" width="8.140625" style="149" customWidth="1"/>
    <col min="28" max="28" width="15.42578125" style="150" customWidth="1"/>
    <col min="29" max="29" width="8.42578125" style="149" customWidth="1"/>
    <col min="30" max="30" width="15.7109375" style="150" customWidth="1"/>
    <col min="31" max="31" width="10.140625" style="149" customWidth="1"/>
    <col min="32" max="32" width="17.42578125" style="150" customWidth="1"/>
    <col min="33" max="33" width="7.42578125" style="149" customWidth="1"/>
    <col min="34" max="34" width="14.140625" style="150" customWidth="1"/>
    <col min="35" max="35" width="7.85546875" style="149" customWidth="1"/>
    <col min="36" max="36" width="16.28515625" style="150" customWidth="1"/>
    <col min="37" max="37" width="8.5703125" style="149" customWidth="1"/>
    <col min="38" max="38" width="15.140625" style="150" customWidth="1"/>
    <col min="39" max="39" width="9.5703125" style="149" customWidth="1"/>
    <col min="40" max="40" width="15" style="150" customWidth="1"/>
    <col min="41" max="41" width="8.140625" style="149" customWidth="1"/>
    <col min="42" max="42" width="15.42578125" style="150" customWidth="1"/>
    <col min="43" max="43" width="7.85546875" style="149" customWidth="1"/>
    <col min="44" max="44" width="15" style="150" customWidth="1"/>
    <col min="45" max="45" width="10.85546875" style="149" customWidth="1"/>
    <col min="46" max="46" width="15.7109375" style="150" customWidth="1"/>
    <col min="47" max="47" width="9.5703125" style="149" customWidth="1"/>
    <col min="48" max="48" width="14.140625" style="150" customWidth="1"/>
    <col min="49" max="49" width="7.85546875" style="149" customWidth="1"/>
    <col min="50" max="50" width="15.85546875" style="150" customWidth="1"/>
    <col min="51" max="51" width="10.28515625" style="151" customWidth="1"/>
    <col min="52" max="52" width="15.85546875" style="150" customWidth="1"/>
    <col min="53" max="53" width="9.42578125" style="151" customWidth="1"/>
    <col min="54" max="54" width="15.7109375" style="150" customWidth="1"/>
    <col min="55" max="55" width="9.5703125" style="149" customWidth="1"/>
    <col min="56" max="56" width="15.7109375" style="150" customWidth="1"/>
    <col min="57" max="57" width="7.7109375" style="149" customWidth="1"/>
    <col min="58" max="58" width="15.85546875" style="150" customWidth="1"/>
    <col min="59" max="59" width="9.42578125" style="149" customWidth="1"/>
    <col min="60" max="60" width="15.7109375" style="150" customWidth="1"/>
    <col min="61" max="61" width="10.140625" style="149" customWidth="1"/>
    <col min="62" max="62" width="15" style="150" customWidth="1"/>
    <col min="63" max="63" width="11.140625" style="149" customWidth="1"/>
    <col min="64" max="64" width="17.42578125" style="150" customWidth="1"/>
    <col min="65" max="65" width="26.28515625" style="151" customWidth="1"/>
    <col min="66" max="66" width="5.28515625" style="151" customWidth="1"/>
    <col min="67" max="67" width="17" style="151" customWidth="1"/>
    <col min="68" max="68" width="16.5703125" style="151" customWidth="1"/>
    <col min="69" max="69" width="17" style="151" bestFit="1" customWidth="1"/>
    <col min="70" max="70" width="7.140625" style="151" customWidth="1"/>
    <col min="71" max="71" width="17.42578125" style="151" customWidth="1"/>
    <col min="72" max="74" width="17" style="151" bestFit="1" customWidth="1"/>
    <col min="75" max="75" width="18.140625" style="151" bestFit="1" customWidth="1"/>
    <col min="76" max="85" width="9.140625" style="151" customWidth="1"/>
    <col min="86" max="16384" width="8.7109375" style="151"/>
  </cols>
  <sheetData>
    <row r="1" spans="1:75" ht="21.75" customHeight="1" x14ac:dyDescent="0.25">
      <c r="A1" s="849" t="s">
        <v>158</v>
      </c>
      <c r="B1" s="849"/>
      <c r="C1" s="422"/>
      <c r="D1" s="850" t="s">
        <v>152</v>
      </c>
      <c r="E1" s="850"/>
      <c r="F1" s="850"/>
      <c r="G1" s="850"/>
      <c r="H1" s="850"/>
      <c r="I1" s="850"/>
      <c r="J1" s="850"/>
      <c r="K1" s="850"/>
      <c r="L1" s="850"/>
      <c r="M1" s="850"/>
      <c r="N1" s="850"/>
      <c r="O1" s="850"/>
      <c r="P1" s="850"/>
      <c r="Q1" s="850"/>
      <c r="R1" s="850"/>
      <c r="S1" s="368"/>
      <c r="T1" s="368"/>
      <c r="U1" s="368"/>
      <c r="V1" s="368"/>
      <c r="W1" s="369"/>
      <c r="X1" s="369"/>
      <c r="Y1" s="369"/>
      <c r="Z1" s="369"/>
      <c r="AA1" s="365"/>
      <c r="AB1" s="364"/>
      <c r="AC1" s="365"/>
      <c r="AD1" s="364"/>
      <c r="AE1" s="365"/>
      <c r="AF1" s="364"/>
      <c r="AG1" s="365"/>
      <c r="AH1" s="364"/>
      <c r="AI1" s="365"/>
      <c r="AJ1" s="364"/>
      <c r="AK1" s="365"/>
      <c r="AL1" s="364"/>
      <c r="AM1" s="365"/>
      <c r="AN1" s="364"/>
      <c r="AO1" s="365"/>
      <c r="AP1" s="364"/>
      <c r="AQ1" s="365"/>
      <c r="AR1" s="364"/>
      <c r="AS1" s="365"/>
      <c r="AT1" s="364"/>
      <c r="AU1" s="365"/>
      <c r="AV1" s="364"/>
      <c r="AW1" s="365"/>
      <c r="AX1" s="364"/>
      <c r="AY1" s="359"/>
      <c r="AZ1" s="364"/>
      <c r="BA1" s="359"/>
      <c r="BB1" s="364"/>
      <c r="BC1" s="365"/>
      <c r="BD1" s="364"/>
      <c r="BE1" s="365"/>
      <c r="BF1" s="364"/>
      <c r="BG1" s="365"/>
      <c r="BH1" s="364"/>
      <c r="BI1" s="365"/>
      <c r="BJ1" s="364"/>
      <c r="BK1" s="365"/>
      <c r="BL1" s="364"/>
      <c r="BM1" s="359"/>
      <c r="BN1" s="359"/>
      <c r="BO1" s="359"/>
      <c r="BP1" s="359"/>
      <c r="BQ1" s="359"/>
      <c r="BR1" s="359"/>
      <c r="BS1" s="359"/>
      <c r="BT1" s="359"/>
      <c r="BU1" s="359"/>
      <c r="BV1" s="359"/>
      <c r="BW1" s="359"/>
    </row>
    <row r="2" spans="1:75" ht="18" customHeight="1" x14ac:dyDescent="0.25">
      <c r="A2" s="849" t="s">
        <v>154</v>
      </c>
      <c r="B2" s="849"/>
      <c r="C2" s="422"/>
      <c r="D2" s="850" t="s">
        <v>153</v>
      </c>
      <c r="E2" s="850"/>
      <c r="F2" s="850"/>
      <c r="G2" s="850"/>
      <c r="H2" s="850"/>
      <c r="I2" s="850"/>
      <c r="J2" s="850"/>
      <c r="K2" s="850"/>
      <c r="L2" s="850"/>
      <c r="M2" s="850"/>
      <c r="N2" s="850"/>
      <c r="O2" s="850"/>
      <c r="P2" s="850"/>
      <c r="Q2" s="850"/>
      <c r="R2" s="850"/>
      <c r="S2" s="368"/>
      <c r="T2" s="368"/>
      <c r="U2" s="368"/>
      <c r="V2" s="368"/>
      <c r="W2" s="369"/>
      <c r="X2" s="369"/>
      <c r="Y2" s="369"/>
      <c r="Z2" s="369"/>
      <c r="AA2" s="9" t="s">
        <v>287</v>
      </c>
      <c r="AB2" s="9">
        <v>8.34</v>
      </c>
      <c r="AC2" s="9"/>
      <c r="AD2" s="9">
        <v>2.85</v>
      </c>
      <c r="AE2" s="9"/>
      <c r="AF2" s="9">
        <v>8.3800000000000008</v>
      </c>
      <c r="AG2" s="9"/>
      <c r="AH2" s="9">
        <v>7.49</v>
      </c>
      <c r="AI2" s="9"/>
      <c r="AJ2" s="9">
        <v>3.33</v>
      </c>
      <c r="AK2" s="9"/>
      <c r="AL2" s="9">
        <v>6.64</v>
      </c>
      <c r="AM2" s="9"/>
      <c r="AN2" s="9">
        <v>3.67</v>
      </c>
      <c r="AO2" s="9"/>
      <c r="AP2" s="9">
        <v>5.0599999999999996</v>
      </c>
      <c r="AQ2" s="9"/>
      <c r="AR2" s="9">
        <v>5.94</v>
      </c>
      <c r="AS2" s="9"/>
      <c r="AT2" s="9">
        <v>6.85</v>
      </c>
      <c r="AU2" s="9"/>
      <c r="AV2" s="9">
        <v>7.45</v>
      </c>
      <c r="AW2" s="9"/>
      <c r="AX2" s="9">
        <v>5.13</v>
      </c>
      <c r="AY2" s="318"/>
      <c r="AZ2" s="9">
        <v>4.8600000000000003</v>
      </c>
      <c r="BA2" s="318"/>
      <c r="BB2" s="9">
        <v>5.79</v>
      </c>
      <c r="BC2" s="9"/>
      <c r="BD2" s="9">
        <v>5.3</v>
      </c>
      <c r="BE2" s="9"/>
      <c r="BF2" s="9">
        <v>3.47</v>
      </c>
      <c r="BG2" s="9"/>
      <c r="BH2" s="9">
        <v>9.42</v>
      </c>
      <c r="BI2" s="9"/>
      <c r="BJ2" s="9"/>
      <c r="BK2" s="9"/>
      <c r="BL2" s="9"/>
      <c r="BM2" s="359"/>
      <c r="BN2" s="359"/>
      <c r="BO2" s="359"/>
      <c r="BP2" s="359"/>
      <c r="BQ2" s="359"/>
      <c r="BR2" s="359"/>
      <c r="BS2" s="359"/>
      <c r="BT2" s="359"/>
      <c r="BU2" s="359"/>
      <c r="BV2" s="359"/>
      <c r="BW2" s="359"/>
    </row>
    <row r="3" spans="1:75" ht="18.75" customHeight="1" x14ac:dyDescent="0.25">
      <c r="A3" s="376" t="s">
        <v>155</v>
      </c>
      <c r="B3" s="376"/>
      <c r="C3" s="422"/>
      <c r="D3" s="376" t="s">
        <v>1174</v>
      </c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68"/>
      <c r="T3" s="368"/>
      <c r="U3" s="368"/>
      <c r="V3" s="368"/>
      <c r="W3" s="369"/>
      <c r="X3" s="369"/>
      <c r="Y3" s="369"/>
      <c r="Z3" s="369"/>
      <c r="AA3" s="9" t="s">
        <v>285</v>
      </c>
      <c r="AB3" s="9">
        <v>48</v>
      </c>
      <c r="AC3" s="9"/>
      <c r="AD3" s="9">
        <v>23</v>
      </c>
      <c r="AE3" s="9"/>
      <c r="AF3" s="9">
        <v>80</v>
      </c>
      <c r="AG3" s="9"/>
      <c r="AH3" s="9">
        <v>105</v>
      </c>
      <c r="AI3" s="9"/>
      <c r="AJ3" s="9">
        <v>43</v>
      </c>
      <c r="AK3" s="9"/>
      <c r="AL3" s="9">
        <v>75</v>
      </c>
      <c r="AM3" s="9"/>
      <c r="AN3" s="9">
        <v>41</v>
      </c>
      <c r="AO3" s="9"/>
      <c r="AP3" s="9">
        <v>101</v>
      </c>
      <c r="AQ3" s="9"/>
      <c r="AR3" s="9">
        <v>8</v>
      </c>
      <c r="AS3" s="9"/>
      <c r="AT3" s="9">
        <v>33</v>
      </c>
      <c r="AU3" s="9"/>
      <c r="AV3" s="9">
        <v>53</v>
      </c>
      <c r="AW3" s="9"/>
      <c r="AX3" s="9">
        <v>52</v>
      </c>
      <c r="AY3" s="318"/>
      <c r="AZ3" s="9">
        <v>76</v>
      </c>
      <c r="BA3" s="318"/>
      <c r="BB3" s="9">
        <v>82</v>
      </c>
      <c r="BC3" s="9"/>
      <c r="BD3" s="9">
        <v>104</v>
      </c>
      <c r="BE3" s="9"/>
      <c r="BF3" s="9">
        <v>147</v>
      </c>
      <c r="BG3" s="9"/>
      <c r="BH3" s="9">
        <v>54</v>
      </c>
      <c r="BI3" s="9"/>
      <c r="BJ3" s="9"/>
      <c r="BK3" s="9"/>
      <c r="BL3" s="9"/>
      <c r="BM3" s="359"/>
      <c r="BN3" s="359"/>
      <c r="BO3" s="359"/>
      <c r="BP3" s="359"/>
      <c r="BQ3" s="359"/>
      <c r="BR3" s="359"/>
      <c r="BS3" s="359"/>
      <c r="BT3" s="359"/>
      <c r="BU3" s="359"/>
      <c r="BV3" s="359"/>
      <c r="BW3" s="359"/>
    </row>
    <row r="4" spans="1:75" ht="16.5" customHeight="1" x14ac:dyDescent="0.25">
      <c r="A4" s="376" t="s">
        <v>171</v>
      </c>
      <c r="B4" s="376"/>
      <c r="C4" s="422"/>
      <c r="D4" s="376" t="s">
        <v>89</v>
      </c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68"/>
      <c r="T4" s="368"/>
      <c r="U4" s="368"/>
      <c r="V4" s="368"/>
      <c r="W4" s="369"/>
      <c r="X4" s="369"/>
      <c r="Y4" s="369"/>
      <c r="Z4" s="369"/>
      <c r="AA4" s="9" t="s">
        <v>286</v>
      </c>
      <c r="AB4" s="10">
        <f>AB3/1125*100</f>
        <v>4.2666666666666666</v>
      </c>
      <c r="AC4" s="10">
        <f t="shared" ref="AC4:BH4" si="0">AC3/1125*100</f>
        <v>0</v>
      </c>
      <c r="AD4" s="10">
        <f t="shared" si="0"/>
        <v>2.0444444444444447</v>
      </c>
      <c r="AE4" s="10">
        <f t="shared" si="0"/>
        <v>0</v>
      </c>
      <c r="AF4" s="10">
        <f t="shared" si="0"/>
        <v>7.1111111111111107</v>
      </c>
      <c r="AG4" s="10">
        <f t="shared" si="0"/>
        <v>0</v>
      </c>
      <c r="AH4" s="10">
        <f t="shared" si="0"/>
        <v>9.3333333333333339</v>
      </c>
      <c r="AI4" s="10">
        <f t="shared" si="0"/>
        <v>0</v>
      </c>
      <c r="AJ4" s="10">
        <f t="shared" si="0"/>
        <v>3.822222222222222</v>
      </c>
      <c r="AK4" s="10">
        <f t="shared" si="0"/>
        <v>0</v>
      </c>
      <c r="AL4" s="10">
        <f t="shared" si="0"/>
        <v>6.666666666666667</v>
      </c>
      <c r="AM4" s="10">
        <f t="shared" si="0"/>
        <v>0</v>
      </c>
      <c r="AN4" s="10">
        <f t="shared" si="0"/>
        <v>3.6444444444444448</v>
      </c>
      <c r="AO4" s="10">
        <f t="shared" si="0"/>
        <v>0</v>
      </c>
      <c r="AP4" s="10">
        <f t="shared" si="0"/>
        <v>8.9777777777777779</v>
      </c>
      <c r="AQ4" s="10">
        <f t="shared" si="0"/>
        <v>0</v>
      </c>
      <c r="AR4" s="10">
        <f t="shared" si="0"/>
        <v>0.71111111111111114</v>
      </c>
      <c r="AS4" s="10">
        <f t="shared" si="0"/>
        <v>0</v>
      </c>
      <c r="AT4" s="10">
        <f t="shared" si="0"/>
        <v>2.9333333333333331</v>
      </c>
      <c r="AU4" s="10">
        <f t="shared" si="0"/>
        <v>0</v>
      </c>
      <c r="AV4" s="10">
        <f t="shared" si="0"/>
        <v>4.7111111111111112</v>
      </c>
      <c r="AW4" s="10">
        <f t="shared" si="0"/>
        <v>0</v>
      </c>
      <c r="AX4" s="10">
        <f t="shared" si="0"/>
        <v>4.6222222222222218</v>
      </c>
      <c r="AY4" s="423">
        <f t="shared" si="0"/>
        <v>0</v>
      </c>
      <c r="AZ4" s="10">
        <f t="shared" si="0"/>
        <v>6.7555555555555546</v>
      </c>
      <c r="BA4" s="423">
        <f t="shared" si="0"/>
        <v>0</v>
      </c>
      <c r="BB4" s="10">
        <f t="shared" si="0"/>
        <v>7.2888888888888896</v>
      </c>
      <c r="BC4" s="10">
        <f t="shared" si="0"/>
        <v>0</v>
      </c>
      <c r="BD4" s="10">
        <f t="shared" si="0"/>
        <v>9.2444444444444436</v>
      </c>
      <c r="BE4" s="10">
        <f t="shared" si="0"/>
        <v>0</v>
      </c>
      <c r="BF4" s="10">
        <f t="shared" si="0"/>
        <v>13.066666666666665</v>
      </c>
      <c r="BG4" s="10">
        <f t="shared" si="0"/>
        <v>0</v>
      </c>
      <c r="BH4" s="10">
        <f t="shared" si="0"/>
        <v>4.8</v>
      </c>
      <c r="BI4" s="9"/>
      <c r="BJ4" s="9"/>
      <c r="BK4" s="9"/>
      <c r="BL4" s="9"/>
      <c r="BM4" s="359"/>
      <c r="BN4" s="359"/>
      <c r="BO4" s="359"/>
      <c r="BP4" s="359"/>
      <c r="BQ4" s="359"/>
      <c r="BR4" s="359"/>
      <c r="BS4" s="359"/>
      <c r="BT4" s="359"/>
      <c r="BU4" s="359"/>
      <c r="BV4" s="359"/>
      <c r="BW4" s="359"/>
    </row>
    <row r="5" spans="1:75" ht="18.600000000000001" customHeight="1" x14ac:dyDescent="0.25">
      <c r="A5" s="376" t="s">
        <v>172</v>
      </c>
      <c r="B5" s="376"/>
      <c r="C5" s="422"/>
      <c r="D5" s="376" t="s">
        <v>173</v>
      </c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68"/>
      <c r="T5" s="368"/>
      <c r="U5" s="368"/>
      <c r="V5" s="368"/>
      <c r="W5" s="369"/>
      <c r="X5" s="369"/>
      <c r="Y5" s="369"/>
      <c r="Z5" s="36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318"/>
      <c r="AZ5" s="9"/>
      <c r="BA5" s="318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359"/>
      <c r="BN5" s="359"/>
      <c r="BO5" s="359"/>
      <c r="BP5" s="359"/>
      <c r="BQ5" s="359"/>
      <c r="BR5" s="359"/>
      <c r="BS5" s="359"/>
      <c r="BT5" s="359"/>
      <c r="BU5" s="359"/>
      <c r="BV5" s="359"/>
      <c r="BW5" s="359"/>
    </row>
    <row r="6" spans="1:75" ht="24" customHeight="1" x14ac:dyDescent="0.25">
      <c r="A6" s="845"/>
      <c r="B6" s="845"/>
      <c r="C6" s="845"/>
      <c r="D6" s="845"/>
      <c r="E6" s="845"/>
      <c r="F6" s="836" t="s">
        <v>21</v>
      </c>
      <c r="G6" s="836"/>
      <c r="H6" s="836"/>
      <c r="I6" s="837" t="s">
        <v>151</v>
      </c>
      <c r="J6" s="838"/>
      <c r="K6" s="838"/>
      <c r="L6" s="838"/>
      <c r="M6" s="838"/>
      <c r="N6" s="838"/>
      <c r="O6" s="838"/>
      <c r="P6" s="838"/>
      <c r="Q6" s="838"/>
      <c r="R6" s="839"/>
      <c r="S6" s="853" t="s">
        <v>60</v>
      </c>
      <c r="T6" s="854"/>
      <c r="U6" s="854"/>
      <c r="V6" s="855"/>
      <c r="W6" s="859" t="s">
        <v>38</v>
      </c>
      <c r="X6" s="860"/>
      <c r="Y6" s="860"/>
      <c r="Z6" s="860"/>
      <c r="AA6" s="840" t="s">
        <v>179</v>
      </c>
      <c r="AB6" s="840"/>
      <c r="AC6" s="840" t="s">
        <v>180</v>
      </c>
      <c r="AD6" s="840"/>
      <c r="AE6" s="840" t="s">
        <v>181</v>
      </c>
      <c r="AF6" s="840"/>
      <c r="AG6" s="840" t="s">
        <v>182</v>
      </c>
      <c r="AH6" s="840"/>
      <c r="AI6" s="840" t="s">
        <v>183</v>
      </c>
      <c r="AJ6" s="840"/>
      <c r="AK6" s="840" t="s">
        <v>184</v>
      </c>
      <c r="AL6" s="840"/>
      <c r="AM6" s="840" t="s">
        <v>185</v>
      </c>
      <c r="AN6" s="840"/>
      <c r="AO6" s="840" t="s">
        <v>186</v>
      </c>
      <c r="AP6" s="840"/>
      <c r="AQ6" s="840" t="s">
        <v>187</v>
      </c>
      <c r="AR6" s="840"/>
      <c r="AS6" s="840" t="s">
        <v>188</v>
      </c>
      <c r="AT6" s="840"/>
      <c r="AU6" s="840" t="s">
        <v>189</v>
      </c>
      <c r="AV6" s="840"/>
      <c r="AW6" s="840" t="s">
        <v>190</v>
      </c>
      <c r="AX6" s="840"/>
      <c r="AY6" s="840" t="s">
        <v>191</v>
      </c>
      <c r="AZ6" s="840"/>
      <c r="BA6" s="840" t="s">
        <v>192</v>
      </c>
      <c r="BB6" s="840"/>
      <c r="BC6" s="840" t="s">
        <v>193</v>
      </c>
      <c r="BD6" s="840"/>
      <c r="BE6" s="840" t="s">
        <v>194</v>
      </c>
      <c r="BF6" s="840"/>
      <c r="BG6" s="863" t="s">
        <v>195</v>
      </c>
      <c r="BH6" s="863"/>
      <c r="BI6" s="840" t="s">
        <v>196</v>
      </c>
      <c r="BJ6" s="840"/>
      <c r="BK6" s="840" t="s">
        <v>17</v>
      </c>
      <c r="BL6" s="840"/>
      <c r="BM6" s="825" t="s">
        <v>229</v>
      </c>
      <c r="BN6" s="359"/>
      <c r="BO6" s="359"/>
      <c r="BP6" s="359"/>
      <c r="BQ6" s="359"/>
      <c r="BR6" s="359"/>
      <c r="BS6" s="359"/>
      <c r="BT6" s="359"/>
      <c r="BU6" s="359"/>
      <c r="BV6" s="359"/>
      <c r="BW6" s="359"/>
    </row>
    <row r="7" spans="1:75" ht="15" customHeight="1" x14ac:dyDescent="0.25">
      <c r="A7" s="370" t="s">
        <v>13</v>
      </c>
      <c r="B7" s="370" t="s">
        <v>1</v>
      </c>
      <c r="C7" s="851" t="s">
        <v>747</v>
      </c>
      <c r="D7" s="835" t="s">
        <v>12</v>
      </c>
      <c r="E7" s="424" t="s">
        <v>14</v>
      </c>
      <c r="F7" s="424"/>
      <c r="G7" s="424"/>
      <c r="H7" s="840" t="s">
        <v>178</v>
      </c>
      <c r="I7" s="317" t="s">
        <v>199</v>
      </c>
      <c r="J7" s="317" t="s">
        <v>200</v>
      </c>
      <c r="K7" s="317" t="s">
        <v>201</v>
      </c>
      <c r="L7" s="317" t="s">
        <v>202</v>
      </c>
      <c r="M7" s="317" t="s">
        <v>203</v>
      </c>
      <c r="N7" s="317" t="s">
        <v>204</v>
      </c>
      <c r="O7" s="317" t="s">
        <v>889</v>
      </c>
      <c r="P7" s="317" t="s">
        <v>205</v>
      </c>
      <c r="Q7" s="317" t="s">
        <v>206</v>
      </c>
      <c r="R7" s="317" t="s">
        <v>740</v>
      </c>
      <c r="S7" s="856"/>
      <c r="T7" s="857"/>
      <c r="U7" s="857"/>
      <c r="V7" s="858"/>
      <c r="W7" s="861"/>
      <c r="X7" s="862"/>
      <c r="Y7" s="862"/>
      <c r="Z7" s="862"/>
      <c r="AA7" s="840"/>
      <c r="AB7" s="840"/>
      <c r="AC7" s="840" t="s">
        <v>43</v>
      </c>
      <c r="AD7" s="840"/>
      <c r="AE7" s="840" t="s">
        <v>44</v>
      </c>
      <c r="AF7" s="840"/>
      <c r="AG7" s="840" t="s">
        <v>45</v>
      </c>
      <c r="AH7" s="840"/>
      <c r="AI7" s="840" t="s">
        <v>46</v>
      </c>
      <c r="AJ7" s="840"/>
      <c r="AK7" s="840" t="s">
        <v>47</v>
      </c>
      <c r="AL7" s="840"/>
      <c r="AM7" s="840" t="s">
        <v>48</v>
      </c>
      <c r="AN7" s="840"/>
      <c r="AO7" s="840" t="s">
        <v>49</v>
      </c>
      <c r="AP7" s="840"/>
      <c r="AQ7" s="840" t="s">
        <v>50</v>
      </c>
      <c r="AR7" s="840"/>
      <c r="AS7" s="840" t="s">
        <v>51</v>
      </c>
      <c r="AT7" s="840"/>
      <c r="AU7" s="840" t="s">
        <v>52</v>
      </c>
      <c r="AV7" s="840"/>
      <c r="AW7" s="840" t="s">
        <v>53</v>
      </c>
      <c r="AX7" s="840"/>
      <c r="AY7" s="840" t="s">
        <v>54</v>
      </c>
      <c r="AZ7" s="840"/>
      <c r="BA7" s="840" t="s">
        <v>55</v>
      </c>
      <c r="BB7" s="840"/>
      <c r="BC7" s="840" t="s">
        <v>40</v>
      </c>
      <c r="BD7" s="840"/>
      <c r="BE7" s="840" t="s">
        <v>37</v>
      </c>
      <c r="BF7" s="840"/>
      <c r="BG7" s="863"/>
      <c r="BH7" s="863"/>
      <c r="BI7" s="840"/>
      <c r="BJ7" s="840"/>
      <c r="BK7" s="840"/>
      <c r="BL7" s="840"/>
      <c r="BM7" s="825"/>
      <c r="BN7" s="359"/>
      <c r="BO7" s="830" t="s">
        <v>227</v>
      </c>
      <c r="BP7" s="830"/>
      <c r="BQ7" s="830"/>
      <c r="BR7" s="830"/>
      <c r="BS7" s="830"/>
      <c r="BT7" s="830" t="s">
        <v>228</v>
      </c>
      <c r="BU7" s="830"/>
      <c r="BV7" s="830"/>
      <c r="BW7" s="825" t="s">
        <v>17</v>
      </c>
    </row>
    <row r="8" spans="1:75" ht="42" customHeight="1" x14ac:dyDescent="0.25">
      <c r="A8" s="370"/>
      <c r="B8" s="370" t="s">
        <v>2</v>
      </c>
      <c r="C8" s="852"/>
      <c r="D8" s="835"/>
      <c r="E8" s="424"/>
      <c r="F8" s="414" t="s">
        <v>35</v>
      </c>
      <c r="G8" s="414" t="s">
        <v>23</v>
      </c>
      <c r="H8" s="840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06" t="s">
        <v>7</v>
      </c>
      <c r="T8" s="406" t="s">
        <v>8</v>
      </c>
      <c r="U8" s="406" t="s">
        <v>9</v>
      </c>
      <c r="V8" s="406" t="s">
        <v>10</v>
      </c>
      <c r="W8" s="390" t="s">
        <v>7</v>
      </c>
      <c r="X8" s="390" t="s">
        <v>8</v>
      </c>
      <c r="Y8" s="390" t="s">
        <v>9</v>
      </c>
      <c r="Z8" s="426" t="s">
        <v>10</v>
      </c>
      <c r="AA8" s="424" t="s">
        <v>14</v>
      </c>
      <c r="AB8" s="390" t="s">
        <v>15</v>
      </c>
      <c r="AC8" s="424" t="s">
        <v>14</v>
      </c>
      <c r="AD8" s="390" t="s">
        <v>15</v>
      </c>
      <c r="AE8" s="424" t="s">
        <v>14</v>
      </c>
      <c r="AF8" s="390" t="s">
        <v>15</v>
      </c>
      <c r="AG8" s="424" t="s">
        <v>14</v>
      </c>
      <c r="AH8" s="390" t="s">
        <v>15</v>
      </c>
      <c r="AI8" s="424" t="s">
        <v>14</v>
      </c>
      <c r="AJ8" s="390" t="s">
        <v>15</v>
      </c>
      <c r="AK8" s="424" t="s">
        <v>14</v>
      </c>
      <c r="AL8" s="390" t="s">
        <v>15</v>
      </c>
      <c r="AM8" s="424" t="s">
        <v>14</v>
      </c>
      <c r="AN8" s="390" t="s">
        <v>15</v>
      </c>
      <c r="AO8" s="424" t="s">
        <v>14</v>
      </c>
      <c r="AP8" s="390" t="s">
        <v>15</v>
      </c>
      <c r="AQ8" s="424" t="s">
        <v>14</v>
      </c>
      <c r="AR8" s="390" t="s">
        <v>15</v>
      </c>
      <c r="AS8" s="424" t="s">
        <v>14</v>
      </c>
      <c r="AT8" s="390" t="s">
        <v>15</v>
      </c>
      <c r="AU8" s="424" t="s">
        <v>14</v>
      </c>
      <c r="AV8" s="390" t="s">
        <v>15</v>
      </c>
      <c r="AW8" s="424" t="s">
        <v>14</v>
      </c>
      <c r="AX8" s="390" t="s">
        <v>15</v>
      </c>
      <c r="AY8" s="370" t="s">
        <v>14</v>
      </c>
      <c r="AZ8" s="390" t="s">
        <v>15</v>
      </c>
      <c r="BA8" s="370" t="s">
        <v>14</v>
      </c>
      <c r="BB8" s="390" t="s">
        <v>15</v>
      </c>
      <c r="BC8" s="424" t="s">
        <v>14</v>
      </c>
      <c r="BD8" s="390" t="s">
        <v>15</v>
      </c>
      <c r="BE8" s="424" t="s">
        <v>14</v>
      </c>
      <c r="BF8" s="390" t="s">
        <v>15</v>
      </c>
      <c r="BG8" s="424" t="s">
        <v>14</v>
      </c>
      <c r="BH8" s="390" t="s">
        <v>15</v>
      </c>
      <c r="BI8" s="424" t="s">
        <v>14</v>
      </c>
      <c r="BJ8" s="390" t="s">
        <v>15</v>
      </c>
      <c r="BK8" s="424" t="s">
        <v>14</v>
      </c>
      <c r="BL8" s="390" t="s">
        <v>15</v>
      </c>
      <c r="BM8" s="825"/>
      <c r="BN8" s="359"/>
      <c r="BO8" s="427" t="s">
        <v>218</v>
      </c>
      <c r="BP8" s="428" t="s">
        <v>219</v>
      </c>
      <c r="BQ8" s="428" t="s">
        <v>220</v>
      </c>
      <c r="BR8" s="334" t="s">
        <v>221</v>
      </c>
      <c r="BS8" s="428" t="s">
        <v>222</v>
      </c>
      <c r="BT8" s="428" t="s">
        <v>223</v>
      </c>
      <c r="BU8" s="428" t="s">
        <v>224</v>
      </c>
      <c r="BV8" s="428" t="s">
        <v>225</v>
      </c>
      <c r="BW8" s="825"/>
    </row>
    <row r="9" spans="1:75" x14ac:dyDescent="0.25">
      <c r="A9" s="383"/>
      <c r="B9" s="408"/>
      <c r="C9" s="377"/>
      <c r="D9" s="358" t="s">
        <v>314</v>
      </c>
      <c r="E9" s="429"/>
      <c r="F9" s="336"/>
      <c r="G9" s="430"/>
      <c r="H9" s="430" t="s">
        <v>36</v>
      </c>
      <c r="I9" s="336"/>
      <c r="J9" s="414"/>
      <c r="K9" s="414"/>
      <c r="L9" s="414"/>
      <c r="M9" s="414"/>
      <c r="N9" s="414"/>
      <c r="O9" s="414"/>
      <c r="P9" s="424"/>
      <c r="Q9" s="424"/>
      <c r="R9" s="424"/>
      <c r="S9" s="406"/>
      <c r="T9" s="406"/>
      <c r="U9" s="406"/>
      <c r="V9" s="406"/>
      <c r="W9" s="390"/>
      <c r="X9" s="390"/>
      <c r="Y9" s="390"/>
      <c r="Z9" s="390"/>
      <c r="AA9" s="424"/>
      <c r="AB9" s="390"/>
      <c r="AC9" s="424"/>
      <c r="AD9" s="390"/>
      <c r="AE9" s="424"/>
      <c r="AF9" s="390"/>
      <c r="AG9" s="424"/>
      <c r="AH9" s="390"/>
      <c r="AI9" s="424"/>
      <c r="AJ9" s="390"/>
      <c r="AK9" s="424"/>
      <c r="AL9" s="390"/>
      <c r="AM9" s="424"/>
      <c r="AN9" s="390"/>
      <c r="AO9" s="424"/>
      <c r="AP9" s="390"/>
      <c r="AQ9" s="424"/>
      <c r="AR9" s="390"/>
      <c r="AS9" s="424"/>
      <c r="AT9" s="390"/>
      <c r="AU9" s="424"/>
      <c r="AV9" s="390"/>
      <c r="AW9" s="424"/>
      <c r="AX9" s="390"/>
      <c r="AY9" s="370"/>
      <c r="AZ9" s="390"/>
      <c r="BA9" s="370"/>
      <c r="BB9" s="390"/>
      <c r="BC9" s="424"/>
      <c r="BD9" s="390"/>
      <c r="BE9" s="424"/>
      <c r="BF9" s="390"/>
      <c r="BG9" s="424"/>
      <c r="BH9" s="390"/>
      <c r="BI9" s="424"/>
      <c r="BJ9" s="390"/>
      <c r="BK9" s="424"/>
      <c r="BL9" s="390"/>
      <c r="BM9" s="336"/>
      <c r="BN9" s="359"/>
      <c r="BO9" s="251"/>
      <c r="BP9" s="251"/>
      <c r="BQ9" s="251"/>
      <c r="BR9" s="251"/>
      <c r="BS9" s="251"/>
      <c r="BT9" s="251"/>
      <c r="BU9" s="251"/>
      <c r="BV9" s="251"/>
      <c r="BW9" s="431">
        <f t="shared" ref="BW9:BW15" si="1">BS9+BV9</f>
        <v>0</v>
      </c>
    </row>
    <row r="10" spans="1:75" x14ac:dyDescent="0.25">
      <c r="A10" s="394"/>
      <c r="B10" s="408"/>
      <c r="C10" s="377"/>
      <c r="D10" s="358" t="s">
        <v>417</v>
      </c>
      <c r="E10" s="343"/>
      <c r="F10" s="336"/>
      <c r="G10" s="430"/>
      <c r="H10" s="430" t="s">
        <v>36</v>
      </c>
      <c r="I10" s="410"/>
      <c r="J10" s="432"/>
      <c r="K10" s="432"/>
      <c r="L10" s="432"/>
      <c r="M10" s="432"/>
      <c r="N10" s="432"/>
      <c r="O10" s="432"/>
      <c r="P10" s="429"/>
      <c r="Q10" s="429"/>
      <c r="R10" s="429"/>
      <c r="S10" s="392"/>
      <c r="T10" s="392"/>
      <c r="U10" s="392"/>
      <c r="V10" s="392"/>
      <c r="W10" s="391"/>
      <c r="X10" s="391"/>
      <c r="Y10" s="391"/>
      <c r="Z10" s="391"/>
      <c r="AA10" s="429"/>
      <c r="AB10" s="391"/>
      <c r="AC10" s="429"/>
      <c r="AD10" s="391"/>
      <c r="AE10" s="429"/>
      <c r="AF10" s="391"/>
      <c r="AG10" s="429"/>
      <c r="AH10" s="391"/>
      <c r="AI10" s="429"/>
      <c r="AJ10" s="391"/>
      <c r="AK10" s="429"/>
      <c r="AL10" s="391"/>
      <c r="AM10" s="429"/>
      <c r="AN10" s="391"/>
      <c r="AO10" s="429"/>
      <c r="AP10" s="391"/>
      <c r="AQ10" s="429"/>
      <c r="AR10" s="391"/>
      <c r="AS10" s="429"/>
      <c r="AT10" s="391"/>
      <c r="AU10" s="429"/>
      <c r="AV10" s="391"/>
      <c r="AW10" s="429"/>
      <c r="AX10" s="391"/>
      <c r="AY10" s="410"/>
      <c r="AZ10" s="391"/>
      <c r="BA10" s="410"/>
      <c r="BB10" s="391"/>
      <c r="BC10" s="429"/>
      <c r="BD10" s="391"/>
      <c r="BE10" s="429"/>
      <c r="BF10" s="391"/>
      <c r="BG10" s="429"/>
      <c r="BH10" s="391"/>
      <c r="BI10" s="429"/>
      <c r="BJ10" s="391"/>
      <c r="BK10" s="433"/>
      <c r="BL10" s="433"/>
      <c r="BM10" s="336"/>
      <c r="BN10" s="359"/>
      <c r="BO10" s="251"/>
      <c r="BP10" s="251"/>
      <c r="BQ10" s="251"/>
      <c r="BR10" s="251"/>
      <c r="BS10" s="251">
        <f>BO10+BP10+BQ10+BR10</f>
        <v>0</v>
      </c>
      <c r="BT10" s="251"/>
      <c r="BU10" s="251"/>
      <c r="BV10" s="251">
        <f>BT10+BU10</f>
        <v>0</v>
      </c>
      <c r="BW10" s="431">
        <f t="shared" si="1"/>
        <v>0</v>
      </c>
    </row>
    <row r="11" spans="1:75" x14ac:dyDescent="0.25">
      <c r="A11" s="394"/>
      <c r="B11" s="408"/>
      <c r="C11" s="377"/>
      <c r="D11" s="358" t="s">
        <v>953</v>
      </c>
      <c r="E11" s="343"/>
      <c r="F11" s="336"/>
      <c r="G11" s="430"/>
      <c r="H11" s="430" t="s">
        <v>36</v>
      </c>
      <c r="I11" s="410"/>
      <c r="J11" s="434"/>
      <c r="K11" s="434"/>
      <c r="L11" s="434"/>
      <c r="M11" s="434"/>
      <c r="N11" s="434"/>
      <c r="O11" s="434"/>
      <c r="P11" s="434"/>
      <c r="Q11" s="434"/>
      <c r="R11" s="434"/>
      <c r="S11" s="392"/>
      <c r="T11" s="392"/>
      <c r="U11" s="392"/>
      <c r="V11" s="392"/>
      <c r="W11" s="391"/>
      <c r="X11" s="391"/>
      <c r="Y11" s="391"/>
      <c r="Z11" s="391"/>
      <c r="AA11" s="429"/>
      <c r="AB11" s="391"/>
      <c r="AC11" s="429"/>
      <c r="AD11" s="391"/>
      <c r="AE11" s="429"/>
      <c r="AF11" s="391"/>
      <c r="AG11" s="429"/>
      <c r="AH11" s="391"/>
      <c r="AI11" s="429"/>
      <c r="AJ11" s="391"/>
      <c r="AK11" s="429"/>
      <c r="AL11" s="391"/>
      <c r="AM11" s="429"/>
      <c r="AN11" s="391"/>
      <c r="AO11" s="429"/>
      <c r="AP11" s="391"/>
      <c r="AQ11" s="429"/>
      <c r="AR11" s="391"/>
      <c r="AS11" s="429"/>
      <c r="AT11" s="391"/>
      <c r="AU11" s="429"/>
      <c r="AV11" s="391"/>
      <c r="AW11" s="429"/>
      <c r="AX11" s="391"/>
      <c r="AY11" s="410"/>
      <c r="AZ11" s="391"/>
      <c r="BA11" s="410"/>
      <c r="BB11" s="391"/>
      <c r="BC11" s="429"/>
      <c r="BD11" s="391"/>
      <c r="BE11" s="429"/>
      <c r="BF11" s="391"/>
      <c r="BG11" s="429"/>
      <c r="BH11" s="391"/>
      <c r="BI11" s="429"/>
      <c r="BJ11" s="391"/>
      <c r="BK11" s="433"/>
      <c r="BL11" s="433"/>
      <c r="BM11" s="336"/>
      <c r="BN11" s="359"/>
      <c r="BO11" s="251"/>
      <c r="BP11" s="251" t="str">
        <f>H11</f>
        <v xml:space="preserve"> </v>
      </c>
      <c r="BQ11" s="251"/>
      <c r="BR11" s="251"/>
      <c r="BS11" s="251"/>
      <c r="BT11" s="251"/>
      <c r="BU11" s="251"/>
      <c r="BV11" s="251">
        <f>BT11+BU11</f>
        <v>0</v>
      </c>
      <c r="BW11" s="431">
        <f t="shared" si="1"/>
        <v>0</v>
      </c>
    </row>
    <row r="12" spans="1:75" s="260" customFormat="1" x14ac:dyDescent="0.25">
      <c r="A12" s="394"/>
      <c r="B12" s="408"/>
      <c r="C12" s="377"/>
      <c r="D12" s="430" t="s">
        <v>588</v>
      </c>
      <c r="E12" s="343" t="s">
        <v>584</v>
      </c>
      <c r="F12" s="343" t="s">
        <v>340</v>
      </c>
      <c r="G12" s="435">
        <f>BK12</f>
        <v>0</v>
      </c>
      <c r="H12" s="430">
        <f>G12*F12</f>
        <v>0</v>
      </c>
      <c r="I12" s="410"/>
      <c r="J12" s="434"/>
      <c r="K12" s="409"/>
      <c r="L12" s="409"/>
      <c r="M12" s="434"/>
      <c r="N12" s="409">
        <f>H12</f>
        <v>0</v>
      </c>
      <c r="O12" s="409"/>
      <c r="P12" s="434"/>
      <c r="Q12" s="434"/>
      <c r="R12" s="434"/>
      <c r="S12" s="392">
        <f>G12*0.25</f>
        <v>0</v>
      </c>
      <c r="T12" s="392">
        <f>G12*0.25</f>
        <v>0</v>
      </c>
      <c r="U12" s="392">
        <f>G12*0.25</f>
        <v>0</v>
      </c>
      <c r="V12" s="392">
        <f>G12*0.25</f>
        <v>0</v>
      </c>
      <c r="W12" s="391">
        <f>S12*F12</f>
        <v>0</v>
      </c>
      <c r="X12" s="391">
        <f>T12*F12</f>
        <v>0</v>
      </c>
      <c r="Y12" s="391">
        <f>U12*F12</f>
        <v>0</v>
      </c>
      <c r="Z12" s="391">
        <f>V12*F12</f>
        <v>0</v>
      </c>
      <c r="AA12" s="429">
        <v>0</v>
      </c>
      <c r="AB12" s="391">
        <f>AA12*F12</f>
        <v>0</v>
      </c>
      <c r="AC12" s="429">
        <v>0</v>
      </c>
      <c r="AD12" s="391">
        <f>AC12*F12</f>
        <v>0</v>
      </c>
      <c r="AE12" s="429">
        <v>0</v>
      </c>
      <c r="AF12" s="391">
        <f>AE12*F12</f>
        <v>0</v>
      </c>
      <c r="AG12" s="429">
        <v>0</v>
      </c>
      <c r="AH12" s="391">
        <f>AG12*F12</f>
        <v>0</v>
      </c>
      <c r="AI12" s="429">
        <v>0</v>
      </c>
      <c r="AJ12" s="391">
        <f>AI12*F12</f>
        <v>0</v>
      </c>
      <c r="AK12" s="429">
        <v>0</v>
      </c>
      <c r="AL12" s="391">
        <f>AK12*F12</f>
        <v>0</v>
      </c>
      <c r="AM12" s="429">
        <v>0</v>
      </c>
      <c r="AN12" s="391">
        <f>AM12*F12</f>
        <v>0</v>
      </c>
      <c r="AO12" s="429">
        <v>0</v>
      </c>
      <c r="AP12" s="391">
        <f>AO12*F12</f>
        <v>0</v>
      </c>
      <c r="AQ12" s="429">
        <v>0</v>
      </c>
      <c r="AR12" s="391">
        <f>AQ12*F12</f>
        <v>0</v>
      </c>
      <c r="AS12" s="429">
        <v>0</v>
      </c>
      <c r="AT12" s="391">
        <f>AS12*F12</f>
        <v>0</v>
      </c>
      <c r="AU12" s="429">
        <v>0</v>
      </c>
      <c r="AV12" s="391">
        <f>AU12*F12</f>
        <v>0</v>
      </c>
      <c r="AW12" s="429">
        <v>0</v>
      </c>
      <c r="AX12" s="391">
        <f>AW12*F12</f>
        <v>0</v>
      </c>
      <c r="AY12" s="410">
        <v>0</v>
      </c>
      <c r="AZ12" s="391">
        <f>AY12*F12</f>
        <v>0</v>
      </c>
      <c r="BA12" s="410">
        <v>0</v>
      </c>
      <c r="BB12" s="391">
        <f>BA12*F12</f>
        <v>0</v>
      </c>
      <c r="BC12" s="429">
        <v>0</v>
      </c>
      <c r="BD12" s="391">
        <f>BC12*F12</f>
        <v>0</v>
      </c>
      <c r="BE12" s="429">
        <v>0</v>
      </c>
      <c r="BF12" s="391">
        <f>BE12*F12</f>
        <v>0</v>
      </c>
      <c r="BG12" s="429">
        <v>0</v>
      </c>
      <c r="BH12" s="391">
        <f>BG12*F12</f>
        <v>0</v>
      </c>
      <c r="BI12" s="429"/>
      <c r="BJ12" s="391">
        <f>BI12*F12</f>
        <v>0</v>
      </c>
      <c r="BK12" s="433">
        <f>AA12+AC12+AE12+AG12+AI12+AK12+AM12+AO12+AQ12+AS12+AU12+AW12+AY12+BA12+BC12+BE12+BG12+BI12</f>
        <v>0</v>
      </c>
      <c r="BL12" s="433">
        <f>AB12+AD12+AF12+AH12+AJ12+AL12+AN12+AP12+AR12+AT12+AV12+AX12+AZ12+BB12+BD12+BF12+BH12+BJ12</f>
        <v>0</v>
      </c>
      <c r="BM12" s="336" t="s">
        <v>548</v>
      </c>
      <c r="BN12" s="359"/>
      <c r="BO12" s="251"/>
      <c r="BP12" s="251"/>
      <c r="BQ12" s="251">
        <f>H12</f>
        <v>0</v>
      </c>
      <c r="BR12" s="251"/>
      <c r="BS12" s="251">
        <f>BO12+BP12+BQ12+BR12</f>
        <v>0</v>
      </c>
      <c r="BT12" s="251"/>
      <c r="BU12" s="251"/>
      <c r="BV12" s="251"/>
      <c r="BW12" s="431">
        <f t="shared" si="1"/>
        <v>0</v>
      </c>
    </row>
    <row r="13" spans="1:75" s="158" customFormat="1" x14ac:dyDescent="0.25">
      <c r="A13" s="436"/>
      <c r="B13" s="370"/>
      <c r="C13" s="367"/>
      <c r="D13" s="358" t="s">
        <v>418</v>
      </c>
      <c r="E13" s="354" t="s">
        <v>111</v>
      </c>
      <c r="F13" s="354" t="s">
        <v>111</v>
      </c>
      <c r="G13" s="437">
        <f t="shared" ref="G13:BL13" si="2">SUM(G12:G12)</f>
        <v>0</v>
      </c>
      <c r="H13" s="437">
        <f t="shared" si="2"/>
        <v>0</v>
      </c>
      <c r="I13" s="437">
        <f t="shared" si="2"/>
        <v>0</v>
      </c>
      <c r="J13" s="437">
        <f t="shared" si="2"/>
        <v>0</v>
      </c>
      <c r="K13" s="437">
        <f t="shared" si="2"/>
        <v>0</v>
      </c>
      <c r="L13" s="437">
        <f t="shared" si="2"/>
        <v>0</v>
      </c>
      <c r="M13" s="437">
        <f t="shared" si="2"/>
        <v>0</v>
      </c>
      <c r="N13" s="437">
        <f t="shared" si="2"/>
        <v>0</v>
      </c>
      <c r="O13" s="437">
        <f t="shared" si="2"/>
        <v>0</v>
      </c>
      <c r="P13" s="437">
        <f t="shared" si="2"/>
        <v>0</v>
      </c>
      <c r="Q13" s="437">
        <f t="shared" si="2"/>
        <v>0</v>
      </c>
      <c r="R13" s="437">
        <f t="shared" si="2"/>
        <v>0</v>
      </c>
      <c r="S13" s="437">
        <f t="shared" si="2"/>
        <v>0</v>
      </c>
      <c r="T13" s="437">
        <f t="shared" si="2"/>
        <v>0</v>
      </c>
      <c r="U13" s="437">
        <f t="shared" si="2"/>
        <v>0</v>
      </c>
      <c r="V13" s="437">
        <f t="shared" si="2"/>
        <v>0</v>
      </c>
      <c r="W13" s="437">
        <f t="shared" si="2"/>
        <v>0</v>
      </c>
      <c r="X13" s="437">
        <f t="shared" si="2"/>
        <v>0</v>
      </c>
      <c r="Y13" s="437">
        <f t="shared" si="2"/>
        <v>0</v>
      </c>
      <c r="Z13" s="437">
        <f t="shared" si="2"/>
        <v>0</v>
      </c>
      <c r="AA13" s="437">
        <f t="shared" si="2"/>
        <v>0</v>
      </c>
      <c r="AB13" s="437">
        <f t="shared" si="2"/>
        <v>0</v>
      </c>
      <c r="AC13" s="437">
        <f t="shared" si="2"/>
        <v>0</v>
      </c>
      <c r="AD13" s="437">
        <f t="shared" si="2"/>
        <v>0</v>
      </c>
      <c r="AE13" s="437">
        <f t="shared" si="2"/>
        <v>0</v>
      </c>
      <c r="AF13" s="437">
        <f t="shared" si="2"/>
        <v>0</v>
      </c>
      <c r="AG13" s="437">
        <f t="shared" si="2"/>
        <v>0</v>
      </c>
      <c r="AH13" s="437">
        <f t="shared" si="2"/>
        <v>0</v>
      </c>
      <c r="AI13" s="437">
        <f t="shared" si="2"/>
        <v>0</v>
      </c>
      <c r="AJ13" s="437">
        <f t="shared" si="2"/>
        <v>0</v>
      </c>
      <c r="AK13" s="437">
        <f t="shared" si="2"/>
        <v>0</v>
      </c>
      <c r="AL13" s="437">
        <f t="shared" si="2"/>
        <v>0</v>
      </c>
      <c r="AM13" s="437">
        <f t="shared" si="2"/>
        <v>0</v>
      </c>
      <c r="AN13" s="437">
        <f t="shared" si="2"/>
        <v>0</v>
      </c>
      <c r="AO13" s="437">
        <f t="shared" si="2"/>
        <v>0</v>
      </c>
      <c r="AP13" s="437">
        <f t="shared" si="2"/>
        <v>0</v>
      </c>
      <c r="AQ13" s="437">
        <f t="shared" si="2"/>
        <v>0</v>
      </c>
      <c r="AR13" s="437">
        <f t="shared" si="2"/>
        <v>0</v>
      </c>
      <c r="AS13" s="437">
        <f t="shared" si="2"/>
        <v>0</v>
      </c>
      <c r="AT13" s="437">
        <f t="shared" si="2"/>
        <v>0</v>
      </c>
      <c r="AU13" s="437">
        <f t="shared" si="2"/>
        <v>0</v>
      </c>
      <c r="AV13" s="437">
        <f t="shared" si="2"/>
        <v>0</v>
      </c>
      <c r="AW13" s="437">
        <f t="shared" si="2"/>
        <v>0</v>
      </c>
      <c r="AX13" s="437">
        <f t="shared" si="2"/>
        <v>0</v>
      </c>
      <c r="AY13" s="438">
        <f t="shared" si="2"/>
        <v>0</v>
      </c>
      <c r="AZ13" s="437">
        <f t="shared" si="2"/>
        <v>0</v>
      </c>
      <c r="BA13" s="438">
        <f t="shared" si="2"/>
        <v>0</v>
      </c>
      <c r="BB13" s="437">
        <f t="shared" si="2"/>
        <v>0</v>
      </c>
      <c r="BC13" s="437">
        <f t="shared" si="2"/>
        <v>0</v>
      </c>
      <c r="BD13" s="437">
        <f t="shared" si="2"/>
        <v>0</v>
      </c>
      <c r="BE13" s="437">
        <f t="shared" si="2"/>
        <v>0</v>
      </c>
      <c r="BF13" s="437">
        <f t="shared" si="2"/>
        <v>0</v>
      </c>
      <c r="BG13" s="437">
        <f t="shared" si="2"/>
        <v>0</v>
      </c>
      <c r="BH13" s="437">
        <f t="shared" si="2"/>
        <v>0</v>
      </c>
      <c r="BI13" s="437">
        <f t="shared" si="2"/>
        <v>0</v>
      </c>
      <c r="BJ13" s="437">
        <f t="shared" si="2"/>
        <v>0</v>
      </c>
      <c r="BK13" s="437">
        <f t="shared" si="2"/>
        <v>0</v>
      </c>
      <c r="BL13" s="437">
        <f t="shared" si="2"/>
        <v>0</v>
      </c>
      <c r="BM13" s="346" t="s">
        <v>111</v>
      </c>
      <c r="BN13" s="376"/>
      <c r="BO13" s="439">
        <f>SUM(BO10:BO12)</f>
        <v>0</v>
      </c>
      <c r="BP13" s="439">
        <f>SUM(BP11:BP11)</f>
        <v>0</v>
      </c>
      <c r="BQ13" s="439">
        <f>SUM(BQ11:BQ12)</f>
        <v>0</v>
      </c>
      <c r="BR13" s="439">
        <f>SUM(BR11:BR11)</f>
        <v>0</v>
      </c>
      <c r="BS13" s="439">
        <f>SUM(BS10:BS12)</f>
        <v>0</v>
      </c>
      <c r="BT13" s="439">
        <f>SUM(BT11:BT11)</f>
        <v>0</v>
      </c>
      <c r="BU13" s="439">
        <f>SUM(BU11:BU11)</f>
        <v>0</v>
      </c>
      <c r="BV13" s="439">
        <f>SUM(BV11:BV11)</f>
        <v>0</v>
      </c>
      <c r="BW13" s="440">
        <f t="shared" si="1"/>
        <v>0</v>
      </c>
    </row>
    <row r="14" spans="1:75" ht="15" customHeight="1" x14ac:dyDescent="0.25">
      <c r="A14" s="394"/>
      <c r="B14" s="408"/>
      <c r="C14" s="377"/>
      <c r="D14" s="358" t="s">
        <v>419</v>
      </c>
      <c r="E14" s="343"/>
      <c r="F14" s="336"/>
      <c r="G14" s="430"/>
      <c r="H14" s="430" t="s">
        <v>36</v>
      </c>
      <c r="I14" s="410"/>
      <c r="J14" s="387"/>
      <c r="K14" s="387"/>
      <c r="L14" s="387"/>
      <c r="M14" s="387"/>
      <c r="N14" s="387"/>
      <c r="O14" s="387"/>
      <c r="P14" s="387"/>
      <c r="Q14" s="387"/>
      <c r="R14" s="387"/>
      <c r="S14" s="389"/>
      <c r="T14" s="389"/>
      <c r="U14" s="389"/>
      <c r="V14" s="389"/>
      <c r="W14" s="441"/>
      <c r="X14" s="441"/>
      <c r="Y14" s="441"/>
      <c r="Z14" s="441"/>
      <c r="AA14" s="429"/>
      <c r="AB14" s="391">
        <f>AA14*F14</f>
        <v>0</v>
      </c>
      <c r="AC14" s="429"/>
      <c r="AD14" s="391">
        <f>AC14*F14</f>
        <v>0</v>
      </c>
      <c r="AE14" s="429"/>
      <c r="AF14" s="391">
        <f>AE14*F14</f>
        <v>0</v>
      </c>
      <c r="AG14" s="429"/>
      <c r="AH14" s="391">
        <f>AG14*F14</f>
        <v>0</v>
      </c>
      <c r="AI14" s="429"/>
      <c r="AJ14" s="391">
        <f>AI14*F14</f>
        <v>0</v>
      </c>
      <c r="AK14" s="429"/>
      <c r="AL14" s="391">
        <f>AK14*F14</f>
        <v>0</v>
      </c>
      <c r="AM14" s="429"/>
      <c r="AN14" s="391">
        <f>AM14*F14</f>
        <v>0</v>
      </c>
      <c r="AO14" s="429"/>
      <c r="AP14" s="391">
        <f>AO14*F14</f>
        <v>0</v>
      </c>
      <c r="AQ14" s="429"/>
      <c r="AR14" s="391">
        <f>AQ14*F14</f>
        <v>0</v>
      </c>
      <c r="AS14" s="429"/>
      <c r="AT14" s="391">
        <f>AS14*F14</f>
        <v>0</v>
      </c>
      <c r="AU14" s="429"/>
      <c r="AV14" s="391">
        <f>AU14*F14</f>
        <v>0</v>
      </c>
      <c r="AW14" s="429"/>
      <c r="AX14" s="391">
        <f>AW14*F14</f>
        <v>0</v>
      </c>
      <c r="AY14" s="410"/>
      <c r="AZ14" s="391">
        <f>AY14*F14</f>
        <v>0</v>
      </c>
      <c r="BA14" s="410"/>
      <c r="BB14" s="391">
        <f>BA14*F14</f>
        <v>0</v>
      </c>
      <c r="BC14" s="429"/>
      <c r="BD14" s="391">
        <f>BC14*F14</f>
        <v>0</v>
      </c>
      <c r="BE14" s="429"/>
      <c r="BF14" s="391">
        <f>BE14*F14</f>
        <v>0</v>
      </c>
      <c r="BG14" s="429"/>
      <c r="BH14" s="391">
        <f>BG14*F14</f>
        <v>0</v>
      </c>
      <c r="BI14" s="429"/>
      <c r="BJ14" s="391">
        <f>BI14*F14</f>
        <v>0</v>
      </c>
      <c r="BK14" s="433">
        <f>AA14+AC14+AE14+AG14+AI14+AK14+AM14+AO14+AQ14+AS14+AU14+AW14+AY14+BA14+BC14+BE14+BG14+BI14</f>
        <v>0</v>
      </c>
      <c r="BL14" s="433">
        <f>AB14+AD14+AF14+AH14+AJ14+AL14+AN14+AP14+AR14+AT14+AV14+AX14+AZ14+BB14+BD14+BF14+BH14+BJ14</f>
        <v>0</v>
      </c>
      <c r="BM14" s="336"/>
      <c r="BN14" s="359"/>
      <c r="BO14" s="251"/>
      <c r="BP14" s="251"/>
      <c r="BQ14" s="251"/>
      <c r="BR14" s="251"/>
      <c r="BS14" s="251"/>
      <c r="BT14" s="251"/>
      <c r="BU14" s="251"/>
      <c r="BV14" s="251"/>
      <c r="BW14" s="431">
        <f t="shared" si="1"/>
        <v>0</v>
      </c>
    </row>
    <row r="15" spans="1:75" s="159" customFormat="1" ht="33.75" customHeight="1" x14ac:dyDescent="0.25">
      <c r="A15" s="442"/>
      <c r="B15" s="443"/>
      <c r="C15" s="443" t="s">
        <v>769</v>
      </c>
      <c r="D15" s="444" t="s">
        <v>644</v>
      </c>
      <c r="E15" s="312" t="s">
        <v>954</v>
      </c>
      <c r="F15" s="445" t="s">
        <v>306</v>
      </c>
      <c r="G15" s="446">
        <f>BK15</f>
        <v>85</v>
      </c>
      <c r="H15" s="445">
        <f>G15*F15</f>
        <v>850000</v>
      </c>
      <c r="I15" s="443"/>
      <c r="J15" s="447">
        <f>0.8*H15</f>
        <v>680000</v>
      </c>
      <c r="K15" s="448"/>
      <c r="L15" s="448"/>
      <c r="M15" s="448"/>
      <c r="N15" s="448"/>
      <c r="O15" s="448"/>
      <c r="P15" s="447"/>
      <c r="Q15" s="447">
        <f>H15*0.2</f>
        <v>170000</v>
      </c>
      <c r="R15" s="447"/>
      <c r="S15" s="449"/>
      <c r="T15" s="449">
        <v>85</v>
      </c>
      <c r="U15" s="449"/>
      <c r="V15" s="449"/>
      <c r="W15" s="446">
        <f>S15*F15</f>
        <v>0</v>
      </c>
      <c r="X15" s="446">
        <f>T15*F15</f>
        <v>850000</v>
      </c>
      <c r="Y15" s="446">
        <f>U15*F15</f>
        <v>0</v>
      </c>
      <c r="Z15" s="446">
        <f>V15*F15</f>
        <v>0</v>
      </c>
      <c r="AA15" s="443">
        <v>5</v>
      </c>
      <c r="AB15" s="446">
        <f>AA15*F15</f>
        <v>50000</v>
      </c>
      <c r="AC15" s="443">
        <v>5</v>
      </c>
      <c r="AD15" s="446">
        <f>AC15*F15</f>
        <v>50000</v>
      </c>
      <c r="AE15" s="443">
        <v>5</v>
      </c>
      <c r="AF15" s="446">
        <f>AE15*F15</f>
        <v>50000</v>
      </c>
      <c r="AG15" s="443">
        <v>5</v>
      </c>
      <c r="AH15" s="446">
        <f>AG15*F15</f>
        <v>50000</v>
      </c>
      <c r="AI15" s="443">
        <v>5</v>
      </c>
      <c r="AJ15" s="446">
        <f>AI15*F15</f>
        <v>50000</v>
      </c>
      <c r="AK15" s="443">
        <v>5</v>
      </c>
      <c r="AL15" s="446">
        <f>AK15*F15</f>
        <v>50000</v>
      </c>
      <c r="AM15" s="443">
        <v>5</v>
      </c>
      <c r="AN15" s="446">
        <f>AM15*F15</f>
        <v>50000</v>
      </c>
      <c r="AO15" s="443">
        <v>5</v>
      </c>
      <c r="AP15" s="446">
        <f>AO15*F15</f>
        <v>50000</v>
      </c>
      <c r="AQ15" s="443">
        <v>5</v>
      </c>
      <c r="AR15" s="446">
        <f>AQ15*F15</f>
        <v>50000</v>
      </c>
      <c r="AS15" s="443">
        <v>5</v>
      </c>
      <c r="AT15" s="446">
        <f>AS15*F15</f>
        <v>50000</v>
      </c>
      <c r="AU15" s="443">
        <v>5</v>
      </c>
      <c r="AV15" s="446">
        <f>AU15*F15</f>
        <v>50000</v>
      </c>
      <c r="AW15" s="443">
        <v>5</v>
      </c>
      <c r="AX15" s="446">
        <f>AW15*F15</f>
        <v>50000</v>
      </c>
      <c r="AY15" s="351">
        <v>5</v>
      </c>
      <c r="AZ15" s="446">
        <f>AY15*F15</f>
        <v>50000</v>
      </c>
      <c r="BA15" s="351">
        <v>5</v>
      </c>
      <c r="BB15" s="446">
        <f>BA15*F15</f>
        <v>50000</v>
      </c>
      <c r="BC15" s="443">
        <v>5</v>
      </c>
      <c r="BD15" s="446">
        <f>BC15*F15</f>
        <v>50000</v>
      </c>
      <c r="BE15" s="443">
        <v>5</v>
      </c>
      <c r="BF15" s="446">
        <f>BE15*F15</f>
        <v>50000</v>
      </c>
      <c r="BG15" s="443">
        <v>5</v>
      </c>
      <c r="BH15" s="446">
        <f>BG15*F15</f>
        <v>50000</v>
      </c>
      <c r="BI15" s="443"/>
      <c r="BJ15" s="446">
        <f>BI15*F15</f>
        <v>0</v>
      </c>
      <c r="BK15" s="446">
        <f>AA15+AC15+AE15+AG15+AI15+AK15+AM15+AO15+AQ15+AS15+AU15+AW15+AY15+BA15+BC15+BE15+BG15+BI15</f>
        <v>85</v>
      </c>
      <c r="BL15" s="446">
        <f>AB15+AD15+AF15+AH15+AJ15+AL15+AN15+AP15+AR15+AT15+AV15+AX15+AZ15+BB15+BD15+BF15+BH15+BJ15</f>
        <v>850000</v>
      </c>
      <c r="BM15" s="445" t="s">
        <v>213</v>
      </c>
      <c r="BN15" s="450"/>
      <c r="BO15" s="451"/>
      <c r="BP15" s="451">
        <f>H15</f>
        <v>850000</v>
      </c>
      <c r="BQ15" s="451"/>
      <c r="BR15" s="451"/>
      <c r="BS15" s="451">
        <f>BO15+BP15+BQ15+BR15</f>
        <v>850000</v>
      </c>
      <c r="BT15" s="451"/>
      <c r="BU15" s="451"/>
      <c r="BV15" s="451">
        <f>BT15+BU15</f>
        <v>0</v>
      </c>
      <c r="BW15" s="452">
        <f t="shared" si="1"/>
        <v>850000</v>
      </c>
    </row>
    <row r="16" spans="1:75" s="158" customFormat="1" x14ac:dyDescent="0.25">
      <c r="A16" s="436"/>
      <c r="B16" s="370"/>
      <c r="C16" s="367"/>
      <c r="D16" s="358" t="s">
        <v>420</v>
      </c>
      <c r="E16" s="354" t="s">
        <v>111</v>
      </c>
      <c r="F16" s="354"/>
      <c r="G16" s="437">
        <f>G15+G13</f>
        <v>85</v>
      </c>
      <c r="H16" s="437">
        <f t="shared" ref="H16:BS16" si="3">H15+H13</f>
        <v>850000</v>
      </c>
      <c r="I16" s="437">
        <f t="shared" si="3"/>
        <v>0</v>
      </c>
      <c r="J16" s="437">
        <f t="shared" si="3"/>
        <v>680000</v>
      </c>
      <c r="K16" s="437">
        <f t="shared" si="3"/>
        <v>0</v>
      </c>
      <c r="L16" s="437">
        <f t="shared" si="3"/>
        <v>0</v>
      </c>
      <c r="M16" s="437">
        <f t="shared" si="3"/>
        <v>0</v>
      </c>
      <c r="N16" s="437">
        <f t="shared" si="3"/>
        <v>0</v>
      </c>
      <c r="O16" s="437">
        <f t="shared" si="3"/>
        <v>0</v>
      </c>
      <c r="P16" s="437">
        <f t="shared" si="3"/>
        <v>0</v>
      </c>
      <c r="Q16" s="437">
        <f t="shared" si="3"/>
        <v>170000</v>
      </c>
      <c r="R16" s="437">
        <f t="shared" si="3"/>
        <v>0</v>
      </c>
      <c r="S16" s="437">
        <f t="shared" si="3"/>
        <v>0</v>
      </c>
      <c r="T16" s="437">
        <f t="shared" si="3"/>
        <v>85</v>
      </c>
      <c r="U16" s="437">
        <f t="shared" si="3"/>
        <v>0</v>
      </c>
      <c r="V16" s="437">
        <f t="shared" si="3"/>
        <v>0</v>
      </c>
      <c r="W16" s="437">
        <f t="shared" si="3"/>
        <v>0</v>
      </c>
      <c r="X16" s="437">
        <f t="shared" si="3"/>
        <v>850000</v>
      </c>
      <c r="Y16" s="437">
        <f t="shared" si="3"/>
        <v>0</v>
      </c>
      <c r="Z16" s="437">
        <f t="shared" si="3"/>
        <v>0</v>
      </c>
      <c r="AA16" s="437">
        <f t="shared" si="3"/>
        <v>5</v>
      </c>
      <c r="AB16" s="437">
        <f t="shared" si="3"/>
        <v>50000</v>
      </c>
      <c r="AC16" s="437">
        <f t="shared" si="3"/>
        <v>5</v>
      </c>
      <c r="AD16" s="437">
        <f t="shared" si="3"/>
        <v>50000</v>
      </c>
      <c r="AE16" s="437">
        <f t="shared" si="3"/>
        <v>5</v>
      </c>
      <c r="AF16" s="437">
        <f t="shared" si="3"/>
        <v>50000</v>
      </c>
      <c r="AG16" s="437">
        <f t="shared" si="3"/>
        <v>5</v>
      </c>
      <c r="AH16" s="437">
        <f t="shared" si="3"/>
        <v>50000</v>
      </c>
      <c r="AI16" s="437">
        <f t="shared" si="3"/>
        <v>5</v>
      </c>
      <c r="AJ16" s="437">
        <f t="shared" si="3"/>
        <v>50000</v>
      </c>
      <c r="AK16" s="437">
        <f t="shared" si="3"/>
        <v>5</v>
      </c>
      <c r="AL16" s="437">
        <f t="shared" si="3"/>
        <v>50000</v>
      </c>
      <c r="AM16" s="437">
        <f t="shared" si="3"/>
        <v>5</v>
      </c>
      <c r="AN16" s="437">
        <f t="shared" si="3"/>
        <v>50000</v>
      </c>
      <c r="AO16" s="437">
        <f t="shared" si="3"/>
        <v>5</v>
      </c>
      <c r="AP16" s="437">
        <f t="shared" si="3"/>
        <v>50000</v>
      </c>
      <c r="AQ16" s="437">
        <f t="shared" si="3"/>
        <v>5</v>
      </c>
      <c r="AR16" s="437">
        <f t="shared" si="3"/>
        <v>50000</v>
      </c>
      <c r="AS16" s="437">
        <f t="shared" si="3"/>
        <v>5</v>
      </c>
      <c r="AT16" s="437">
        <f t="shared" si="3"/>
        <v>50000</v>
      </c>
      <c r="AU16" s="437">
        <f t="shared" si="3"/>
        <v>5</v>
      </c>
      <c r="AV16" s="437">
        <f t="shared" si="3"/>
        <v>50000</v>
      </c>
      <c r="AW16" s="437">
        <f t="shared" si="3"/>
        <v>5</v>
      </c>
      <c r="AX16" s="437">
        <f t="shared" si="3"/>
        <v>50000</v>
      </c>
      <c r="AY16" s="438">
        <f t="shared" si="3"/>
        <v>5</v>
      </c>
      <c r="AZ16" s="437">
        <f t="shared" si="3"/>
        <v>50000</v>
      </c>
      <c r="BA16" s="438">
        <f t="shared" si="3"/>
        <v>5</v>
      </c>
      <c r="BB16" s="437">
        <f t="shared" si="3"/>
        <v>50000</v>
      </c>
      <c r="BC16" s="437">
        <f t="shared" si="3"/>
        <v>5</v>
      </c>
      <c r="BD16" s="437">
        <f t="shared" si="3"/>
        <v>50000</v>
      </c>
      <c r="BE16" s="437">
        <f t="shared" si="3"/>
        <v>5</v>
      </c>
      <c r="BF16" s="437">
        <f t="shared" si="3"/>
        <v>50000</v>
      </c>
      <c r="BG16" s="437">
        <f t="shared" si="3"/>
        <v>5</v>
      </c>
      <c r="BH16" s="437">
        <f t="shared" si="3"/>
        <v>50000</v>
      </c>
      <c r="BI16" s="437">
        <f t="shared" si="3"/>
        <v>0</v>
      </c>
      <c r="BJ16" s="437">
        <f t="shared" si="3"/>
        <v>0</v>
      </c>
      <c r="BK16" s="437">
        <f t="shared" si="3"/>
        <v>85</v>
      </c>
      <c r="BL16" s="437">
        <f t="shared" si="3"/>
        <v>850000</v>
      </c>
      <c r="BM16" s="437"/>
      <c r="BN16" s="437"/>
      <c r="BO16" s="437">
        <f t="shared" si="3"/>
        <v>0</v>
      </c>
      <c r="BP16" s="437">
        <f t="shared" si="3"/>
        <v>850000</v>
      </c>
      <c r="BQ16" s="437">
        <f t="shared" si="3"/>
        <v>0</v>
      </c>
      <c r="BR16" s="437">
        <f t="shared" si="3"/>
        <v>0</v>
      </c>
      <c r="BS16" s="437">
        <f t="shared" si="3"/>
        <v>850000</v>
      </c>
      <c r="BT16" s="437">
        <f>BT15+BT13</f>
        <v>0</v>
      </c>
      <c r="BU16" s="437">
        <f>BU15+BU13</f>
        <v>0</v>
      </c>
      <c r="BV16" s="437">
        <f>BV15+BV13</f>
        <v>0</v>
      </c>
      <c r="BW16" s="437">
        <f>BW15+BW13</f>
        <v>850000</v>
      </c>
    </row>
    <row r="17" spans="1:75" x14ac:dyDescent="0.25">
      <c r="A17" s="394"/>
      <c r="B17" s="408"/>
      <c r="C17" s="377"/>
      <c r="D17" s="358" t="s">
        <v>421</v>
      </c>
      <c r="E17" s="343"/>
      <c r="F17" s="336"/>
      <c r="G17" s="430"/>
      <c r="H17" s="430" t="s">
        <v>36</v>
      </c>
      <c r="I17" s="410"/>
      <c r="J17" s="391"/>
      <c r="K17" s="391"/>
      <c r="L17" s="391"/>
      <c r="M17" s="391"/>
      <c r="N17" s="391"/>
      <c r="O17" s="391"/>
      <c r="P17" s="391"/>
      <c r="Q17" s="391"/>
      <c r="R17" s="391"/>
      <c r="S17" s="392"/>
      <c r="T17" s="392"/>
      <c r="U17" s="392"/>
      <c r="V17" s="392"/>
      <c r="W17" s="391"/>
      <c r="X17" s="391"/>
      <c r="Y17" s="391"/>
      <c r="Z17" s="391"/>
      <c r="AA17" s="453"/>
      <c r="AB17" s="391">
        <f t="shared" ref="AB17:AB32" si="4">AA17*F17</f>
        <v>0</v>
      </c>
      <c r="AC17" s="453"/>
      <c r="AD17" s="391">
        <f t="shared" ref="AD17:AD32" si="5">AC17*F17</f>
        <v>0</v>
      </c>
      <c r="AE17" s="453"/>
      <c r="AF17" s="391">
        <f t="shared" ref="AF17:AF32" si="6">AE17*F17</f>
        <v>0</v>
      </c>
      <c r="AG17" s="453"/>
      <c r="AH17" s="391">
        <f>AG17*F17</f>
        <v>0</v>
      </c>
      <c r="AI17" s="453"/>
      <c r="AJ17" s="391">
        <f t="shared" ref="AJ17:AJ32" si="7">AI17*F17</f>
        <v>0</v>
      </c>
      <c r="AK17" s="429"/>
      <c r="AL17" s="391">
        <f t="shared" ref="AL17:AL32" si="8">AK17*F17</f>
        <v>0</v>
      </c>
      <c r="AM17" s="453"/>
      <c r="AN17" s="391">
        <f t="shared" ref="AN17:AN30" si="9">AM17*F17</f>
        <v>0</v>
      </c>
      <c r="AO17" s="429"/>
      <c r="AP17" s="391">
        <f t="shared" ref="AP17:AP32" si="10">AO17*F17</f>
        <v>0</v>
      </c>
      <c r="AQ17" s="453"/>
      <c r="AR17" s="391">
        <f t="shared" ref="AR17:AR32" si="11">AQ17*F17</f>
        <v>0</v>
      </c>
      <c r="AS17" s="453"/>
      <c r="AT17" s="391">
        <f t="shared" ref="AT17:AT32" si="12">AS17*F17</f>
        <v>0</v>
      </c>
      <c r="AU17" s="429"/>
      <c r="AV17" s="391">
        <f t="shared" ref="AV17:AV32" si="13">AU17*F17</f>
        <v>0</v>
      </c>
      <c r="AW17" s="429"/>
      <c r="AX17" s="391">
        <f t="shared" ref="AX17:AX32" si="14">AW17*F17</f>
        <v>0</v>
      </c>
      <c r="AY17" s="410"/>
      <c r="AZ17" s="391">
        <f t="shared" ref="AZ17:AZ32" si="15">AY17*F17</f>
        <v>0</v>
      </c>
      <c r="BA17" s="454"/>
      <c r="BB17" s="391">
        <f t="shared" ref="BB17:BB32" si="16">BA17*F17</f>
        <v>0</v>
      </c>
      <c r="BC17" s="453"/>
      <c r="BD17" s="391">
        <f t="shared" ref="BD17:BD32" si="17">BC17*F17</f>
        <v>0</v>
      </c>
      <c r="BE17" s="453"/>
      <c r="BF17" s="391">
        <f t="shared" ref="BF17:BF32" si="18">BE17*F17</f>
        <v>0</v>
      </c>
      <c r="BG17" s="453"/>
      <c r="BH17" s="391">
        <f t="shared" ref="BH17:BH32" si="19">BG17*F17</f>
        <v>0</v>
      </c>
      <c r="BI17" s="453"/>
      <c r="BJ17" s="391">
        <f t="shared" ref="BJ17:BJ28" si="20">BI17*F17</f>
        <v>0</v>
      </c>
      <c r="BK17" s="433"/>
      <c r="BL17" s="433"/>
      <c r="BM17" s="336"/>
      <c r="BN17" s="359"/>
      <c r="BO17" s="251"/>
      <c r="BP17" s="251"/>
      <c r="BQ17" s="251"/>
      <c r="BR17" s="251"/>
      <c r="BS17" s="251"/>
      <c r="BT17" s="251"/>
      <c r="BU17" s="251"/>
      <c r="BV17" s="251"/>
      <c r="BW17" s="431">
        <f>BS17+BV17</f>
        <v>0</v>
      </c>
    </row>
    <row r="18" spans="1:75" x14ac:dyDescent="0.25">
      <c r="A18" s="394"/>
      <c r="B18" s="408"/>
      <c r="C18" s="377"/>
      <c r="D18" s="358" t="s">
        <v>422</v>
      </c>
      <c r="E18" s="343"/>
      <c r="F18" s="336"/>
      <c r="G18" s="410"/>
      <c r="H18" s="430" t="s">
        <v>36</v>
      </c>
      <c r="I18" s="410"/>
      <c r="J18" s="391"/>
      <c r="K18" s="391"/>
      <c r="L18" s="391"/>
      <c r="M18" s="391"/>
      <c r="N18" s="391"/>
      <c r="O18" s="391"/>
      <c r="P18" s="391"/>
      <c r="Q18" s="391"/>
      <c r="R18" s="391"/>
      <c r="S18" s="392"/>
      <c r="T18" s="392"/>
      <c r="U18" s="392"/>
      <c r="V18" s="392"/>
      <c r="W18" s="391"/>
      <c r="X18" s="391"/>
      <c r="Y18" s="391"/>
      <c r="Z18" s="391"/>
      <c r="AA18" s="453"/>
      <c r="AB18" s="391">
        <f t="shared" si="4"/>
        <v>0</v>
      </c>
      <c r="AC18" s="453"/>
      <c r="AD18" s="391">
        <f t="shared" si="5"/>
        <v>0</v>
      </c>
      <c r="AE18" s="453"/>
      <c r="AF18" s="391">
        <f t="shared" si="6"/>
        <v>0</v>
      </c>
      <c r="AG18" s="453"/>
      <c r="AH18" s="391">
        <f>AG18*F18</f>
        <v>0</v>
      </c>
      <c r="AI18" s="453"/>
      <c r="AJ18" s="391">
        <f t="shared" si="7"/>
        <v>0</v>
      </c>
      <c r="AK18" s="429"/>
      <c r="AL18" s="391">
        <f t="shared" si="8"/>
        <v>0</v>
      </c>
      <c r="AM18" s="453"/>
      <c r="AN18" s="391">
        <f t="shared" si="9"/>
        <v>0</v>
      </c>
      <c r="AO18" s="429"/>
      <c r="AP18" s="391">
        <f t="shared" si="10"/>
        <v>0</v>
      </c>
      <c r="AQ18" s="453"/>
      <c r="AR18" s="391">
        <f t="shared" si="11"/>
        <v>0</v>
      </c>
      <c r="AS18" s="453"/>
      <c r="AT18" s="391">
        <f t="shared" si="12"/>
        <v>0</v>
      </c>
      <c r="AU18" s="429"/>
      <c r="AV18" s="391">
        <f t="shared" si="13"/>
        <v>0</v>
      </c>
      <c r="AW18" s="429"/>
      <c r="AX18" s="391">
        <f t="shared" si="14"/>
        <v>0</v>
      </c>
      <c r="AY18" s="410"/>
      <c r="AZ18" s="391">
        <f t="shared" si="15"/>
        <v>0</v>
      </c>
      <c r="BA18" s="454"/>
      <c r="BB18" s="391">
        <f t="shared" si="16"/>
        <v>0</v>
      </c>
      <c r="BC18" s="453"/>
      <c r="BD18" s="391">
        <f t="shared" si="17"/>
        <v>0</v>
      </c>
      <c r="BE18" s="453"/>
      <c r="BF18" s="391">
        <f t="shared" si="18"/>
        <v>0</v>
      </c>
      <c r="BG18" s="453"/>
      <c r="BH18" s="391">
        <f t="shared" si="19"/>
        <v>0</v>
      </c>
      <c r="BI18" s="453"/>
      <c r="BJ18" s="391">
        <f t="shared" si="20"/>
        <v>0</v>
      </c>
      <c r="BK18" s="433"/>
      <c r="BL18" s="433"/>
      <c r="BM18" s="336"/>
      <c r="BN18" s="359"/>
      <c r="BO18" s="251"/>
      <c r="BP18" s="251"/>
      <c r="BQ18" s="251"/>
      <c r="BR18" s="251"/>
      <c r="BS18" s="251"/>
      <c r="BT18" s="251"/>
      <c r="BU18" s="251"/>
      <c r="BV18" s="251"/>
      <c r="BW18" s="431">
        <f>BS18+BV18</f>
        <v>0</v>
      </c>
    </row>
    <row r="19" spans="1:75" s="261" customFormat="1" x14ac:dyDescent="0.25">
      <c r="A19" s="442"/>
      <c r="B19" s="443"/>
      <c r="C19" s="443" t="s">
        <v>770</v>
      </c>
      <c r="D19" s="455" t="s">
        <v>78</v>
      </c>
      <c r="E19" s="312" t="s">
        <v>71</v>
      </c>
      <c r="F19" s="445">
        <v>500000</v>
      </c>
      <c r="G19" s="443">
        <f>BK19</f>
        <v>0</v>
      </c>
      <c r="H19" s="445">
        <f>G19*F19</f>
        <v>0</v>
      </c>
      <c r="I19" s="443">
        <f>H19*0.2</f>
        <v>0</v>
      </c>
      <c r="J19" s="448">
        <f>H19*0.8</f>
        <v>0</v>
      </c>
      <c r="K19" s="448"/>
      <c r="L19" s="448"/>
      <c r="M19" s="448"/>
      <c r="N19" s="448"/>
      <c r="O19" s="448"/>
      <c r="P19" s="447"/>
      <c r="Q19" s="447"/>
      <c r="R19" s="447"/>
      <c r="S19" s="449"/>
      <c r="T19" s="449">
        <f>G19</f>
        <v>0</v>
      </c>
      <c r="U19" s="449"/>
      <c r="V19" s="449"/>
      <c r="W19" s="446">
        <f t="shared" ref="W19:W30" si="21">S19*F19</f>
        <v>0</v>
      </c>
      <c r="X19" s="446">
        <f t="shared" ref="X19:X30" si="22">T19*F19</f>
        <v>0</v>
      </c>
      <c r="Y19" s="446">
        <f t="shared" ref="Y19:Y30" si="23">U19*F19</f>
        <v>0</v>
      </c>
      <c r="Z19" s="446">
        <f>V19*F19</f>
        <v>0</v>
      </c>
      <c r="AA19" s="662">
        <v>0</v>
      </c>
      <c r="AB19" s="446">
        <f t="shared" si="4"/>
        <v>0</v>
      </c>
      <c r="AC19" s="456"/>
      <c r="AD19" s="446">
        <f t="shared" si="5"/>
        <v>0</v>
      </c>
      <c r="AE19" s="456">
        <v>0</v>
      </c>
      <c r="AF19" s="446">
        <f t="shared" si="6"/>
        <v>0</v>
      </c>
      <c r="AG19" s="456">
        <v>0</v>
      </c>
      <c r="AH19" s="446">
        <f>AG19*F19</f>
        <v>0</v>
      </c>
      <c r="AI19" s="456"/>
      <c r="AJ19" s="446">
        <f t="shared" si="7"/>
        <v>0</v>
      </c>
      <c r="AK19" s="443"/>
      <c r="AL19" s="446">
        <f t="shared" si="8"/>
        <v>0</v>
      </c>
      <c r="AM19" s="456"/>
      <c r="AN19" s="446">
        <f t="shared" si="9"/>
        <v>0</v>
      </c>
      <c r="AO19" s="443"/>
      <c r="AP19" s="446">
        <f t="shared" si="10"/>
        <v>0</v>
      </c>
      <c r="AQ19" s="456"/>
      <c r="AR19" s="446">
        <f t="shared" si="11"/>
        <v>0</v>
      </c>
      <c r="AS19" s="456"/>
      <c r="AT19" s="446">
        <f t="shared" si="12"/>
        <v>0</v>
      </c>
      <c r="AU19" s="443"/>
      <c r="AV19" s="446">
        <f t="shared" si="13"/>
        <v>0</v>
      </c>
      <c r="AW19" s="443">
        <v>0</v>
      </c>
      <c r="AX19" s="446">
        <f t="shared" si="14"/>
        <v>0</v>
      </c>
      <c r="AY19" s="351">
        <v>0</v>
      </c>
      <c r="AZ19" s="446">
        <f t="shared" si="15"/>
        <v>0</v>
      </c>
      <c r="BA19" s="457"/>
      <c r="BB19" s="446">
        <f t="shared" si="16"/>
        <v>0</v>
      </c>
      <c r="BC19" s="456">
        <v>0</v>
      </c>
      <c r="BD19" s="446">
        <f t="shared" si="17"/>
        <v>0</v>
      </c>
      <c r="BE19" s="456"/>
      <c r="BF19" s="446">
        <f t="shared" si="18"/>
        <v>0</v>
      </c>
      <c r="BG19" s="456">
        <v>0</v>
      </c>
      <c r="BH19" s="446">
        <f t="shared" si="19"/>
        <v>0</v>
      </c>
      <c r="BI19" s="456">
        <v>0</v>
      </c>
      <c r="BJ19" s="446">
        <f t="shared" si="20"/>
        <v>0</v>
      </c>
      <c r="BK19" s="446">
        <f t="shared" ref="BK19:BK32" si="24">AA19+AC19+AE19+AG19+AI19+AK19+AM19+AO19+AQ19+AS19+AU19+AW19+AY19+BA19+BC19+BE19+BG19+BI19</f>
        <v>0</v>
      </c>
      <c r="BL19" s="446">
        <f t="shared" ref="BL19:BL32" si="25">AB19+AD19+AF19+AH19+AJ19+AL19+AN19+AP19+AR19+AT19+AV19+AX19+AZ19+BB19+BD19+BF19+BH19+BJ19</f>
        <v>0</v>
      </c>
      <c r="BM19" s="445" t="s">
        <v>209</v>
      </c>
      <c r="BN19" s="450"/>
      <c r="BO19" s="451"/>
      <c r="BP19" s="451">
        <f>BL19</f>
        <v>0</v>
      </c>
      <c r="BQ19" s="451"/>
      <c r="BR19" s="451"/>
      <c r="BS19" s="451">
        <f>BO19+BP19+BQ19+BR19</f>
        <v>0</v>
      </c>
      <c r="BT19" s="451"/>
      <c r="BU19" s="451"/>
      <c r="BV19" s="451">
        <f>BT19+BU19</f>
        <v>0</v>
      </c>
      <c r="BW19" s="452">
        <f>BS19+BV19</f>
        <v>0</v>
      </c>
    </row>
    <row r="20" spans="1:75" s="250" customFormat="1" x14ac:dyDescent="0.25">
      <c r="A20" s="442"/>
      <c r="B20" s="456"/>
      <c r="C20" s="443" t="s">
        <v>771</v>
      </c>
      <c r="D20" s="455" t="s">
        <v>871</v>
      </c>
      <c r="E20" s="312" t="s">
        <v>69</v>
      </c>
      <c r="F20" s="445">
        <v>0</v>
      </c>
      <c r="G20" s="446">
        <f>BK20</f>
        <v>0</v>
      </c>
      <c r="H20" s="458">
        <f>BL20</f>
        <v>0</v>
      </c>
      <c r="I20" s="443">
        <f>0.2*H20</f>
        <v>0</v>
      </c>
      <c r="J20" s="447">
        <f>0.8*H20</f>
        <v>0</v>
      </c>
      <c r="K20" s="448"/>
      <c r="L20" s="448"/>
      <c r="M20" s="447"/>
      <c r="N20" s="448"/>
      <c r="O20" s="448"/>
      <c r="P20" s="447"/>
      <c r="Q20" s="447"/>
      <c r="R20" s="447"/>
      <c r="S20" s="449">
        <f>G20*0.25</f>
        <v>0</v>
      </c>
      <c r="T20" s="449">
        <f>G20*0.25</f>
        <v>0</v>
      </c>
      <c r="U20" s="449">
        <f>G20*0.25</f>
        <v>0</v>
      </c>
      <c r="V20" s="449">
        <f>G20*0.25</f>
        <v>0</v>
      </c>
      <c r="W20" s="446">
        <f>H20*0.25</f>
        <v>0</v>
      </c>
      <c r="X20" s="446">
        <f>H20*0.25</f>
        <v>0</v>
      </c>
      <c r="Y20" s="446">
        <f>H20*0.25</f>
        <v>0</v>
      </c>
      <c r="Z20" s="446">
        <f>H20*0.25</f>
        <v>0</v>
      </c>
      <c r="AA20" s="662">
        <v>0</v>
      </c>
      <c r="AB20" s="391">
        <f t="shared" si="4"/>
        <v>0</v>
      </c>
      <c r="AC20" s="443">
        <v>0</v>
      </c>
      <c r="AD20" s="391">
        <v>0</v>
      </c>
      <c r="AE20" s="443">
        <v>0</v>
      </c>
      <c r="AF20" s="391">
        <v>0</v>
      </c>
      <c r="AG20" s="443">
        <v>0</v>
      </c>
      <c r="AH20" s="446">
        <f>AG20*F20</f>
        <v>0</v>
      </c>
      <c r="AI20" s="443">
        <v>0</v>
      </c>
      <c r="AJ20" s="446">
        <v>0</v>
      </c>
      <c r="AK20" s="443">
        <v>0</v>
      </c>
      <c r="AL20" s="391">
        <f t="shared" si="8"/>
        <v>0</v>
      </c>
      <c r="AM20" s="443">
        <v>0</v>
      </c>
      <c r="AN20" s="391">
        <v>0</v>
      </c>
      <c r="AO20" s="443">
        <v>0</v>
      </c>
      <c r="AP20" s="391">
        <f t="shared" si="10"/>
        <v>0</v>
      </c>
      <c r="AQ20" s="443">
        <v>0</v>
      </c>
      <c r="AR20" s="391">
        <v>0</v>
      </c>
      <c r="AS20" s="443">
        <v>0</v>
      </c>
      <c r="AT20" s="391">
        <v>0</v>
      </c>
      <c r="AU20" s="443">
        <v>0</v>
      </c>
      <c r="AV20" s="391">
        <f t="shared" si="13"/>
        <v>0</v>
      </c>
      <c r="AW20" s="443">
        <v>0</v>
      </c>
      <c r="AX20" s="391">
        <f t="shared" si="14"/>
        <v>0</v>
      </c>
      <c r="AY20" s="351">
        <v>0</v>
      </c>
      <c r="AZ20" s="391">
        <v>0</v>
      </c>
      <c r="BA20" s="351">
        <v>0</v>
      </c>
      <c r="BB20" s="391">
        <f t="shared" si="16"/>
        <v>0</v>
      </c>
      <c r="BC20" s="443">
        <v>0</v>
      </c>
      <c r="BD20" s="391">
        <f t="shared" si="17"/>
        <v>0</v>
      </c>
      <c r="BE20" s="443">
        <v>0</v>
      </c>
      <c r="BF20" s="391">
        <v>0</v>
      </c>
      <c r="BG20" s="443">
        <v>0</v>
      </c>
      <c r="BH20" s="446">
        <f t="shared" si="19"/>
        <v>0</v>
      </c>
      <c r="BI20" s="443">
        <v>0</v>
      </c>
      <c r="BJ20" s="446">
        <f t="shared" si="20"/>
        <v>0</v>
      </c>
      <c r="BK20" s="446">
        <f t="shared" si="24"/>
        <v>0</v>
      </c>
      <c r="BL20" s="446">
        <f t="shared" si="25"/>
        <v>0</v>
      </c>
      <c r="BM20" s="445" t="s">
        <v>209</v>
      </c>
      <c r="BN20" s="450"/>
      <c r="BO20" s="451">
        <f>BL20</f>
        <v>0</v>
      </c>
      <c r="BP20" s="451"/>
      <c r="BQ20" s="451"/>
      <c r="BR20" s="451"/>
      <c r="BS20" s="451">
        <f t="shared" ref="BS20:BS32" si="26">BO20+BP20+BQ20+BR20</f>
        <v>0</v>
      </c>
      <c r="BT20" s="451"/>
      <c r="BU20" s="451"/>
      <c r="BV20" s="451">
        <f t="shared" ref="BV20:BV31" si="27">BT20+BU20</f>
        <v>0</v>
      </c>
      <c r="BW20" s="452">
        <f t="shared" ref="BW20:BW32" si="28">BS20+BV20</f>
        <v>0</v>
      </c>
    </row>
    <row r="21" spans="1:75" s="260" customFormat="1" x14ac:dyDescent="0.25">
      <c r="A21" s="394"/>
      <c r="B21" s="459"/>
      <c r="C21" s="326"/>
      <c r="D21" s="430" t="s">
        <v>528</v>
      </c>
      <c r="E21" s="343"/>
      <c r="F21" s="342">
        <v>300000</v>
      </c>
      <c r="G21" s="435">
        <f t="shared" ref="G21:G30" si="29">BK21</f>
        <v>0</v>
      </c>
      <c r="H21" s="460">
        <f t="shared" ref="H21:H27" si="30">BL21</f>
        <v>0</v>
      </c>
      <c r="I21" s="410"/>
      <c r="J21" s="409"/>
      <c r="K21" s="409"/>
      <c r="L21" s="409"/>
      <c r="M21" s="461">
        <f>H21</f>
        <v>0</v>
      </c>
      <c r="N21" s="409"/>
      <c r="O21" s="409"/>
      <c r="P21" s="434"/>
      <c r="Q21" s="434"/>
      <c r="R21" s="434"/>
      <c r="S21" s="392"/>
      <c r="T21" s="392"/>
      <c r="U21" s="392"/>
      <c r="V21" s="392">
        <v>0</v>
      </c>
      <c r="W21" s="391">
        <f t="shared" si="21"/>
        <v>0</v>
      </c>
      <c r="X21" s="391">
        <f t="shared" si="22"/>
        <v>0</v>
      </c>
      <c r="Y21" s="391">
        <f t="shared" si="23"/>
        <v>0</v>
      </c>
      <c r="Z21" s="391">
        <f t="shared" ref="Z21:Z28" si="31">V21*F21</f>
        <v>0</v>
      </c>
      <c r="AA21" s="469">
        <v>0</v>
      </c>
      <c r="AB21" s="391">
        <f t="shared" si="4"/>
        <v>0</v>
      </c>
      <c r="AC21" s="432">
        <v>0</v>
      </c>
      <c r="AD21" s="391">
        <f t="shared" si="5"/>
        <v>0</v>
      </c>
      <c r="AE21" s="432">
        <v>0</v>
      </c>
      <c r="AF21" s="391">
        <f t="shared" si="6"/>
        <v>0</v>
      </c>
      <c r="AG21" s="432">
        <v>0</v>
      </c>
      <c r="AH21" s="391">
        <f>AG21*F21</f>
        <v>0</v>
      </c>
      <c r="AI21" s="432">
        <v>0</v>
      </c>
      <c r="AJ21" s="391">
        <f t="shared" si="7"/>
        <v>0</v>
      </c>
      <c r="AK21" s="429">
        <v>0</v>
      </c>
      <c r="AL21" s="391">
        <f t="shared" si="8"/>
        <v>0</v>
      </c>
      <c r="AM21" s="432"/>
      <c r="AN21" s="391">
        <f t="shared" si="9"/>
        <v>0</v>
      </c>
      <c r="AO21" s="429"/>
      <c r="AP21" s="391">
        <f t="shared" si="10"/>
        <v>0</v>
      </c>
      <c r="AQ21" s="432"/>
      <c r="AR21" s="391">
        <f t="shared" si="11"/>
        <v>0</v>
      </c>
      <c r="AS21" s="432">
        <v>0</v>
      </c>
      <c r="AT21" s="391">
        <f t="shared" si="12"/>
        <v>0</v>
      </c>
      <c r="AU21" s="429">
        <v>0</v>
      </c>
      <c r="AV21" s="391">
        <f t="shared" si="13"/>
        <v>0</v>
      </c>
      <c r="AW21" s="429">
        <v>0</v>
      </c>
      <c r="AX21" s="391">
        <f t="shared" si="14"/>
        <v>0</v>
      </c>
      <c r="AY21" s="410">
        <v>0</v>
      </c>
      <c r="AZ21" s="391">
        <f t="shared" si="15"/>
        <v>0</v>
      </c>
      <c r="BA21" s="408">
        <v>0</v>
      </c>
      <c r="BB21" s="391">
        <f t="shared" si="16"/>
        <v>0</v>
      </c>
      <c r="BC21" s="432">
        <v>0</v>
      </c>
      <c r="BD21" s="391">
        <f t="shared" si="17"/>
        <v>0</v>
      </c>
      <c r="BE21" s="432">
        <v>0</v>
      </c>
      <c r="BF21" s="391">
        <f t="shared" si="18"/>
        <v>0</v>
      </c>
      <c r="BG21" s="432">
        <v>0</v>
      </c>
      <c r="BH21" s="391">
        <f t="shared" si="19"/>
        <v>0</v>
      </c>
      <c r="BI21" s="432">
        <v>0</v>
      </c>
      <c r="BJ21" s="446">
        <f t="shared" si="20"/>
        <v>0</v>
      </c>
      <c r="BK21" s="433">
        <f t="shared" si="24"/>
        <v>0</v>
      </c>
      <c r="BL21" s="433">
        <f t="shared" si="25"/>
        <v>0</v>
      </c>
      <c r="BM21" s="336" t="s">
        <v>290</v>
      </c>
      <c r="BN21" s="359"/>
      <c r="BO21" s="251"/>
      <c r="BP21" s="251"/>
      <c r="BQ21" s="251">
        <f>BL21</f>
        <v>0</v>
      </c>
      <c r="BR21" s="251"/>
      <c r="BS21" s="251">
        <f t="shared" si="26"/>
        <v>0</v>
      </c>
      <c r="BT21" s="251"/>
      <c r="BU21" s="251"/>
      <c r="BV21" s="251">
        <f t="shared" si="27"/>
        <v>0</v>
      </c>
      <c r="BW21" s="431">
        <f t="shared" si="28"/>
        <v>0</v>
      </c>
    </row>
    <row r="22" spans="1:75" x14ac:dyDescent="0.25">
      <c r="A22" s="394"/>
      <c r="B22" s="459"/>
      <c r="C22" s="326"/>
      <c r="D22" s="430" t="s">
        <v>529</v>
      </c>
      <c r="E22" s="343" t="s">
        <v>923</v>
      </c>
      <c r="F22" s="342">
        <v>0</v>
      </c>
      <c r="G22" s="435">
        <f t="shared" si="29"/>
        <v>61</v>
      </c>
      <c r="H22" s="460">
        <f t="shared" si="30"/>
        <v>0</v>
      </c>
      <c r="I22" s="410"/>
      <c r="J22" s="409"/>
      <c r="K22" s="409"/>
      <c r="L22" s="409"/>
      <c r="M22" s="461">
        <f t="shared" ref="M22:M29" si="32">H22</f>
        <v>0</v>
      </c>
      <c r="N22" s="409"/>
      <c r="O22" s="409"/>
      <c r="P22" s="434"/>
      <c r="Q22" s="434"/>
      <c r="R22" s="434"/>
      <c r="S22" s="392"/>
      <c r="T22" s="392"/>
      <c r="U22" s="392"/>
      <c r="V22" s="392">
        <v>61</v>
      </c>
      <c r="W22" s="391">
        <f t="shared" si="21"/>
        <v>0</v>
      </c>
      <c r="X22" s="391">
        <f t="shared" si="22"/>
        <v>0</v>
      </c>
      <c r="Y22" s="391">
        <f t="shared" si="23"/>
        <v>0</v>
      </c>
      <c r="Z22" s="391">
        <f>H22</f>
        <v>0</v>
      </c>
      <c r="AA22" s="464">
        <v>9</v>
      </c>
      <c r="AB22" s="391">
        <f t="shared" si="4"/>
        <v>0</v>
      </c>
      <c r="AC22" s="432">
        <v>3</v>
      </c>
      <c r="AD22" s="391">
        <f t="shared" si="5"/>
        <v>0</v>
      </c>
      <c r="AE22" s="432">
        <v>7</v>
      </c>
      <c r="AF22" s="391">
        <f t="shared" si="6"/>
        <v>0</v>
      </c>
      <c r="AG22" s="432">
        <v>12</v>
      </c>
      <c r="AH22" s="391">
        <f>(AG22*F22)</f>
        <v>0</v>
      </c>
      <c r="AI22" s="432">
        <v>2</v>
      </c>
      <c r="AJ22" s="391">
        <f t="shared" si="7"/>
        <v>0</v>
      </c>
      <c r="AK22" s="429">
        <v>1</v>
      </c>
      <c r="AL22" s="391">
        <f t="shared" si="8"/>
        <v>0</v>
      </c>
      <c r="AM22" s="432">
        <v>8</v>
      </c>
      <c r="AN22" s="391">
        <f t="shared" si="9"/>
        <v>0</v>
      </c>
      <c r="AO22" s="429">
        <v>2</v>
      </c>
      <c r="AP22" s="391">
        <f t="shared" si="10"/>
        <v>0</v>
      </c>
      <c r="AQ22" s="432">
        <v>2</v>
      </c>
      <c r="AR22" s="391">
        <f t="shared" si="11"/>
        <v>0</v>
      </c>
      <c r="AS22" s="432">
        <v>3</v>
      </c>
      <c r="AT22" s="391">
        <f t="shared" si="12"/>
        <v>0</v>
      </c>
      <c r="AU22" s="429">
        <v>2</v>
      </c>
      <c r="AV22" s="391">
        <f t="shared" si="13"/>
        <v>0</v>
      </c>
      <c r="AW22" s="429">
        <v>1</v>
      </c>
      <c r="AX22" s="391">
        <f t="shared" si="14"/>
        <v>0</v>
      </c>
      <c r="AY22" s="410">
        <v>2</v>
      </c>
      <c r="AZ22" s="391">
        <f t="shared" si="15"/>
        <v>0</v>
      </c>
      <c r="BA22" s="408">
        <v>2</v>
      </c>
      <c r="BB22" s="391">
        <f t="shared" si="16"/>
        <v>0</v>
      </c>
      <c r="BC22" s="432">
        <v>1</v>
      </c>
      <c r="BD22" s="391">
        <f t="shared" si="17"/>
        <v>0</v>
      </c>
      <c r="BE22" s="432">
        <v>2</v>
      </c>
      <c r="BF22" s="391">
        <f t="shared" si="18"/>
        <v>0</v>
      </c>
      <c r="BG22" s="432">
        <v>2</v>
      </c>
      <c r="BH22" s="391">
        <f t="shared" si="19"/>
        <v>0</v>
      </c>
      <c r="BI22" s="432">
        <v>0</v>
      </c>
      <c r="BJ22" s="446">
        <f t="shared" si="20"/>
        <v>0</v>
      </c>
      <c r="BK22" s="433">
        <f t="shared" si="24"/>
        <v>61</v>
      </c>
      <c r="BL22" s="433">
        <f t="shared" si="25"/>
        <v>0</v>
      </c>
      <c r="BM22" s="336" t="s">
        <v>290</v>
      </c>
      <c r="BN22" s="359"/>
      <c r="BO22" s="251"/>
      <c r="BP22" s="251"/>
      <c r="BQ22" s="251"/>
      <c r="BR22" s="251"/>
      <c r="BS22" s="251">
        <f t="shared" si="26"/>
        <v>0</v>
      </c>
      <c r="BT22" s="251"/>
      <c r="BU22" s="251">
        <f t="shared" ref="BU22:BU27" si="33">BL22</f>
        <v>0</v>
      </c>
      <c r="BV22" s="251">
        <f t="shared" si="27"/>
        <v>0</v>
      </c>
      <c r="BW22" s="431">
        <f t="shared" si="28"/>
        <v>0</v>
      </c>
    </row>
    <row r="23" spans="1:75" ht="31.5" x14ac:dyDescent="0.25">
      <c r="A23" s="394"/>
      <c r="B23" s="459"/>
      <c r="C23" s="326"/>
      <c r="D23" s="462" t="s">
        <v>898</v>
      </c>
      <c r="E23" s="343" t="s">
        <v>923</v>
      </c>
      <c r="F23" s="342">
        <v>0</v>
      </c>
      <c r="G23" s="435">
        <f t="shared" si="29"/>
        <v>169</v>
      </c>
      <c r="H23" s="460">
        <f t="shared" si="30"/>
        <v>0</v>
      </c>
      <c r="I23" s="410"/>
      <c r="J23" s="409"/>
      <c r="K23" s="409"/>
      <c r="L23" s="409"/>
      <c r="M23" s="461">
        <f t="shared" si="32"/>
        <v>0</v>
      </c>
      <c r="N23" s="409"/>
      <c r="O23" s="409"/>
      <c r="P23" s="434"/>
      <c r="Q23" s="434"/>
      <c r="R23" s="434"/>
      <c r="S23" s="392"/>
      <c r="T23" s="392"/>
      <c r="U23" s="392"/>
      <c r="V23" s="392">
        <v>143</v>
      </c>
      <c r="W23" s="391">
        <f t="shared" si="21"/>
        <v>0</v>
      </c>
      <c r="X23" s="391">
        <f t="shared" si="22"/>
        <v>0</v>
      </c>
      <c r="Y23" s="391">
        <f t="shared" si="23"/>
        <v>0</v>
      </c>
      <c r="Z23" s="391">
        <f>H23</f>
        <v>0</v>
      </c>
      <c r="AA23" s="469">
        <v>16</v>
      </c>
      <c r="AB23" s="391">
        <f t="shared" si="4"/>
        <v>0</v>
      </c>
      <c r="AC23" s="432">
        <v>14</v>
      </c>
      <c r="AD23" s="391">
        <f t="shared" si="5"/>
        <v>0</v>
      </c>
      <c r="AE23" s="432">
        <v>14</v>
      </c>
      <c r="AF23" s="391">
        <f t="shared" si="6"/>
        <v>0</v>
      </c>
      <c r="AG23" s="432">
        <v>15</v>
      </c>
      <c r="AH23" s="391">
        <f t="shared" ref="AH23:AH32" si="34">AG23*F23</f>
        <v>0</v>
      </c>
      <c r="AI23" s="432">
        <v>12</v>
      </c>
      <c r="AJ23" s="391">
        <f t="shared" si="7"/>
        <v>0</v>
      </c>
      <c r="AK23" s="429">
        <v>12</v>
      </c>
      <c r="AL23" s="391">
        <f t="shared" si="8"/>
        <v>0</v>
      </c>
      <c r="AM23" s="432">
        <v>15</v>
      </c>
      <c r="AN23" s="391">
        <f t="shared" si="9"/>
        <v>0</v>
      </c>
      <c r="AO23" s="429">
        <v>2</v>
      </c>
      <c r="AP23" s="391">
        <f t="shared" si="10"/>
        <v>0</v>
      </c>
      <c r="AQ23" s="432">
        <v>11</v>
      </c>
      <c r="AR23" s="391">
        <f t="shared" si="11"/>
        <v>0</v>
      </c>
      <c r="AS23" s="432">
        <v>13</v>
      </c>
      <c r="AT23" s="391">
        <f t="shared" si="12"/>
        <v>0</v>
      </c>
      <c r="AU23" s="429">
        <v>12</v>
      </c>
      <c r="AV23" s="391">
        <f t="shared" si="13"/>
        <v>0</v>
      </c>
      <c r="AW23" s="429">
        <v>1</v>
      </c>
      <c r="AX23" s="391">
        <f t="shared" si="14"/>
        <v>0</v>
      </c>
      <c r="AY23" s="410">
        <v>2</v>
      </c>
      <c r="AZ23" s="391">
        <f t="shared" si="15"/>
        <v>0</v>
      </c>
      <c r="BA23" s="408">
        <v>13</v>
      </c>
      <c r="BB23" s="391">
        <f t="shared" si="16"/>
        <v>0</v>
      </c>
      <c r="BC23" s="432">
        <v>13</v>
      </c>
      <c r="BD23" s="391">
        <f t="shared" si="17"/>
        <v>0</v>
      </c>
      <c r="BE23" s="432">
        <v>2</v>
      </c>
      <c r="BF23" s="391">
        <f t="shared" si="18"/>
        <v>0</v>
      </c>
      <c r="BG23" s="432">
        <v>2</v>
      </c>
      <c r="BH23" s="391">
        <f t="shared" si="19"/>
        <v>0</v>
      </c>
      <c r="BI23" s="432">
        <v>0</v>
      </c>
      <c r="BJ23" s="446">
        <f t="shared" si="20"/>
        <v>0</v>
      </c>
      <c r="BK23" s="433">
        <f t="shared" si="24"/>
        <v>169</v>
      </c>
      <c r="BL23" s="433">
        <f t="shared" si="25"/>
        <v>0</v>
      </c>
      <c r="BM23" s="336" t="s">
        <v>290</v>
      </c>
      <c r="BN23" s="359"/>
      <c r="BO23" s="251"/>
      <c r="BP23" s="251"/>
      <c r="BQ23" s="251"/>
      <c r="BR23" s="251"/>
      <c r="BS23" s="251">
        <f t="shared" si="26"/>
        <v>0</v>
      </c>
      <c r="BT23" s="251"/>
      <c r="BU23" s="251">
        <f t="shared" si="33"/>
        <v>0</v>
      </c>
      <c r="BV23" s="251">
        <f t="shared" si="27"/>
        <v>0</v>
      </c>
      <c r="BW23" s="431">
        <f t="shared" si="28"/>
        <v>0</v>
      </c>
    </row>
    <row r="24" spans="1:75" ht="31.5" x14ac:dyDescent="0.25">
      <c r="A24" s="394"/>
      <c r="B24" s="459"/>
      <c r="C24" s="326"/>
      <c r="D24" s="462" t="s">
        <v>899</v>
      </c>
      <c r="E24" s="343" t="s">
        <v>923</v>
      </c>
      <c r="F24" s="342">
        <v>0</v>
      </c>
      <c r="G24" s="435">
        <f t="shared" si="29"/>
        <v>131</v>
      </c>
      <c r="H24" s="460">
        <f t="shared" si="30"/>
        <v>0</v>
      </c>
      <c r="I24" s="410"/>
      <c r="J24" s="409"/>
      <c r="K24" s="409"/>
      <c r="L24" s="409"/>
      <c r="M24" s="461">
        <f t="shared" si="32"/>
        <v>0</v>
      </c>
      <c r="N24" s="409"/>
      <c r="O24" s="409"/>
      <c r="P24" s="434"/>
      <c r="Q24" s="434"/>
      <c r="R24" s="434"/>
      <c r="S24" s="392"/>
      <c r="T24" s="392"/>
      <c r="U24" s="392"/>
      <c r="V24" s="392">
        <v>131</v>
      </c>
      <c r="W24" s="391">
        <f t="shared" si="21"/>
        <v>0</v>
      </c>
      <c r="X24" s="391">
        <f t="shared" si="22"/>
        <v>0</v>
      </c>
      <c r="Y24" s="391">
        <f t="shared" si="23"/>
        <v>0</v>
      </c>
      <c r="Z24" s="391">
        <f t="shared" si="31"/>
        <v>0</v>
      </c>
      <c r="AA24" s="469">
        <v>14</v>
      </c>
      <c r="AB24" s="391">
        <f t="shared" si="4"/>
        <v>0</v>
      </c>
      <c r="AC24" s="432">
        <v>4</v>
      </c>
      <c r="AD24" s="391">
        <f t="shared" si="5"/>
        <v>0</v>
      </c>
      <c r="AE24" s="432">
        <v>14</v>
      </c>
      <c r="AF24" s="391">
        <f t="shared" si="6"/>
        <v>0</v>
      </c>
      <c r="AG24" s="432">
        <v>20</v>
      </c>
      <c r="AH24" s="391">
        <f t="shared" si="34"/>
        <v>0</v>
      </c>
      <c r="AI24" s="432">
        <v>14</v>
      </c>
      <c r="AJ24" s="391">
        <f t="shared" si="7"/>
        <v>0</v>
      </c>
      <c r="AK24" s="429">
        <v>12</v>
      </c>
      <c r="AL24" s="391">
        <f t="shared" si="8"/>
        <v>0</v>
      </c>
      <c r="AM24" s="432">
        <v>8</v>
      </c>
      <c r="AN24" s="391">
        <f t="shared" si="9"/>
        <v>0</v>
      </c>
      <c r="AO24" s="429">
        <v>0</v>
      </c>
      <c r="AP24" s="391">
        <f t="shared" si="10"/>
        <v>0</v>
      </c>
      <c r="AQ24" s="432">
        <v>5</v>
      </c>
      <c r="AR24" s="391">
        <f t="shared" si="11"/>
        <v>0</v>
      </c>
      <c r="AS24" s="432">
        <v>1</v>
      </c>
      <c r="AT24" s="391">
        <f t="shared" si="12"/>
        <v>0</v>
      </c>
      <c r="AU24" s="429">
        <v>11</v>
      </c>
      <c r="AV24" s="391">
        <f t="shared" si="13"/>
        <v>0</v>
      </c>
      <c r="AW24" s="429">
        <v>1</v>
      </c>
      <c r="AX24" s="391">
        <f t="shared" si="14"/>
        <v>0</v>
      </c>
      <c r="AY24" s="410">
        <v>1</v>
      </c>
      <c r="AZ24" s="391">
        <f t="shared" si="15"/>
        <v>0</v>
      </c>
      <c r="BA24" s="408">
        <v>3</v>
      </c>
      <c r="BB24" s="391">
        <f t="shared" si="16"/>
        <v>0</v>
      </c>
      <c r="BC24" s="432">
        <v>20</v>
      </c>
      <c r="BD24" s="391">
        <f t="shared" si="17"/>
        <v>0</v>
      </c>
      <c r="BE24" s="432">
        <v>0</v>
      </c>
      <c r="BF24" s="391">
        <f t="shared" si="18"/>
        <v>0</v>
      </c>
      <c r="BG24" s="432">
        <v>3</v>
      </c>
      <c r="BH24" s="391">
        <f t="shared" si="19"/>
        <v>0</v>
      </c>
      <c r="BI24" s="432">
        <v>0</v>
      </c>
      <c r="BJ24" s="446">
        <f t="shared" si="20"/>
        <v>0</v>
      </c>
      <c r="BK24" s="433">
        <f t="shared" si="24"/>
        <v>131</v>
      </c>
      <c r="BL24" s="433">
        <f t="shared" si="25"/>
        <v>0</v>
      </c>
      <c r="BM24" s="336" t="s">
        <v>290</v>
      </c>
      <c r="BN24" s="359"/>
      <c r="BO24" s="251"/>
      <c r="BP24" s="251"/>
      <c r="BQ24" s="251"/>
      <c r="BR24" s="251"/>
      <c r="BS24" s="251">
        <f t="shared" si="26"/>
        <v>0</v>
      </c>
      <c r="BT24" s="251"/>
      <c r="BU24" s="251">
        <f t="shared" si="33"/>
        <v>0</v>
      </c>
      <c r="BV24" s="251">
        <f t="shared" si="27"/>
        <v>0</v>
      </c>
      <c r="BW24" s="431">
        <f t="shared" si="28"/>
        <v>0</v>
      </c>
    </row>
    <row r="25" spans="1:75" s="260" customFormat="1" ht="31.5" x14ac:dyDescent="0.25">
      <c r="A25" s="394"/>
      <c r="B25" s="459"/>
      <c r="C25" s="326"/>
      <c r="D25" s="462" t="s">
        <v>530</v>
      </c>
      <c r="E25" s="343" t="s">
        <v>16</v>
      </c>
      <c r="F25" s="342">
        <v>0</v>
      </c>
      <c r="G25" s="435">
        <f t="shared" si="29"/>
        <v>47</v>
      </c>
      <c r="H25" s="460">
        <f t="shared" si="30"/>
        <v>0</v>
      </c>
      <c r="I25" s="410"/>
      <c r="J25" s="409"/>
      <c r="K25" s="409"/>
      <c r="L25" s="409"/>
      <c r="M25" s="461">
        <f t="shared" si="32"/>
        <v>0</v>
      </c>
      <c r="N25" s="409"/>
      <c r="O25" s="409"/>
      <c r="P25" s="434"/>
      <c r="Q25" s="434"/>
      <c r="R25" s="434"/>
      <c r="S25" s="392"/>
      <c r="T25" s="392"/>
      <c r="U25" s="392"/>
      <c r="V25" s="392"/>
      <c r="W25" s="391">
        <f t="shared" si="21"/>
        <v>0</v>
      </c>
      <c r="X25" s="391">
        <f t="shared" si="22"/>
        <v>0</v>
      </c>
      <c r="Y25" s="391">
        <f t="shared" si="23"/>
        <v>0</v>
      </c>
      <c r="Z25" s="391">
        <f t="shared" si="31"/>
        <v>0</v>
      </c>
      <c r="AA25" s="469">
        <v>0</v>
      </c>
      <c r="AB25" s="391">
        <f t="shared" si="4"/>
        <v>0</v>
      </c>
      <c r="AC25" s="432">
        <v>0</v>
      </c>
      <c r="AD25" s="391">
        <f t="shared" si="5"/>
        <v>0</v>
      </c>
      <c r="AE25" s="432">
        <v>0</v>
      </c>
      <c r="AF25" s="391">
        <f t="shared" si="6"/>
        <v>0</v>
      </c>
      <c r="AG25" s="432">
        <v>0</v>
      </c>
      <c r="AH25" s="391">
        <f t="shared" si="34"/>
        <v>0</v>
      </c>
      <c r="AI25" s="432">
        <v>28</v>
      </c>
      <c r="AJ25" s="391">
        <f t="shared" si="7"/>
        <v>0</v>
      </c>
      <c r="AK25" s="429">
        <v>0</v>
      </c>
      <c r="AL25" s="391">
        <f t="shared" si="8"/>
        <v>0</v>
      </c>
      <c r="AM25" s="432"/>
      <c r="AN25" s="391">
        <f t="shared" si="9"/>
        <v>0</v>
      </c>
      <c r="AO25" s="429"/>
      <c r="AP25" s="391">
        <f t="shared" si="10"/>
        <v>0</v>
      </c>
      <c r="AQ25" s="432"/>
      <c r="AR25" s="391">
        <f t="shared" si="11"/>
        <v>0</v>
      </c>
      <c r="AS25" s="432">
        <v>0</v>
      </c>
      <c r="AT25" s="391">
        <f t="shared" si="12"/>
        <v>0</v>
      </c>
      <c r="AU25" s="429">
        <v>0</v>
      </c>
      <c r="AV25" s="391">
        <f t="shared" si="13"/>
        <v>0</v>
      </c>
      <c r="AW25" s="429">
        <v>0</v>
      </c>
      <c r="AX25" s="391">
        <f t="shared" si="14"/>
        <v>0</v>
      </c>
      <c r="AY25" s="410">
        <v>19</v>
      </c>
      <c r="AZ25" s="391">
        <f t="shared" si="15"/>
        <v>0</v>
      </c>
      <c r="BA25" s="408">
        <v>0</v>
      </c>
      <c r="BB25" s="391">
        <f t="shared" si="16"/>
        <v>0</v>
      </c>
      <c r="BC25" s="432">
        <v>0</v>
      </c>
      <c r="BD25" s="391">
        <f t="shared" si="17"/>
        <v>0</v>
      </c>
      <c r="BE25" s="432">
        <v>0</v>
      </c>
      <c r="BF25" s="391">
        <f t="shared" si="18"/>
        <v>0</v>
      </c>
      <c r="BG25" s="432">
        <v>0</v>
      </c>
      <c r="BH25" s="391">
        <f t="shared" si="19"/>
        <v>0</v>
      </c>
      <c r="BI25" s="432">
        <v>0</v>
      </c>
      <c r="BJ25" s="446">
        <f t="shared" si="20"/>
        <v>0</v>
      </c>
      <c r="BK25" s="433">
        <f t="shared" si="24"/>
        <v>47</v>
      </c>
      <c r="BL25" s="433">
        <f t="shared" si="25"/>
        <v>0</v>
      </c>
      <c r="BM25" s="336" t="s">
        <v>290</v>
      </c>
      <c r="BN25" s="359"/>
      <c r="BO25" s="251"/>
      <c r="BP25" s="251"/>
      <c r="BQ25" s="251"/>
      <c r="BR25" s="251"/>
      <c r="BS25" s="251">
        <f t="shared" si="26"/>
        <v>0</v>
      </c>
      <c r="BT25" s="251"/>
      <c r="BU25" s="251">
        <f t="shared" si="33"/>
        <v>0</v>
      </c>
      <c r="BV25" s="251">
        <f t="shared" si="27"/>
        <v>0</v>
      </c>
      <c r="BW25" s="431">
        <f t="shared" si="28"/>
        <v>0</v>
      </c>
    </row>
    <row r="26" spans="1:75" s="260" customFormat="1" x14ac:dyDescent="0.25">
      <c r="A26" s="394"/>
      <c r="B26" s="459"/>
      <c r="C26" s="326"/>
      <c r="D26" s="462" t="s">
        <v>531</v>
      </c>
      <c r="E26" s="343" t="s">
        <v>16</v>
      </c>
      <c r="F26" s="342">
        <v>0</v>
      </c>
      <c r="G26" s="435">
        <f t="shared" si="29"/>
        <v>31</v>
      </c>
      <c r="H26" s="460">
        <f t="shared" si="30"/>
        <v>0</v>
      </c>
      <c r="I26" s="410"/>
      <c r="J26" s="409"/>
      <c r="K26" s="409"/>
      <c r="L26" s="409"/>
      <c r="M26" s="461">
        <f t="shared" si="32"/>
        <v>0</v>
      </c>
      <c r="N26" s="409"/>
      <c r="O26" s="409"/>
      <c r="P26" s="434"/>
      <c r="Q26" s="434"/>
      <c r="R26" s="434"/>
      <c r="S26" s="392"/>
      <c r="T26" s="392"/>
      <c r="U26" s="392"/>
      <c r="V26" s="392"/>
      <c r="W26" s="391">
        <f t="shared" si="21"/>
        <v>0</v>
      </c>
      <c r="X26" s="391">
        <f t="shared" si="22"/>
        <v>0</v>
      </c>
      <c r="Y26" s="391">
        <f t="shared" si="23"/>
        <v>0</v>
      </c>
      <c r="Z26" s="391">
        <f t="shared" si="31"/>
        <v>0</v>
      </c>
      <c r="AA26" s="469">
        <v>0</v>
      </c>
      <c r="AB26" s="391">
        <f t="shared" si="4"/>
        <v>0</v>
      </c>
      <c r="AC26" s="432">
        <v>0</v>
      </c>
      <c r="AD26" s="391">
        <f t="shared" si="5"/>
        <v>0</v>
      </c>
      <c r="AE26" s="432">
        <v>0</v>
      </c>
      <c r="AF26" s="391">
        <f t="shared" si="6"/>
        <v>0</v>
      </c>
      <c r="AG26" s="432">
        <v>0</v>
      </c>
      <c r="AH26" s="391">
        <f t="shared" si="34"/>
        <v>0</v>
      </c>
      <c r="AI26" s="432">
        <v>12</v>
      </c>
      <c r="AJ26" s="391">
        <f t="shared" si="7"/>
        <v>0</v>
      </c>
      <c r="AK26" s="429">
        <v>0</v>
      </c>
      <c r="AL26" s="391">
        <f t="shared" si="8"/>
        <v>0</v>
      </c>
      <c r="AM26" s="432"/>
      <c r="AN26" s="391">
        <f t="shared" si="9"/>
        <v>0</v>
      </c>
      <c r="AO26" s="429"/>
      <c r="AP26" s="391">
        <f t="shared" si="10"/>
        <v>0</v>
      </c>
      <c r="AQ26" s="432"/>
      <c r="AR26" s="391">
        <f t="shared" si="11"/>
        <v>0</v>
      </c>
      <c r="AS26" s="432">
        <v>0</v>
      </c>
      <c r="AT26" s="391">
        <f t="shared" si="12"/>
        <v>0</v>
      </c>
      <c r="AU26" s="429">
        <v>0</v>
      </c>
      <c r="AV26" s="391">
        <f t="shared" si="13"/>
        <v>0</v>
      </c>
      <c r="AW26" s="429">
        <v>0</v>
      </c>
      <c r="AX26" s="391">
        <f t="shared" si="14"/>
        <v>0</v>
      </c>
      <c r="AY26" s="410">
        <v>19</v>
      </c>
      <c r="AZ26" s="391">
        <f t="shared" si="15"/>
        <v>0</v>
      </c>
      <c r="BA26" s="408">
        <v>0</v>
      </c>
      <c r="BB26" s="391">
        <f t="shared" si="16"/>
        <v>0</v>
      </c>
      <c r="BC26" s="432">
        <v>0</v>
      </c>
      <c r="BD26" s="391">
        <f t="shared" si="17"/>
        <v>0</v>
      </c>
      <c r="BE26" s="432">
        <v>0</v>
      </c>
      <c r="BF26" s="391">
        <f t="shared" si="18"/>
        <v>0</v>
      </c>
      <c r="BG26" s="432">
        <v>0</v>
      </c>
      <c r="BH26" s="391">
        <f t="shared" si="19"/>
        <v>0</v>
      </c>
      <c r="BI26" s="432">
        <v>0</v>
      </c>
      <c r="BJ26" s="446">
        <f t="shared" si="20"/>
        <v>0</v>
      </c>
      <c r="BK26" s="433">
        <f t="shared" si="24"/>
        <v>31</v>
      </c>
      <c r="BL26" s="433">
        <f t="shared" si="25"/>
        <v>0</v>
      </c>
      <c r="BM26" s="336" t="s">
        <v>290</v>
      </c>
      <c r="BN26" s="359"/>
      <c r="BO26" s="251"/>
      <c r="BP26" s="251"/>
      <c r="BQ26" s="251"/>
      <c r="BR26" s="251"/>
      <c r="BS26" s="251">
        <f t="shared" si="26"/>
        <v>0</v>
      </c>
      <c r="BT26" s="251"/>
      <c r="BU26" s="251">
        <f t="shared" si="33"/>
        <v>0</v>
      </c>
      <c r="BV26" s="251">
        <f t="shared" si="27"/>
        <v>0</v>
      </c>
      <c r="BW26" s="431">
        <f t="shared" si="28"/>
        <v>0</v>
      </c>
    </row>
    <row r="27" spans="1:75" s="260" customFormat="1" x14ac:dyDescent="0.25">
      <c r="A27" s="394"/>
      <c r="B27" s="459"/>
      <c r="C27" s="326"/>
      <c r="D27" s="462" t="s">
        <v>532</v>
      </c>
      <c r="E27" s="343" t="s">
        <v>852</v>
      </c>
      <c r="F27" s="342">
        <v>0</v>
      </c>
      <c r="G27" s="435">
        <f t="shared" si="29"/>
        <v>19</v>
      </c>
      <c r="H27" s="460">
        <f t="shared" si="30"/>
        <v>0</v>
      </c>
      <c r="I27" s="410"/>
      <c r="J27" s="409"/>
      <c r="K27" s="409"/>
      <c r="L27" s="409"/>
      <c r="M27" s="461">
        <f t="shared" si="32"/>
        <v>0</v>
      </c>
      <c r="N27" s="409"/>
      <c r="O27" s="409"/>
      <c r="P27" s="434"/>
      <c r="Q27" s="434"/>
      <c r="R27" s="434"/>
      <c r="S27" s="392"/>
      <c r="T27" s="392"/>
      <c r="U27" s="392"/>
      <c r="V27" s="392"/>
      <c r="W27" s="391">
        <f t="shared" si="21"/>
        <v>0</v>
      </c>
      <c r="X27" s="391">
        <f t="shared" si="22"/>
        <v>0</v>
      </c>
      <c r="Y27" s="391">
        <f t="shared" si="23"/>
        <v>0</v>
      </c>
      <c r="Z27" s="391">
        <f t="shared" si="31"/>
        <v>0</v>
      </c>
      <c r="AA27" s="469">
        <v>0</v>
      </c>
      <c r="AB27" s="391">
        <f t="shared" si="4"/>
        <v>0</v>
      </c>
      <c r="AC27" s="432">
        <v>0</v>
      </c>
      <c r="AD27" s="391">
        <f t="shared" si="5"/>
        <v>0</v>
      </c>
      <c r="AE27" s="432">
        <v>0</v>
      </c>
      <c r="AF27" s="391">
        <f t="shared" si="6"/>
        <v>0</v>
      </c>
      <c r="AG27" s="432">
        <v>0</v>
      </c>
      <c r="AH27" s="391">
        <f t="shared" si="34"/>
        <v>0</v>
      </c>
      <c r="AI27" s="432"/>
      <c r="AJ27" s="391">
        <f t="shared" si="7"/>
        <v>0</v>
      </c>
      <c r="AK27" s="429">
        <v>0</v>
      </c>
      <c r="AL27" s="391">
        <f t="shared" si="8"/>
        <v>0</v>
      </c>
      <c r="AM27" s="432"/>
      <c r="AN27" s="391">
        <f t="shared" si="9"/>
        <v>0</v>
      </c>
      <c r="AO27" s="429"/>
      <c r="AP27" s="391">
        <f t="shared" si="10"/>
        <v>0</v>
      </c>
      <c r="AQ27" s="432"/>
      <c r="AR27" s="391">
        <f t="shared" si="11"/>
        <v>0</v>
      </c>
      <c r="AS27" s="432">
        <v>0</v>
      </c>
      <c r="AT27" s="391">
        <f t="shared" si="12"/>
        <v>0</v>
      </c>
      <c r="AU27" s="429">
        <v>0</v>
      </c>
      <c r="AV27" s="391">
        <f t="shared" si="13"/>
        <v>0</v>
      </c>
      <c r="AW27" s="429"/>
      <c r="AX27" s="391">
        <f t="shared" si="14"/>
        <v>0</v>
      </c>
      <c r="AY27" s="410">
        <v>19</v>
      </c>
      <c r="AZ27" s="391">
        <f t="shared" si="15"/>
        <v>0</v>
      </c>
      <c r="BA27" s="408">
        <v>0</v>
      </c>
      <c r="BB27" s="391">
        <f t="shared" si="16"/>
        <v>0</v>
      </c>
      <c r="BC27" s="432">
        <v>0</v>
      </c>
      <c r="BD27" s="391">
        <f t="shared" si="17"/>
        <v>0</v>
      </c>
      <c r="BE27" s="432">
        <v>0</v>
      </c>
      <c r="BF27" s="391">
        <f t="shared" si="18"/>
        <v>0</v>
      </c>
      <c r="BG27" s="432">
        <v>0</v>
      </c>
      <c r="BH27" s="391">
        <f t="shared" si="19"/>
        <v>0</v>
      </c>
      <c r="BI27" s="432">
        <v>0</v>
      </c>
      <c r="BJ27" s="446">
        <f t="shared" si="20"/>
        <v>0</v>
      </c>
      <c r="BK27" s="433">
        <f t="shared" si="24"/>
        <v>19</v>
      </c>
      <c r="BL27" s="433">
        <f t="shared" si="25"/>
        <v>0</v>
      </c>
      <c r="BM27" s="336" t="s">
        <v>290</v>
      </c>
      <c r="BN27" s="359"/>
      <c r="BO27" s="251"/>
      <c r="BP27" s="251"/>
      <c r="BQ27" s="251"/>
      <c r="BR27" s="251"/>
      <c r="BS27" s="251">
        <f t="shared" si="26"/>
        <v>0</v>
      </c>
      <c r="BT27" s="251"/>
      <c r="BU27" s="251">
        <f t="shared" si="33"/>
        <v>0</v>
      </c>
      <c r="BV27" s="251">
        <f t="shared" si="27"/>
        <v>0</v>
      </c>
      <c r="BW27" s="431">
        <f t="shared" si="28"/>
        <v>0</v>
      </c>
    </row>
    <row r="28" spans="1:75" ht="31.5" x14ac:dyDescent="0.25">
      <c r="A28" s="394"/>
      <c r="B28" s="459"/>
      <c r="C28" s="326"/>
      <c r="D28" s="462" t="s">
        <v>920</v>
      </c>
      <c r="E28" s="343" t="s">
        <v>630</v>
      </c>
      <c r="F28" s="342">
        <v>0</v>
      </c>
      <c r="G28" s="435">
        <f>BK28</f>
        <v>1080</v>
      </c>
      <c r="H28" s="460">
        <f>BL28</f>
        <v>0</v>
      </c>
      <c r="I28" s="410"/>
      <c r="J28" s="409"/>
      <c r="K28" s="409"/>
      <c r="L28" s="409"/>
      <c r="M28" s="461">
        <f t="shared" si="32"/>
        <v>0</v>
      </c>
      <c r="N28" s="409"/>
      <c r="O28" s="409"/>
      <c r="P28" s="434"/>
      <c r="Q28" s="434"/>
      <c r="R28" s="434"/>
      <c r="S28" s="392"/>
      <c r="T28" s="392">
        <v>360</v>
      </c>
      <c r="U28" s="392">
        <v>360</v>
      </c>
      <c r="V28" s="392">
        <v>360</v>
      </c>
      <c r="W28" s="391">
        <f t="shared" si="21"/>
        <v>0</v>
      </c>
      <c r="X28" s="391">
        <f t="shared" si="22"/>
        <v>0</v>
      </c>
      <c r="Y28" s="391">
        <f t="shared" si="23"/>
        <v>0</v>
      </c>
      <c r="Z28" s="391">
        <f t="shared" si="31"/>
        <v>0</v>
      </c>
      <c r="AA28" s="469">
        <v>48</v>
      </c>
      <c r="AB28" s="391">
        <f t="shared" si="4"/>
        <v>0</v>
      </c>
      <c r="AC28" s="432">
        <v>36</v>
      </c>
      <c r="AD28" s="391">
        <f t="shared" si="5"/>
        <v>0</v>
      </c>
      <c r="AE28" s="432">
        <v>48</v>
      </c>
      <c r="AF28" s="391">
        <f t="shared" si="6"/>
        <v>0</v>
      </c>
      <c r="AG28" s="432">
        <v>60</v>
      </c>
      <c r="AH28" s="391">
        <f t="shared" si="34"/>
        <v>0</v>
      </c>
      <c r="AI28" s="432">
        <v>24</v>
      </c>
      <c r="AJ28" s="391">
        <f t="shared" si="7"/>
        <v>0</v>
      </c>
      <c r="AK28" s="429">
        <v>48</v>
      </c>
      <c r="AL28" s="391">
        <f t="shared" si="8"/>
        <v>0</v>
      </c>
      <c r="AM28" s="432">
        <v>60</v>
      </c>
      <c r="AN28" s="391">
        <f t="shared" si="9"/>
        <v>0</v>
      </c>
      <c r="AO28" s="429">
        <v>96</v>
      </c>
      <c r="AP28" s="391">
        <f t="shared" si="10"/>
        <v>0</v>
      </c>
      <c r="AQ28" s="432">
        <v>24</v>
      </c>
      <c r="AR28" s="391">
        <f t="shared" si="11"/>
        <v>0</v>
      </c>
      <c r="AS28" s="432">
        <v>36</v>
      </c>
      <c r="AT28" s="391">
        <f t="shared" si="12"/>
        <v>0</v>
      </c>
      <c r="AU28" s="429">
        <v>72</v>
      </c>
      <c r="AV28" s="391">
        <f t="shared" si="13"/>
        <v>0</v>
      </c>
      <c r="AW28" s="429">
        <v>60</v>
      </c>
      <c r="AX28" s="391">
        <f t="shared" si="14"/>
        <v>0</v>
      </c>
      <c r="AY28" s="410">
        <v>108</v>
      </c>
      <c r="AZ28" s="391">
        <f t="shared" si="15"/>
        <v>0</v>
      </c>
      <c r="BA28" s="408">
        <v>108</v>
      </c>
      <c r="BB28" s="391">
        <f t="shared" si="16"/>
        <v>0</v>
      </c>
      <c r="BC28" s="432">
        <v>36</v>
      </c>
      <c r="BD28" s="391">
        <f t="shared" si="17"/>
        <v>0</v>
      </c>
      <c r="BE28" s="432">
        <v>144</v>
      </c>
      <c r="BF28" s="391">
        <f t="shared" si="18"/>
        <v>0</v>
      </c>
      <c r="BG28" s="432">
        <v>72</v>
      </c>
      <c r="BH28" s="391">
        <f t="shared" si="19"/>
        <v>0</v>
      </c>
      <c r="BI28" s="432">
        <v>0</v>
      </c>
      <c r="BJ28" s="446">
        <f t="shared" si="20"/>
        <v>0</v>
      </c>
      <c r="BK28" s="433">
        <f>AA28+AC28+AE28+AG28+AI28+AK28+AM28+AO28+AQ28+AS28+AU28+AW28+AY28+BA28+BC28+BE28+BG28+BI28</f>
        <v>1080</v>
      </c>
      <c r="BL28" s="433">
        <f>AB28+AD28+AF28+AH28+AJ28+AL28+AN28+AP28+AR28+AT28+AV28+AX28+AZ28+BB28+BD28+BF28+BH28+BJ28</f>
        <v>0</v>
      </c>
      <c r="BM28" s="336" t="s">
        <v>290</v>
      </c>
      <c r="BN28" s="359"/>
      <c r="BO28" s="251"/>
      <c r="BP28" s="251"/>
      <c r="BQ28" s="251"/>
      <c r="BR28" s="251"/>
      <c r="BS28" s="251"/>
      <c r="BT28" s="251">
        <f>H28</f>
        <v>0</v>
      </c>
      <c r="BU28" s="251"/>
      <c r="BV28" s="251">
        <f t="shared" si="27"/>
        <v>0</v>
      </c>
      <c r="BW28" s="431">
        <f t="shared" si="28"/>
        <v>0</v>
      </c>
    </row>
    <row r="29" spans="1:75" ht="31.5" x14ac:dyDescent="0.25">
      <c r="A29" s="394"/>
      <c r="B29" s="459"/>
      <c r="C29" s="326"/>
      <c r="D29" s="462" t="s">
        <v>533</v>
      </c>
      <c r="E29" s="343" t="s">
        <v>630</v>
      </c>
      <c r="F29" s="342">
        <v>0</v>
      </c>
      <c r="G29" s="435">
        <f>BK29</f>
        <v>204</v>
      </c>
      <c r="H29" s="342">
        <f>G29*F29</f>
        <v>0</v>
      </c>
      <c r="I29" s="410"/>
      <c r="J29" s="409"/>
      <c r="K29" s="409"/>
      <c r="L29" s="409"/>
      <c r="M29" s="461">
        <f t="shared" si="32"/>
        <v>0</v>
      </c>
      <c r="N29" s="409"/>
      <c r="O29" s="409"/>
      <c r="P29" s="434"/>
      <c r="Q29" s="434"/>
      <c r="R29" s="434"/>
      <c r="S29" s="392">
        <v>51</v>
      </c>
      <c r="T29" s="392">
        <v>51</v>
      </c>
      <c r="U29" s="392">
        <v>51</v>
      </c>
      <c r="V29" s="392">
        <v>51</v>
      </c>
      <c r="W29" s="391">
        <f t="shared" si="21"/>
        <v>0</v>
      </c>
      <c r="X29" s="391">
        <f t="shared" si="22"/>
        <v>0</v>
      </c>
      <c r="Y29" s="391">
        <f t="shared" si="23"/>
        <v>0</v>
      </c>
      <c r="Z29" s="391">
        <f>V29*F29</f>
        <v>0</v>
      </c>
      <c r="AA29" s="469">
        <v>12</v>
      </c>
      <c r="AB29" s="391">
        <f t="shared" si="4"/>
        <v>0</v>
      </c>
      <c r="AC29" s="432">
        <v>12</v>
      </c>
      <c r="AD29" s="391">
        <f t="shared" si="5"/>
        <v>0</v>
      </c>
      <c r="AE29" s="432">
        <v>12</v>
      </c>
      <c r="AF29" s="391">
        <f t="shared" si="6"/>
        <v>0</v>
      </c>
      <c r="AG29" s="432">
        <v>12</v>
      </c>
      <c r="AH29" s="391">
        <f t="shared" si="34"/>
        <v>0</v>
      </c>
      <c r="AI29" s="432">
        <v>12</v>
      </c>
      <c r="AJ29" s="391">
        <f t="shared" si="7"/>
        <v>0</v>
      </c>
      <c r="AK29" s="429">
        <v>12</v>
      </c>
      <c r="AL29" s="391">
        <f t="shared" si="8"/>
        <v>0</v>
      </c>
      <c r="AM29" s="432">
        <v>12</v>
      </c>
      <c r="AN29" s="391">
        <f t="shared" si="9"/>
        <v>0</v>
      </c>
      <c r="AO29" s="429">
        <v>12</v>
      </c>
      <c r="AP29" s="391">
        <f t="shared" si="10"/>
        <v>0</v>
      </c>
      <c r="AQ29" s="432">
        <v>12</v>
      </c>
      <c r="AR29" s="391">
        <f t="shared" si="11"/>
        <v>0</v>
      </c>
      <c r="AS29" s="432">
        <v>12</v>
      </c>
      <c r="AT29" s="391">
        <f t="shared" si="12"/>
        <v>0</v>
      </c>
      <c r="AU29" s="429">
        <v>12</v>
      </c>
      <c r="AV29" s="391">
        <f t="shared" si="13"/>
        <v>0</v>
      </c>
      <c r="AW29" s="429">
        <v>12</v>
      </c>
      <c r="AX29" s="391">
        <f t="shared" si="14"/>
        <v>0</v>
      </c>
      <c r="AY29" s="410">
        <v>12</v>
      </c>
      <c r="AZ29" s="391">
        <f t="shared" si="15"/>
        <v>0</v>
      </c>
      <c r="BA29" s="408">
        <v>12</v>
      </c>
      <c r="BB29" s="391">
        <f t="shared" si="16"/>
        <v>0</v>
      </c>
      <c r="BC29" s="432">
        <v>12</v>
      </c>
      <c r="BD29" s="391">
        <f t="shared" si="17"/>
        <v>0</v>
      </c>
      <c r="BE29" s="432">
        <v>12</v>
      </c>
      <c r="BF29" s="391">
        <f t="shared" si="18"/>
        <v>0</v>
      </c>
      <c r="BG29" s="432">
        <v>12</v>
      </c>
      <c r="BH29" s="391">
        <f t="shared" si="19"/>
        <v>0</v>
      </c>
      <c r="BI29" s="432">
        <v>0</v>
      </c>
      <c r="BJ29" s="446">
        <v>0</v>
      </c>
      <c r="BK29" s="433">
        <f t="shared" si="24"/>
        <v>204</v>
      </c>
      <c r="BL29" s="433">
        <f t="shared" si="25"/>
        <v>0</v>
      </c>
      <c r="BM29" s="336" t="s">
        <v>290</v>
      </c>
      <c r="BN29" s="359"/>
      <c r="BO29" s="251"/>
      <c r="BP29" s="251"/>
      <c r="BQ29" s="251"/>
      <c r="BR29" s="251"/>
      <c r="BS29" s="251">
        <f t="shared" si="26"/>
        <v>0</v>
      </c>
      <c r="BT29" s="251">
        <f>BL29</f>
        <v>0</v>
      </c>
      <c r="BU29" s="251"/>
      <c r="BV29" s="251">
        <f t="shared" si="27"/>
        <v>0</v>
      </c>
      <c r="BW29" s="431">
        <f t="shared" si="28"/>
        <v>0</v>
      </c>
    </row>
    <row r="30" spans="1:75" s="260" customFormat="1" ht="31.5" x14ac:dyDescent="0.25">
      <c r="A30" s="394"/>
      <c r="B30" s="459"/>
      <c r="C30" s="443" t="s">
        <v>772</v>
      </c>
      <c r="D30" s="462" t="s">
        <v>645</v>
      </c>
      <c r="E30" s="343" t="s">
        <v>492</v>
      </c>
      <c r="F30" s="342">
        <v>250000</v>
      </c>
      <c r="G30" s="435">
        <f t="shared" si="29"/>
        <v>0</v>
      </c>
      <c r="H30" s="342">
        <f>G30*F30</f>
        <v>0</v>
      </c>
      <c r="I30" s="410">
        <f>H30*0.2</f>
        <v>0</v>
      </c>
      <c r="J30" s="409">
        <f>H30*0.8</f>
        <v>0</v>
      </c>
      <c r="K30" s="409"/>
      <c r="L30" s="409"/>
      <c r="M30" s="409"/>
      <c r="N30" s="409"/>
      <c r="O30" s="409"/>
      <c r="P30" s="434"/>
      <c r="Q30" s="434"/>
      <c r="R30" s="434"/>
      <c r="S30" s="392"/>
      <c r="T30" s="392">
        <f>G30</f>
        <v>0</v>
      </c>
      <c r="U30" s="392"/>
      <c r="V30" s="392"/>
      <c r="W30" s="391">
        <f t="shared" si="21"/>
        <v>0</v>
      </c>
      <c r="X30" s="391">
        <f t="shared" si="22"/>
        <v>0</v>
      </c>
      <c r="Y30" s="391">
        <f t="shared" si="23"/>
        <v>0</v>
      </c>
      <c r="Z30" s="391">
        <f>V30*F30</f>
        <v>0</v>
      </c>
      <c r="AA30" s="469">
        <v>0</v>
      </c>
      <c r="AB30" s="391">
        <f t="shared" si="4"/>
        <v>0</v>
      </c>
      <c r="AC30" s="432"/>
      <c r="AD30" s="391">
        <f t="shared" si="5"/>
        <v>0</v>
      </c>
      <c r="AE30" s="432">
        <v>0</v>
      </c>
      <c r="AF30" s="391">
        <f t="shared" si="6"/>
        <v>0</v>
      </c>
      <c r="AG30" s="432"/>
      <c r="AH30" s="391">
        <f t="shared" si="34"/>
        <v>0</v>
      </c>
      <c r="AI30" s="432"/>
      <c r="AJ30" s="391">
        <f t="shared" si="7"/>
        <v>0</v>
      </c>
      <c r="AK30" s="429">
        <v>0</v>
      </c>
      <c r="AL30" s="391">
        <f t="shared" si="8"/>
        <v>0</v>
      </c>
      <c r="AM30" s="432"/>
      <c r="AN30" s="391">
        <f t="shared" si="9"/>
        <v>0</v>
      </c>
      <c r="AO30" s="429"/>
      <c r="AP30" s="391">
        <f t="shared" si="10"/>
        <v>0</v>
      </c>
      <c r="AQ30" s="432"/>
      <c r="AR30" s="391">
        <f t="shared" si="11"/>
        <v>0</v>
      </c>
      <c r="AS30" s="432"/>
      <c r="AT30" s="391">
        <f t="shared" si="12"/>
        <v>0</v>
      </c>
      <c r="AU30" s="429"/>
      <c r="AV30" s="391">
        <f t="shared" si="13"/>
        <v>0</v>
      </c>
      <c r="AW30" s="429">
        <v>0</v>
      </c>
      <c r="AX30" s="391">
        <f t="shared" si="14"/>
        <v>0</v>
      </c>
      <c r="AY30" s="410">
        <v>0</v>
      </c>
      <c r="AZ30" s="391">
        <f t="shared" si="15"/>
        <v>0</v>
      </c>
      <c r="BA30" s="408">
        <v>0</v>
      </c>
      <c r="BB30" s="391">
        <f t="shared" si="16"/>
        <v>0</v>
      </c>
      <c r="BC30" s="432">
        <v>0</v>
      </c>
      <c r="BD30" s="391">
        <f t="shared" si="17"/>
        <v>0</v>
      </c>
      <c r="BE30" s="432">
        <v>0</v>
      </c>
      <c r="BF30" s="391">
        <f t="shared" si="18"/>
        <v>0</v>
      </c>
      <c r="BG30" s="432">
        <v>0</v>
      </c>
      <c r="BH30" s="391">
        <f t="shared" si="19"/>
        <v>0</v>
      </c>
      <c r="BI30" s="432">
        <v>0</v>
      </c>
      <c r="BJ30" s="391">
        <f>BI30*F30</f>
        <v>0</v>
      </c>
      <c r="BK30" s="433">
        <f t="shared" si="24"/>
        <v>0</v>
      </c>
      <c r="BL30" s="433">
        <f t="shared" si="25"/>
        <v>0</v>
      </c>
      <c r="BM30" s="336" t="s">
        <v>209</v>
      </c>
      <c r="BN30" s="359"/>
      <c r="BO30" s="251"/>
      <c r="BP30" s="251"/>
      <c r="BQ30" s="251"/>
      <c r="BR30" s="251"/>
      <c r="BS30" s="251">
        <f t="shared" si="26"/>
        <v>0</v>
      </c>
      <c r="BT30" s="251"/>
      <c r="BU30" s="251"/>
      <c r="BV30" s="251">
        <f t="shared" si="27"/>
        <v>0</v>
      </c>
      <c r="BW30" s="431">
        <f t="shared" si="28"/>
        <v>0</v>
      </c>
    </row>
    <row r="31" spans="1:75" s="255" customFormat="1" x14ac:dyDescent="0.25">
      <c r="A31" s="463"/>
      <c r="B31" s="464"/>
      <c r="C31" s="443" t="s">
        <v>773</v>
      </c>
      <c r="D31" s="444" t="s">
        <v>1208</v>
      </c>
      <c r="E31" s="312" t="s">
        <v>77</v>
      </c>
      <c r="F31" s="312">
        <v>6000</v>
      </c>
      <c r="G31" s="465">
        <f>BK31</f>
        <v>5450</v>
      </c>
      <c r="H31" s="465">
        <f t="shared" ref="H31:H32" si="35">BL31</f>
        <v>32700000</v>
      </c>
      <c r="I31" s="464">
        <f>H31*0.1</f>
        <v>3270000</v>
      </c>
      <c r="J31" s="466">
        <f>H31*0.8</f>
        <v>26160000</v>
      </c>
      <c r="K31" s="466"/>
      <c r="L31" s="466"/>
      <c r="M31" s="466"/>
      <c r="N31" s="466"/>
      <c r="O31" s="466"/>
      <c r="P31" s="467"/>
      <c r="Q31" s="467">
        <f>H31*0.1</f>
        <v>3270000</v>
      </c>
      <c r="R31" s="467"/>
      <c r="S31" s="468">
        <f>G31*0.25</f>
        <v>1362.5</v>
      </c>
      <c r="T31" s="468">
        <f>G31*0.25</f>
        <v>1362.5</v>
      </c>
      <c r="U31" s="468">
        <f>G31*0.25</f>
        <v>1362.5</v>
      </c>
      <c r="V31" s="468">
        <f>G31*0.25</f>
        <v>1362.5</v>
      </c>
      <c r="W31" s="465">
        <f>H31*0.4</f>
        <v>13080000</v>
      </c>
      <c r="X31" s="465">
        <f>H31*0.4</f>
        <v>13080000</v>
      </c>
      <c r="Y31" s="465">
        <f>H31*0.2</f>
        <v>6540000</v>
      </c>
      <c r="Z31" s="465">
        <f>H31*0</f>
        <v>0</v>
      </c>
      <c r="AA31" s="469">
        <v>800</v>
      </c>
      <c r="AB31" s="465">
        <f t="shared" si="4"/>
        <v>4800000</v>
      </c>
      <c r="AC31" s="469">
        <v>400</v>
      </c>
      <c r="AD31" s="465">
        <f t="shared" si="5"/>
        <v>2400000</v>
      </c>
      <c r="AE31" s="469">
        <v>500</v>
      </c>
      <c r="AF31" s="465">
        <f t="shared" si="6"/>
        <v>3000000</v>
      </c>
      <c r="AG31" s="469">
        <v>300</v>
      </c>
      <c r="AH31" s="465">
        <f t="shared" si="34"/>
        <v>1800000</v>
      </c>
      <c r="AI31" s="469">
        <v>0</v>
      </c>
      <c r="AJ31" s="465">
        <f t="shared" si="7"/>
        <v>0</v>
      </c>
      <c r="AK31" s="464">
        <v>500</v>
      </c>
      <c r="AL31" s="465">
        <f t="shared" si="8"/>
        <v>3000000</v>
      </c>
      <c r="AM31" s="469">
        <v>500</v>
      </c>
      <c r="AN31" s="465">
        <f>AM31*F31</f>
        <v>3000000</v>
      </c>
      <c r="AO31" s="464">
        <v>300</v>
      </c>
      <c r="AP31" s="465">
        <f t="shared" si="10"/>
        <v>1800000</v>
      </c>
      <c r="AQ31" s="469">
        <v>500</v>
      </c>
      <c r="AR31" s="465">
        <f t="shared" si="11"/>
        <v>3000000</v>
      </c>
      <c r="AS31" s="469">
        <v>400</v>
      </c>
      <c r="AT31" s="391">
        <f t="shared" si="12"/>
        <v>2400000</v>
      </c>
      <c r="AU31" s="464">
        <v>200</v>
      </c>
      <c r="AV31" s="465">
        <f t="shared" si="13"/>
        <v>1200000</v>
      </c>
      <c r="AW31" s="464">
        <v>200</v>
      </c>
      <c r="AX31" s="465">
        <f t="shared" si="14"/>
        <v>1200000</v>
      </c>
      <c r="AY31" s="351">
        <v>150</v>
      </c>
      <c r="AZ31" s="465">
        <f t="shared" si="15"/>
        <v>900000</v>
      </c>
      <c r="BA31" s="457">
        <v>300</v>
      </c>
      <c r="BB31" s="465">
        <f t="shared" si="16"/>
        <v>1800000</v>
      </c>
      <c r="BC31" s="469">
        <v>150</v>
      </c>
      <c r="BD31" s="465">
        <f t="shared" si="17"/>
        <v>900000</v>
      </c>
      <c r="BE31" s="469">
        <f>200-150</f>
        <v>50</v>
      </c>
      <c r="BF31" s="465">
        <f t="shared" si="18"/>
        <v>300000</v>
      </c>
      <c r="BG31" s="469">
        <v>200</v>
      </c>
      <c r="BH31" s="465">
        <f t="shared" si="19"/>
        <v>1200000</v>
      </c>
      <c r="BI31" s="469"/>
      <c r="BJ31" s="465">
        <f>BI31*F31</f>
        <v>0</v>
      </c>
      <c r="BK31" s="465">
        <f t="shared" si="24"/>
        <v>5450</v>
      </c>
      <c r="BL31" s="465">
        <f t="shared" si="25"/>
        <v>32700000</v>
      </c>
      <c r="BM31" s="312" t="s">
        <v>212</v>
      </c>
      <c r="BN31" s="470"/>
      <c r="BO31" s="471"/>
      <c r="BP31" s="471"/>
      <c r="BQ31" s="471">
        <f>BL31</f>
        <v>32700000</v>
      </c>
      <c r="BR31" s="471"/>
      <c r="BS31" s="471">
        <f t="shared" si="26"/>
        <v>32700000</v>
      </c>
      <c r="BT31" s="471"/>
      <c r="BU31" s="471"/>
      <c r="BV31" s="471">
        <f t="shared" si="27"/>
        <v>0</v>
      </c>
      <c r="BW31" s="472">
        <f t="shared" si="28"/>
        <v>32700000</v>
      </c>
    </row>
    <row r="32" spans="1:75" s="255" customFormat="1" ht="26.25" customHeight="1" x14ac:dyDescent="0.25">
      <c r="A32" s="463"/>
      <c r="B32" s="464"/>
      <c r="C32" s="443" t="s">
        <v>775</v>
      </c>
      <c r="D32" s="715" t="s">
        <v>1241</v>
      </c>
      <c r="E32" s="312" t="s">
        <v>77</v>
      </c>
      <c r="F32" s="716">
        <v>6000</v>
      </c>
      <c r="G32" s="465">
        <f>BK32</f>
        <v>1190</v>
      </c>
      <c r="H32" s="465">
        <f t="shared" si="35"/>
        <v>7140000</v>
      </c>
      <c r="I32" s="464">
        <f>H32*0.1</f>
        <v>714000</v>
      </c>
      <c r="J32" s="466">
        <f>H32*0.8</f>
        <v>5712000</v>
      </c>
      <c r="K32" s="466"/>
      <c r="L32" s="466"/>
      <c r="M32" s="466"/>
      <c r="N32" s="466"/>
      <c r="O32" s="466"/>
      <c r="P32" s="467"/>
      <c r="Q32" s="467">
        <f>H32*0.1</f>
        <v>714000</v>
      </c>
      <c r="R32" s="467"/>
      <c r="S32" s="468">
        <f>G32*0.4</f>
        <v>476</v>
      </c>
      <c r="T32" s="468">
        <f>G32*0.4</f>
        <v>476</v>
      </c>
      <c r="U32" s="468">
        <f>G32*0.2</f>
        <v>238</v>
      </c>
      <c r="V32" s="468">
        <f>G32*0</f>
        <v>0</v>
      </c>
      <c r="W32" s="465">
        <f t="shared" ref="W32" si="36">S32*F32</f>
        <v>2856000</v>
      </c>
      <c r="X32" s="465">
        <f t="shared" ref="X32" si="37">T32*F32</f>
        <v>2856000</v>
      </c>
      <c r="Y32" s="465">
        <f t="shared" ref="Y32" si="38">U32*F32</f>
        <v>1428000</v>
      </c>
      <c r="Z32" s="465">
        <f>V32*F32</f>
        <v>0</v>
      </c>
      <c r="AA32" s="469">
        <v>100</v>
      </c>
      <c r="AB32" s="465">
        <f t="shared" si="4"/>
        <v>600000</v>
      </c>
      <c r="AC32" s="469">
        <v>100</v>
      </c>
      <c r="AD32" s="465">
        <f t="shared" si="5"/>
        <v>600000</v>
      </c>
      <c r="AE32" s="469">
        <v>100</v>
      </c>
      <c r="AF32" s="465">
        <f t="shared" si="6"/>
        <v>600000</v>
      </c>
      <c r="AG32" s="469">
        <v>100</v>
      </c>
      <c r="AH32" s="465">
        <f t="shared" si="34"/>
        <v>600000</v>
      </c>
      <c r="AI32" s="469">
        <v>0</v>
      </c>
      <c r="AJ32" s="465">
        <f t="shared" si="7"/>
        <v>0</v>
      </c>
      <c r="AK32" s="464">
        <v>100</v>
      </c>
      <c r="AL32" s="465">
        <f t="shared" si="8"/>
        <v>600000</v>
      </c>
      <c r="AM32" s="469">
        <v>20</v>
      </c>
      <c r="AN32" s="465">
        <f>AM32*F32</f>
        <v>120000</v>
      </c>
      <c r="AO32" s="464">
        <v>100</v>
      </c>
      <c r="AP32" s="465">
        <f t="shared" si="10"/>
        <v>600000</v>
      </c>
      <c r="AQ32" s="469">
        <v>0</v>
      </c>
      <c r="AR32" s="465">
        <f t="shared" si="11"/>
        <v>0</v>
      </c>
      <c r="AS32" s="469">
        <v>0</v>
      </c>
      <c r="AT32" s="391">
        <f t="shared" si="12"/>
        <v>0</v>
      </c>
      <c r="AU32" s="464">
        <v>100</v>
      </c>
      <c r="AV32" s="465">
        <f t="shared" si="13"/>
        <v>600000</v>
      </c>
      <c r="AW32" s="464">
        <v>100</v>
      </c>
      <c r="AX32" s="465">
        <f t="shared" si="14"/>
        <v>600000</v>
      </c>
      <c r="AY32" s="351">
        <v>100</v>
      </c>
      <c r="AZ32" s="465">
        <f t="shared" si="15"/>
        <v>600000</v>
      </c>
      <c r="BA32" s="457">
        <v>100</v>
      </c>
      <c r="BB32" s="465">
        <f t="shared" si="16"/>
        <v>600000</v>
      </c>
      <c r="BC32" s="469">
        <v>0</v>
      </c>
      <c r="BD32" s="465">
        <f t="shared" si="17"/>
        <v>0</v>
      </c>
      <c r="BE32" s="469">
        <v>100</v>
      </c>
      <c r="BF32" s="465">
        <f t="shared" si="18"/>
        <v>600000</v>
      </c>
      <c r="BG32" s="469">
        <v>70</v>
      </c>
      <c r="BH32" s="465">
        <f t="shared" si="19"/>
        <v>420000</v>
      </c>
      <c r="BI32" s="469"/>
      <c r="BJ32" s="465">
        <f>BI32*F32</f>
        <v>0</v>
      </c>
      <c r="BK32" s="465">
        <f t="shared" si="24"/>
        <v>1190</v>
      </c>
      <c r="BL32" s="465">
        <f t="shared" si="25"/>
        <v>7140000</v>
      </c>
      <c r="BM32" s="312" t="s">
        <v>212</v>
      </c>
      <c r="BN32" s="470"/>
      <c r="BO32" s="471"/>
      <c r="BP32" s="471"/>
      <c r="BQ32" s="471">
        <f>BL32</f>
        <v>7140000</v>
      </c>
      <c r="BR32" s="471"/>
      <c r="BS32" s="471">
        <f t="shared" si="26"/>
        <v>7140000</v>
      </c>
      <c r="BT32" s="471"/>
      <c r="BU32" s="471"/>
      <c r="BV32" s="471"/>
      <c r="BW32" s="472">
        <f t="shared" si="28"/>
        <v>7140000</v>
      </c>
    </row>
    <row r="33" spans="1:75" s="158" customFormat="1" x14ac:dyDescent="0.25">
      <c r="A33" s="436"/>
      <c r="B33" s="412"/>
      <c r="C33" s="367"/>
      <c r="D33" s="358" t="s">
        <v>3</v>
      </c>
      <c r="E33" s="354"/>
      <c r="F33" s="354"/>
      <c r="G33" s="370">
        <f>SUM(G19:G32)</f>
        <v>8382</v>
      </c>
      <c r="H33" s="370">
        <f t="shared" ref="H33:BJ33" si="39">SUM(H19:H32)</f>
        <v>39840000</v>
      </c>
      <c r="I33" s="370">
        <f t="shared" si="39"/>
        <v>3984000</v>
      </c>
      <c r="J33" s="370">
        <f t="shared" si="39"/>
        <v>31872000</v>
      </c>
      <c r="K33" s="370">
        <f t="shared" si="39"/>
        <v>0</v>
      </c>
      <c r="L33" s="370">
        <f t="shared" si="39"/>
        <v>0</v>
      </c>
      <c r="M33" s="370">
        <f t="shared" si="39"/>
        <v>0</v>
      </c>
      <c r="N33" s="370">
        <f t="shared" si="39"/>
        <v>0</v>
      </c>
      <c r="O33" s="370">
        <f t="shared" si="39"/>
        <v>0</v>
      </c>
      <c r="P33" s="370">
        <f t="shared" si="39"/>
        <v>0</v>
      </c>
      <c r="Q33" s="370">
        <f t="shared" si="39"/>
        <v>3984000</v>
      </c>
      <c r="R33" s="370">
        <f t="shared" si="39"/>
        <v>0</v>
      </c>
      <c r="S33" s="370">
        <f t="shared" si="39"/>
        <v>1889.5</v>
      </c>
      <c r="T33" s="370">
        <f t="shared" si="39"/>
        <v>2249.5</v>
      </c>
      <c r="U33" s="370">
        <f t="shared" si="39"/>
        <v>2011.5</v>
      </c>
      <c r="V33" s="370">
        <f t="shared" si="39"/>
        <v>2108.5</v>
      </c>
      <c r="W33" s="370">
        <f t="shared" si="39"/>
        <v>15936000</v>
      </c>
      <c r="X33" s="370">
        <f t="shared" si="39"/>
        <v>15936000</v>
      </c>
      <c r="Y33" s="370">
        <f t="shared" si="39"/>
        <v>7968000</v>
      </c>
      <c r="Z33" s="370">
        <f t="shared" si="39"/>
        <v>0</v>
      </c>
      <c r="AA33" s="370">
        <f t="shared" si="39"/>
        <v>999</v>
      </c>
      <c r="AB33" s="370">
        <f t="shared" si="39"/>
        <v>5400000</v>
      </c>
      <c r="AC33" s="370">
        <f t="shared" si="39"/>
        <v>569</v>
      </c>
      <c r="AD33" s="370">
        <f t="shared" si="39"/>
        <v>3000000</v>
      </c>
      <c r="AE33" s="370">
        <f t="shared" si="39"/>
        <v>695</v>
      </c>
      <c r="AF33" s="370">
        <f t="shared" si="39"/>
        <v>3600000</v>
      </c>
      <c r="AG33" s="370">
        <f t="shared" si="39"/>
        <v>519</v>
      </c>
      <c r="AH33" s="370">
        <f t="shared" si="39"/>
        <v>2400000</v>
      </c>
      <c r="AI33" s="370">
        <f t="shared" si="39"/>
        <v>104</v>
      </c>
      <c r="AJ33" s="370">
        <f t="shared" si="39"/>
        <v>0</v>
      </c>
      <c r="AK33" s="370">
        <f t="shared" si="39"/>
        <v>685</v>
      </c>
      <c r="AL33" s="370">
        <f t="shared" si="39"/>
        <v>3600000</v>
      </c>
      <c r="AM33" s="370">
        <f t="shared" si="39"/>
        <v>623</v>
      </c>
      <c r="AN33" s="370">
        <f t="shared" si="39"/>
        <v>3120000</v>
      </c>
      <c r="AO33" s="370">
        <f t="shared" si="39"/>
        <v>512</v>
      </c>
      <c r="AP33" s="370">
        <f t="shared" si="39"/>
        <v>2400000</v>
      </c>
      <c r="AQ33" s="370">
        <f t="shared" si="39"/>
        <v>554</v>
      </c>
      <c r="AR33" s="370">
        <f t="shared" si="39"/>
        <v>3000000</v>
      </c>
      <c r="AS33" s="370">
        <f t="shared" si="39"/>
        <v>465</v>
      </c>
      <c r="AT33" s="370">
        <f t="shared" si="39"/>
        <v>2400000</v>
      </c>
      <c r="AU33" s="370">
        <f t="shared" si="39"/>
        <v>409</v>
      </c>
      <c r="AV33" s="370">
        <f t="shared" si="39"/>
        <v>1800000</v>
      </c>
      <c r="AW33" s="370">
        <f t="shared" si="39"/>
        <v>375</v>
      </c>
      <c r="AX33" s="370">
        <f t="shared" si="39"/>
        <v>1800000</v>
      </c>
      <c r="AY33" s="370">
        <f t="shared" si="39"/>
        <v>432</v>
      </c>
      <c r="AZ33" s="370">
        <f t="shared" si="39"/>
        <v>1500000</v>
      </c>
      <c r="BA33" s="370">
        <f t="shared" si="39"/>
        <v>538</v>
      </c>
      <c r="BB33" s="370">
        <f t="shared" si="39"/>
        <v>2400000</v>
      </c>
      <c r="BC33" s="370">
        <f t="shared" si="39"/>
        <v>232</v>
      </c>
      <c r="BD33" s="370">
        <f t="shared" si="39"/>
        <v>900000</v>
      </c>
      <c r="BE33" s="370">
        <f t="shared" si="39"/>
        <v>310</v>
      </c>
      <c r="BF33" s="370">
        <f t="shared" si="39"/>
        <v>900000</v>
      </c>
      <c r="BG33" s="370">
        <f t="shared" si="39"/>
        <v>361</v>
      </c>
      <c r="BH33" s="370">
        <f t="shared" si="39"/>
        <v>1620000</v>
      </c>
      <c r="BI33" s="370">
        <f t="shared" si="39"/>
        <v>0</v>
      </c>
      <c r="BJ33" s="370">
        <f t="shared" si="39"/>
        <v>0</v>
      </c>
      <c r="BK33" s="473">
        <f>SUM(BK19:BK32)</f>
        <v>8382</v>
      </c>
      <c r="BL33" s="473">
        <f>SUM(BL19:BL32)</f>
        <v>39840000</v>
      </c>
      <c r="BM33" s="370"/>
      <c r="BN33" s="370"/>
      <c r="BO33" s="440">
        <f>SUM(BO19:BO32)</f>
        <v>0</v>
      </c>
      <c r="BP33" s="440">
        <f t="shared" ref="BP33:BW33" si="40">SUM(BP19:BP32)</f>
        <v>0</v>
      </c>
      <c r="BQ33" s="440">
        <f t="shared" si="40"/>
        <v>39840000</v>
      </c>
      <c r="BR33" s="440">
        <f t="shared" si="40"/>
        <v>0</v>
      </c>
      <c r="BS33" s="440">
        <f t="shared" si="40"/>
        <v>39840000</v>
      </c>
      <c r="BT33" s="440">
        <f t="shared" si="40"/>
        <v>0</v>
      </c>
      <c r="BU33" s="440">
        <f t="shared" si="40"/>
        <v>0</v>
      </c>
      <c r="BV33" s="440">
        <f t="shared" si="40"/>
        <v>0</v>
      </c>
      <c r="BW33" s="440">
        <f t="shared" si="40"/>
        <v>39840000</v>
      </c>
    </row>
    <row r="34" spans="1:75" s="138" customFormat="1" x14ac:dyDescent="0.25">
      <c r="A34" s="474"/>
      <c r="B34" s="408">
        <v>21340</v>
      </c>
      <c r="C34" s="377"/>
      <c r="D34" s="374" t="s">
        <v>646</v>
      </c>
      <c r="E34" s="432"/>
      <c r="F34" s="409"/>
      <c r="G34" s="395"/>
      <c r="H34" s="475"/>
      <c r="I34" s="475"/>
      <c r="J34" s="475"/>
      <c r="K34" s="475"/>
      <c r="L34" s="475"/>
      <c r="M34" s="475"/>
      <c r="N34" s="475"/>
      <c r="O34" s="475"/>
      <c r="P34" s="475"/>
      <c r="Q34" s="475"/>
      <c r="R34" s="475"/>
      <c r="S34" s="476"/>
      <c r="T34" s="476"/>
      <c r="U34" s="476"/>
      <c r="V34" s="476"/>
      <c r="W34" s="433"/>
      <c r="X34" s="433"/>
      <c r="Y34" s="433"/>
      <c r="Z34" s="433"/>
      <c r="AA34" s="476"/>
      <c r="AB34" s="433"/>
      <c r="AC34" s="476"/>
      <c r="AD34" s="433"/>
      <c r="AE34" s="476"/>
      <c r="AF34" s="433"/>
      <c r="AG34" s="476"/>
      <c r="AH34" s="433"/>
      <c r="AI34" s="476"/>
      <c r="AJ34" s="433"/>
      <c r="AK34" s="476"/>
      <c r="AL34" s="433"/>
      <c r="AM34" s="476"/>
      <c r="AN34" s="433"/>
      <c r="AO34" s="476"/>
      <c r="AP34" s="433"/>
      <c r="AQ34" s="476"/>
      <c r="AR34" s="433"/>
      <c r="AS34" s="476"/>
      <c r="AT34" s="433"/>
      <c r="AU34" s="476"/>
      <c r="AV34" s="433"/>
      <c r="AW34" s="476"/>
      <c r="AX34" s="433"/>
      <c r="AY34" s="338"/>
      <c r="AZ34" s="433"/>
      <c r="BA34" s="352"/>
      <c r="BB34" s="433"/>
      <c r="BC34" s="476"/>
      <c r="BD34" s="433"/>
      <c r="BE34" s="476"/>
      <c r="BF34" s="433"/>
      <c r="BG34" s="476"/>
      <c r="BH34" s="433"/>
      <c r="BI34" s="476"/>
      <c r="BJ34" s="433"/>
      <c r="BK34" s="476"/>
      <c r="BL34" s="433"/>
      <c r="BM34" s="477"/>
      <c r="BN34" s="361"/>
      <c r="BO34" s="475">
        <f>H34</f>
        <v>0</v>
      </c>
      <c r="BP34" s="340"/>
      <c r="BQ34" s="340"/>
      <c r="BR34" s="340"/>
      <c r="BS34" s="340">
        <f t="shared" ref="BS34:BS39" si="41">BO34+BP34+BQ34+BR34</f>
        <v>0</v>
      </c>
      <c r="BT34" s="340"/>
      <c r="BU34" s="340"/>
      <c r="BV34" s="340">
        <f>BT34+BU34</f>
        <v>0</v>
      </c>
      <c r="BW34" s="478">
        <f t="shared" ref="BW34:BW39" si="42">BS34+BV34</f>
        <v>0</v>
      </c>
    </row>
    <row r="35" spans="1:75" s="258" customFormat="1" x14ac:dyDescent="0.25">
      <c r="A35" s="474"/>
      <c r="B35" s="408"/>
      <c r="C35" s="443" t="s">
        <v>774</v>
      </c>
      <c r="D35" s="479" t="s">
        <v>748</v>
      </c>
      <c r="E35" s="432" t="s">
        <v>75</v>
      </c>
      <c r="F35" s="409">
        <v>6000</v>
      </c>
      <c r="G35" s="465">
        <f>BK35</f>
        <v>0</v>
      </c>
      <c r="H35" s="475">
        <f>G35*F35</f>
        <v>0</v>
      </c>
      <c r="I35" s="475">
        <f>H35*0.1</f>
        <v>0</v>
      </c>
      <c r="J35" s="475">
        <f>H35*0.8</f>
        <v>0</v>
      </c>
      <c r="K35" s="475"/>
      <c r="L35" s="475"/>
      <c r="M35" s="475"/>
      <c r="N35" s="475"/>
      <c r="O35" s="475"/>
      <c r="P35" s="475"/>
      <c r="Q35" s="475">
        <f>H35*0.1</f>
        <v>0</v>
      </c>
      <c r="R35" s="475"/>
      <c r="S35" s="468">
        <f>G35*0.15</f>
        <v>0</v>
      </c>
      <c r="T35" s="468">
        <f>G35*0.7</f>
        <v>0</v>
      </c>
      <c r="U35" s="468">
        <f>G35:G35*0.15</f>
        <v>0</v>
      </c>
      <c r="V35" s="468"/>
      <c r="W35" s="465">
        <f>S35*F35</f>
        <v>0</v>
      </c>
      <c r="X35" s="465">
        <f>T35*F35</f>
        <v>0</v>
      </c>
      <c r="Y35" s="465">
        <f>U35*F35</f>
        <v>0</v>
      </c>
      <c r="Z35" s="465">
        <f>V35*F35</f>
        <v>0</v>
      </c>
      <c r="AA35" s="476">
        <v>0</v>
      </c>
      <c r="AB35" s="433">
        <f>AA35*F35</f>
        <v>0</v>
      </c>
      <c r="AC35" s="476">
        <v>0</v>
      </c>
      <c r="AD35" s="433">
        <f>AC35*F35</f>
        <v>0</v>
      </c>
      <c r="AE35" s="476">
        <v>0</v>
      </c>
      <c r="AF35" s="433">
        <f>AE35*F35</f>
        <v>0</v>
      </c>
      <c r="AG35" s="476">
        <v>0</v>
      </c>
      <c r="AH35" s="433">
        <f>AG35*F35</f>
        <v>0</v>
      </c>
      <c r="AI35" s="476">
        <v>0</v>
      </c>
      <c r="AJ35" s="433">
        <f>AI35*F35</f>
        <v>0</v>
      </c>
      <c r="AK35" s="476">
        <v>0</v>
      </c>
      <c r="AL35" s="433">
        <f>AK35*F35</f>
        <v>0</v>
      </c>
      <c r="AM35" s="476">
        <v>0</v>
      </c>
      <c r="AN35" s="433">
        <f>AM35*F35</f>
        <v>0</v>
      </c>
      <c r="AO35" s="476">
        <v>0</v>
      </c>
      <c r="AP35" s="433">
        <f>AO35*F35</f>
        <v>0</v>
      </c>
      <c r="AQ35" s="476">
        <v>0</v>
      </c>
      <c r="AR35" s="433">
        <f>AQ35*F35</f>
        <v>0</v>
      </c>
      <c r="AS35" s="476">
        <v>0</v>
      </c>
      <c r="AT35" s="433">
        <f>AS35*F35</f>
        <v>0</v>
      </c>
      <c r="AU35" s="476">
        <v>0</v>
      </c>
      <c r="AV35" s="433">
        <f>AU35*F35</f>
        <v>0</v>
      </c>
      <c r="AW35" s="476">
        <v>0</v>
      </c>
      <c r="AX35" s="433">
        <f>AW35*F35</f>
        <v>0</v>
      </c>
      <c r="AY35" s="338">
        <v>0</v>
      </c>
      <c r="AZ35" s="433">
        <f>AY35*F35</f>
        <v>0</v>
      </c>
      <c r="BA35" s="352">
        <v>0</v>
      </c>
      <c r="BB35" s="433">
        <f>BA35*F35</f>
        <v>0</v>
      </c>
      <c r="BC35" s="476">
        <v>0</v>
      </c>
      <c r="BD35" s="433">
        <f>BC35*F35</f>
        <v>0</v>
      </c>
      <c r="BE35" s="476">
        <v>0</v>
      </c>
      <c r="BF35" s="433">
        <f>BE35*F35</f>
        <v>0</v>
      </c>
      <c r="BG35" s="476">
        <v>0</v>
      </c>
      <c r="BH35" s="433">
        <f>BG35*F35</f>
        <v>0</v>
      </c>
      <c r="BI35" s="476"/>
      <c r="BJ35" s="433">
        <f>BI35*F35</f>
        <v>0</v>
      </c>
      <c r="BK35" s="433">
        <f t="shared" ref="BK35:BL39" si="43">AA35+AC35+AE35+AG35+AI35+AK35+AM35+AO35+AQ35+AS35+AU35+AW35+AY35+BA35+BC35+BE35+BG35+BI35</f>
        <v>0</v>
      </c>
      <c r="BL35" s="433">
        <f t="shared" si="43"/>
        <v>0</v>
      </c>
      <c r="BM35" s="480" t="s">
        <v>215</v>
      </c>
      <c r="BN35" s="361"/>
      <c r="BO35" s="475"/>
      <c r="BP35" s="340"/>
      <c r="BQ35" s="340">
        <f>H35</f>
        <v>0</v>
      </c>
      <c r="BR35" s="340"/>
      <c r="BS35" s="340">
        <f t="shared" si="41"/>
        <v>0</v>
      </c>
      <c r="BT35" s="340"/>
      <c r="BU35" s="340"/>
      <c r="BV35" s="340"/>
      <c r="BW35" s="478">
        <f t="shared" si="42"/>
        <v>0</v>
      </c>
    </row>
    <row r="36" spans="1:75" s="262" customFormat="1" x14ac:dyDescent="0.25">
      <c r="A36" s="463"/>
      <c r="B36" s="432"/>
      <c r="C36" s="443" t="s">
        <v>776</v>
      </c>
      <c r="D36" s="479" t="s">
        <v>750</v>
      </c>
      <c r="E36" s="432" t="s">
        <v>75</v>
      </c>
      <c r="F36" s="409">
        <v>9000</v>
      </c>
      <c r="G36" s="465">
        <f>BK36</f>
        <v>0</v>
      </c>
      <c r="H36" s="475">
        <f>G36*F36</f>
        <v>0</v>
      </c>
      <c r="I36" s="475">
        <f>H36*0.1</f>
        <v>0</v>
      </c>
      <c r="J36" s="475">
        <f>H36*0.8</f>
        <v>0</v>
      </c>
      <c r="K36" s="475"/>
      <c r="L36" s="475"/>
      <c r="M36" s="475"/>
      <c r="N36" s="475"/>
      <c r="O36" s="475"/>
      <c r="P36" s="475"/>
      <c r="Q36" s="475">
        <f>H36*0.1</f>
        <v>0</v>
      </c>
      <c r="R36" s="475"/>
      <c r="S36" s="468">
        <f>G36*0.15</f>
        <v>0</v>
      </c>
      <c r="T36" s="468">
        <f>G36*0.7</f>
        <v>0</v>
      </c>
      <c r="U36" s="468">
        <f>G36:G36*0.15</f>
        <v>0</v>
      </c>
      <c r="V36" s="468"/>
      <c r="W36" s="465">
        <f>S36*F36</f>
        <v>0</v>
      </c>
      <c r="X36" s="465">
        <f>T36*F36</f>
        <v>0</v>
      </c>
      <c r="Y36" s="465">
        <f>U36*F36</f>
        <v>0</v>
      </c>
      <c r="Z36" s="465">
        <f>V36*F36</f>
        <v>0</v>
      </c>
      <c r="AA36" s="476">
        <v>0</v>
      </c>
      <c r="AB36" s="433">
        <f>AA36*F36</f>
        <v>0</v>
      </c>
      <c r="AC36" s="476">
        <v>0</v>
      </c>
      <c r="AD36" s="433">
        <f>AC36*F36</f>
        <v>0</v>
      </c>
      <c r="AE36" s="476">
        <v>0</v>
      </c>
      <c r="AF36" s="433">
        <f>AE36*F36</f>
        <v>0</v>
      </c>
      <c r="AG36" s="476">
        <v>0</v>
      </c>
      <c r="AH36" s="433">
        <f>AG36*F36</f>
        <v>0</v>
      </c>
      <c r="AI36" s="476">
        <v>0</v>
      </c>
      <c r="AJ36" s="433">
        <f>AI36*F36</f>
        <v>0</v>
      </c>
      <c r="AK36" s="476">
        <v>0</v>
      </c>
      <c r="AL36" s="433">
        <f>AK36*F36</f>
        <v>0</v>
      </c>
      <c r="AM36" s="476">
        <v>0</v>
      </c>
      <c r="AN36" s="433">
        <f>AM36*F36</f>
        <v>0</v>
      </c>
      <c r="AO36" s="476">
        <v>0</v>
      </c>
      <c r="AP36" s="433">
        <f>AO36*F36</f>
        <v>0</v>
      </c>
      <c r="AQ36" s="476">
        <v>0</v>
      </c>
      <c r="AR36" s="433">
        <f>AQ36*F36</f>
        <v>0</v>
      </c>
      <c r="AS36" s="476">
        <v>0</v>
      </c>
      <c r="AT36" s="433">
        <f>AS36*F36</f>
        <v>0</v>
      </c>
      <c r="AU36" s="476">
        <v>0</v>
      </c>
      <c r="AV36" s="433">
        <f>AU36*F36</f>
        <v>0</v>
      </c>
      <c r="AW36" s="476">
        <v>0</v>
      </c>
      <c r="AX36" s="433">
        <f>AW36*F36</f>
        <v>0</v>
      </c>
      <c r="AY36" s="338">
        <v>0</v>
      </c>
      <c r="AZ36" s="433">
        <f>AY36*F36</f>
        <v>0</v>
      </c>
      <c r="BA36" s="352">
        <v>0</v>
      </c>
      <c r="BB36" s="433">
        <f>BA36*F36</f>
        <v>0</v>
      </c>
      <c r="BC36" s="476">
        <v>0</v>
      </c>
      <c r="BD36" s="433">
        <f>BC36*F36</f>
        <v>0</v>
      </c>
      <c r="BE36" s="476">
        <v>0</v>
      </c>
      <c r="BF36" s="433">
        <f>BE36*F36</f>
        <v>0</v>
      </c>
      <c r="BG36" s="476">
        <v>0</v>
      </c>
      <c r="BH36" s="433">
        <f>BG36*F36</f>
        <v>0</v>
      </c>
      <c r="BI36" s="476"/>
      <c r="BJ36" s="433">
        <f>BI36*F36</f>
        <v>0</v>
      </c>
      <c r="BK36" s="433">
        <f t="shared" si="43"/>
        <v>0</v>
      </c>
      <c r="BL36" s="433">
        <f t="shared" si="43"/>
        <v>0</v>
      </c>
      <c r="BM36" s="481" t="s">
        <v>215</v>
      </c>
      <c r="BN36" s="482"/>
      <c r="BO36" s="475"/>
      <c r="BP36" s="483"/>
      <c r="BQ36" s="483">
        <f>H36</f>
        <v>0</v>
      </c>
      <c r="BR36" s="483"/>
      <c r="BS36" s="483">
        <f t="shared" si="41"/>
        <v>0</v>
      </c>
      <c r="BT36" s="483"/>
      <c r="BU36" s="483"/>
      <c r="BV36" s="483"/>
      <c r="BW36" s="484">
        <f t="shared" si="42"/>
        <v>0</v>
      </c>
    </row>
    <row r="37" spans="1:75" s="262" customFormat="1" x14ac:dyDescent="0.25">
      <c r="A37" s="463"/>
      <c r="B37" s="432"/>
      <c r="C37" s="443" t="s">
        <v>777</v>
      </c>
      <c r="D37" s="479" t="s">
        <v>609</v>
      </c>
      <c r="E37" s="432" t="s">
        <v>75</v>
      </c>
      <c r="F37" s="409">
        <v>9000</v>
      </c>
      <c r="G37" s="395">
        <f>BK37</f>
        <v>0</v>
      </c>
      <c r="H37" s="475">
        <f>G37*F37</f>
        <v>0</v>
      </c>
      <c r="I37" s="475">
        <f>H37*0.1</f>
        <v>0</v>
      </c>
      <c r="J37" s="475">
        <f>H37*0.8</f>
        <v>0</v>
      </c>
      <c r="K37" s="475"/>
      <c r="L37" s="475"/>
      <c r="M37" s="475"/>
      <c r="N37" s="475"/>
      <c r="O37" s="475"/>
      <c r="P37" s="475"/>
      <c r="Q37" s="475">
        <f>H37*0.1</f>
        <v>0</v>
      </c>
      <c r="R37" s="475"/>
      <c r="S37" s="468">
        <f>G37*0.15</f>
        <v>0</v>
      </c>
      <c r="T37" s="468">
        <f>G37*0.7</f>
        <v>0</v>
      </c>
      <c r="U37" s="468">
        <f>G37:G37*0.15</f>
        <v>0</v>
      </c>
      <c r="V37" s="468"/>
      <c r="W37" s="465">
        <f>S37*F37</f>
        <v>0</v>
      </c>
      <c r="X37" s="465">
        <f>T37*F37</f>
        <v>0</v>
      </c>
      <c r="Y37" s="465">
        <f>U37*F37</f>
        <v>0</v>
      </c>
      <c r="Z37" s="465">
        <f>V37*F37</f>
        <v>0</v>
      </c>
      <c r="AA37" s="476">
        <v>0</v>
      </c>
      <c r="AB37" s="433"/>
      <c r="AC37" s="476">
        <v>0</v>
      </c>
      <c r="AD37" s="433"/>
      <c r="AE37" s="476">
        <v>0</v>
      </c>
      <c r="AF37" s="433"/>
      <c r="AG37" s="476">
        <v>0</v>
      </c>
      <c r="AH37" s="433"/>
      <c r="AI37" s="476">
        <v>0</v>
      </c>
      <c r="AJ37" s="433"/>
      <c r="AK37" s="476">
        <v>0</v>
      </c>
      <c r="AL37" s="433"/>
      <c r="AM37" s="476"/>
      <c r="AN37" s="433"/>
      <c r="AO37" s="476"/>
      <c r="AP37" s="433"/>
      <c r="AQ37" s="476"/>
      <c r="AR37" s="433"/>
      <c r="AS37" s="476"/>
      <c r="AT37" s="433"/>
      <c r="AU37" s="476"/>
      <c r="AV37" s="433"/>
      <c r="AW37" s="476">
        <v>0</v>
      </c>
      <c r="AX37" s="433">
        <f>AW37*F37</f>
        <v>0</v>
      </c>
      <c r="AY37" s="338"/>
      <c r="AZ37" s="433"/>
      <c r="BA37" s="352">
        <v>0</v>
      </c>
      <c r="BB37" s="433"/>
      <c r="BC37" s="476">
        <v>0</v>
      </c>
      <c r="BD37" s="433"/>
      <c r="BE37" s="476">
        <v>0</v>
      </c>
      <c r="BF37" s="433"/>
      <c r="BG37" s="476">
        <v>0</v>
      </c>
      <c r="BH37" s="433">
        <f>BG37*F37</f>
        <v>0</v>
      </c>
      <c r="BI37" s="476"/>
      <c r="BJ37" s="433"/>
      <c r="BK37" s="433">
        <f>AA37+AC37+AE37+AG37+AI37+AK37+AM37+AO37+AQ37+AS37+AU37+AW37+AY37+BA37+BC37+BE37+BG37+BI37</f>
        <v>0</v>
      </c>
      <c r="BL37" s="433">
        <f>AB37+AD37+AF37+AH37+AJ37+AL37+AN37+AP37+AR37+AT37+AV37+AX37+AZ37+BB37+BD37+BF37+BH37+BJ37</f>
        <v>0</v>
      </c>
      <c r="BM37" s="481" t="s">
        <v>215</v>
      </c>
      <c r="BN37" s="482"/>
      <c r="BO37" s="475"/>
      <c r="BP37" s="483"/>
      <c r="BQ37" s="483">
        <f>H37</f>
        <v>0</v>
      </c>
      <c r="BR37" s="483"/>
      <c r="BS37" s="483">
        <f t="shared" si="41"/>
        <v>0</v>
      </c>
      <c r="BT37" s="483"/>
      <c r="BU37" s="483"/>
      <c r="BV37" s="483"/>
      <c r="BW37" s="484">
        <f t="shared" si="42"/>
        <v>0</v>
      </c>
    </row>
    <row r="38" spans="1:75" s="137" customFormat="1" ht="27.75" customHeight="1" x14ac:dyDescent="0.25">
      <c r="A38" s="463"/>
      <c r="B38" s="432"/>
      <c r="C38" s="443" t="s">
        <v>778</v>
      </c>
      <c r="D38" s="479" t="s">
        <v>749</v>
      </c>
      <c r="E38" s="432" t="s">
        <v>75</v>
      </c>
      <c r="F38" s="409">
        <v>750</v>
      </c>
      <c r="G38" s="395">
        <f>BK38</f>
        <v>1015</v>
      </c>
      <c r="H38" s="395">
        <f>BL38</f>
        <v>761250</v>
      </c>
      <c r="I38" s="475">
        <f>H38*0.1</f>
        <v>76125</v>
      </c>
      <c r="J38" s="475">
        <f>H38*0.8</f>
        <v>609000</v>
      </c>
      <c r="K38" s="475"/>
      <c r="L38" s="475"/>
      <c r="M38" s="475"/>
      <c r="N38" s="475"/>
      <c r="O38" s="475"/>
      <c r="P38" s="475"/>
      <c r="Q38" s="475">
        <f>H38*0.1</f>
        <v>76125</v>
      </c>
      <c r="R38" s="475"/>
      <c r="S38" s="468">
        <f>G38*0.15</f>
        <v>152.25</v>
      </c>
      <c r="T38" s="468">
        <f>G38*0.7</f>
        <v>710.5</v>
      </c>
      <c r="U38" s="468">
        <f>G38:G38*0.15</f>
        <v>152.25</v>
      </c>
      <c r="V38" s="468"/>
      <c r="W38" s="465">
        <f>S38*F38</f>
        <v>114187.5</v>
      </c>
      <c r="X38" s="465">
        <f>T38*F38</f>
        <v>532875</v>
      </c>
      <c r="Y38" s="465">
        <f>U38*F38</f>
        <v>114187.5</v>
      </c>
      <c r="Z38" s="465">
        <f>V38*F38</f>
        <v>0</v>
      </c>
      <c r="AA38" s="476">
        <v>200</v>
      </c>
      <c r="AB38" s="433">
        <f>AA38*F38</f>
        <v>150000</v>
      </c>
      <c r="AC38" s="476">
        <v>50</v>
      </c>
      <c r="AD38" s="433">
        <f>AC38*F38</f>
        <v>37500</v>
      </c>
      <c r="AE38" s="476">
        <v>120</v>
      </c>
      <c r="AF38" s="433">
        <f>AE38*F38</f>
        <v>90000</v>
      </c>
      <c r="AG38" s="476">
        <v>50</v>
      </c>
      <c r="AH38" s="433">
        <f>AG38*F38</f>
        <v>37500</v>
      </c>
      <c r="AI38" s="476">
        <v>0</v>
      </c>
      <c r="AJ38" s="433">
        <f>AI38*F38</f>
        <v>0</v>
      </c>
      <c r="AK38" s="476">
        <v>0</v>
      </c>
      <c r="AL38" s="433">
        <f>AK38*F38</f>
        <v>0</v>
      </c>
      <c r="AM38" s="476">
        <v>100</v>
      </c>
      <c r="AN38" s="433">
        <f>AM38*F38</f>
        <v>75000</v>
      </c>
      <c r="AO38" s="476">
        <v>10</v>
      </c>
      <c r="AP38" s="433">
        <f>AO38*F38</f>
        <v>7500</v>
      </c>
      <c r="AQ38" s="476">
        <v>10</v>
      </c>
      <c r="AR38" s="433">
        <f>AQ38*F38</f>
        <v>7500</v>
      </c>
      <c r="AS38" s="476">
        <v>100</v>
      </c>
      <c r="AT38" s="433">
        <f>AS38*F38</f>
        <v>75000</v>
      </c>
      <c r="AU38" s="485">
        <v>40</v>
      </c>
      <c r="AV38" s="433">
        <f>AU38*F38</f>
        <v>30000</v>
      </c>
      <c r="AW38" s="476">
        <v>5</v>
      </c>
      <c r="AX38" s="433">
        <f>AW38*F38</f>
        <v>3750</v>
      </c>
      <c r="AY38" s="338">
        <v>20</v>
      </c>
      <c r="AZ38" s="433">
        <f>AY38*F38</f>
        <v>15000</v>
      </c>
      <c r="BA38" s="352">
        <v>200</v>
      </c>
      <c r="BB38" s="433">
        <f>BA38*F38</f>
        <v>150000</v>
      </c>
      <c r="BC38" s="476">
        <v>50</v>
      </c>
      <c r="BD38" s="433">
        <f>BC38*F38</f>
        <v>37500</v>
      </c>
      <c r="BE38" s="476">
        <v>50</v>
      </c>
      <c r="BF38" s="433">
        <f>BE38*F38</f>
        <v>37500</v>
      </c>
      <c r="BG38" s="476">
        <v>10</v>
      </c>
      <c r="BH38" s="433">
        <f>BG38*F38</f>
        <v>7500</v>
      </c>
      <c r="BI38" s="476"/>
      <c r="BJ38" s="433">
        <f>BI38*F38</f>
        <v>0</v>
      </c>
      <c r="BK38" s="433">
        <f t="shared" si="43"/>
        <v>1015</v>
      </c>
      <c r="BL38" s="433">
        <f t="shared" si="43"/>
        <v>761250</v>
      </c>
      <c r="BM38" s="481" t="s">
        <v>215</v>
      </c>
      <c r="BN38" s="482"/>
      <c r="BO38" s="475"/>
      <c r="BP38" s="483"/>
      <c r="BQ38" s="483">
        <f>H38</f>
        <v>761250</v>
      </c>
      <c r="BR38" s="483"/>
      <c r="BS38" s="483">
        <f t="shared" si="41"/>
        <v>761250</v>
      </c>
      <c r="BT38" s="483"/>
      <c r="BU38" s="483"/>
      <c r="BV38" s="483"/>
      <c r="BW38" s="484">
        <f t="shared" si="42"/>
        <v>761250</v>
      </c>
    </row>
    <row r="39" spans="1:75" s="262" customFormat="1" ht="33.6" customHeight="1" x14ac:dyDescent="0.25">
      <c r="A39" s="463"/>
      <c r="B39" s="432"/>
      <c r="C39" s="443" t="s">
        <v>779</v>
      </c>
      <c r="D39" s="479" t="s">
        <v>751</v>
      </c>
      <c r="E39" s="432" t="s">
        <v>75</v>
      </c>
      <c r="F39" s="409">
        <v>9000</v>
      </c>
      <c r="G39" s="395">
        <f>BK39</f>
        <v>0</v>
      </c>
      <c r="H39" s="395">
        <f>BL39</f>
        <v>0</v>
      </c>
      <c r="I39" s="475">
        <f>H39*0.1</f>
        <v>0</v>
      </c>
      <c r="J39" s="475">
        <f>H39*0.8</f>
        <v>0</v>
      </c>
      <c r="K39" s="475"/>
      <c r="L39" s="475"/>
      <c r="M39" s="475"/>
      <c r="N39" s="475"/>
      <c r="O39" s="475"/>
      <c r="P39" s="475"/>
      <c r="Q39" s="475">
        <f>H39*0.1</f>
        <v>0</v>
      </c>
      <c r="R39" s="475"/>
      <c r="S39" s="468">
        <f>G39*0.15</f>
        <v>0</v>
      </c>
      <c r="T39" s="468">
        <f>G39*0.7</f>
        <v>0</v>
      </c>
      <c r="U39" s="468">
        <v>2</v>
      </c>
      <c r="V39" s="468"/>
      <c r="W39" s="465">
        <f>H39*0.25</f>
        <v>0</v>
      </c>
      <c r="X39" s="465">
        <f>H39*0.5</f>
        <v>0</v>
      </c>
      <c r="Y39" s="465">
        <f>H39*0.25</f>
        <v>0</v>
      </c>
      <c r="Z39" s="465">
        <f>V39*F39</f>
        <v>0</v>
      </c>
      <c r="AA39" s="476">
        <v>0</v>
      </c>
      <c r="AB39" s="433">
        <f>AA39*F39</f>
        <v>0</v>
      </c>
      <c r="AC39" s="476">
        <v>0</v>
      </c>
      <c r="AD39" s="433">
        <f>AC39*F39</f>
        <v>0</v>
      </c>
      <c r="AE39" s="476">
        <v>0</v>
      </c>
      <c r="AF39" s="433">
        <f>AE39*F39</f>
        <v>0</v>
      </c>
      <c r="AG39" s="476">
        <v>0</v>
      </c>
      <c r="AH39" s="433">
        <f>AG39*F39</f>
        <v>0</v>
      </c>
      <c r="AI39" s="476">
        <v>0</v>
      </c>
      <c r="AJ39" s="433">
        <f>AI39*F39</f>
        <v>0</v>
      </c>
      <c r="AK39" s="476">
        <v>0</v>
      </c>
      <c r="AL39" s="433">
        <f>AK39*F39</f>
        <v>0</v>
      </c>
      <c r="AM39" s="476">
        <v>0</v>
      </c>
      <c r="AN39" s="433">
        <f>AM39*F39</f>
        <v>0</v>
      </c>
      <c r="AO39" s="476">
        <v>0</v>
      </c>
      <c r="AP39" s="433">
        <f>AO39*F39</f>
        <v>0</v>
      </c>
      <c r="AQ39" s="476">
        <v>0</v>
      </c>
      <c r="AR39" s="433">
        <f>AQ39*F39</f>
        <v>0</v>
      </c>
      <c r="AS39" s="476">
        <v>0</v>
      </c>
      <c r="AT39" s="433">
        <v>0</v>
      </c>
      <c r="AU39" s="476">
        <v>0</v>
      </c>
      <c r="AV39" s="433">
        <f>AU39*F39</f>
        <v>0</v>
      </c>
      <c r="AW39" s="476">
        <v>0</v>
      </c>
      <c r="AX39" s="433">
        <f>AW39*F39</f>
        <v>0</v>
      </c>
      <c r="AY39" s="338">
        <v>0</v>
      </c>
      <c r="AZ39" s="433">
        <f>AY39*F39</f>
        <v>0</v>
      </c>
      <c r="BA39" s="352">
        <v>0</v>
      </c>
      <c r="BB39" s="433">
        <f>BA39*F39</f>
        <v>0</v>
      </c>
      <c r="BC39" s="476">
        <v>0</v>
      </c>
      <c r="BD39" s="433">
        <f>BC39*F39</f>
        <v>0</v>
      </c>
      <c r="BE39" s="476">
        <v>0</v>
      </c>
      <c r="BF39" s="433">
        <f>BE39*F39</f>
        <v>0</v>
      </c>
      <c r="BG39" s="476">
        <v>0</v>
      </c>
      <c r="BH39" s="433">
        <f>BG39*F39</f>
        <v>0</v>
      </c>
      <c r="BI39" s="476"/>
      <c r="BJ39" s="433">
        <f>BI39*F39</f>
        <v>0</v>
      </c>
      <c r="BK39" s="433">
        <f t="shared" si="43"/>
        <v>0</v>
      </c>
      <c r="BL39" s="433">
        <f t="shared" si="43"/>
        <v>0</v>
      </c>
      <c r="BM39" s="481" t="s">
        <v>215</v>
      </c>
      <c r="BN39" s="482"/>
      <c r="BO39" s="475"/>
      <c r="BP39" s="483"/>
      <c r="BQ39" s="483">
        <f>H39</f>
        <v>0</v>
      </c>
      <c r="BR39" s="483"/>
      <c r="BS39" s="483">
        <f t="shared" si="41"/>
        <v>0</v>
      </c>
      <c r="BT39" s="483"/>
      <c r="BU39" s="483"/>
      <c r="BV39" s="483"/>
      <c r="BW39" s="484">
        <f t="shared" si="42"/>
        <v>0</v>
      </c>
    </row>
    <row r="40" spans="1:75" s="139" customFormat="1" ht="18" customHeight="1" x14ac:dyDescent="0.25">
      <c r="A40" s="486"/>
      <c r="B40" s="382"/>
      <c r="C40" s="375"/>
      <c r="D40" s="487" t="s">
        <v>3</v>
      </c>
      <c r="E40" s="414"/>
      <c r="F40" s="413"/>
      <c r="G40" s="380">
        <f>SUM(G35:G39)</f>
        <v>1015</v>
      </c>
      <c r="H40" s="380">
        <f>SUM(H35:H39)</f>
        <v>761250</v>
      </c>
      <c r="I40" s="380">
        <f t="shared" ref="I40:BL40" si="44">SUM(I35:I39)</f>
        <v>76125</v>
      </c>
      <c r="J40" s="380">
        <f t="shared" si="44"/>
        <v>609000</v>
      </c>
      <c r="K40" s="380">
        <f t="shared" si="44"/>
        <v>0</v>
      </c>
      <c r="L40" s="380">
        <f t="shared" si="44"/>
        <v>0</v>
      </c>
      <c r="M40" s="380">
        <f t="shared" si="44"/>
        <v>0</v>
      </c>
      <c r="N40" s="380">
        <f t="shared" si="44"/>
        <v>0</v>
      </c>
      <c r="O40" s="380">
        <f t="shared" si="44"/>
        <v>0</v>
      </c>
      <c r="P40" s="380">
        <f t="shared" si="44"/>
        <v>0</v>
      </c>
      <c r="Q40" s="380">
        <f t="shared" si="44"/>
        <v>76125</v>
      </c>
      <c r="R40" s="380">
        <f t="shared" si="44"/>
        <v>0</v>
      </c>
      <c r="S40" s="380">
        <f t="shared" si="44"/>
        <v>152.25</v>
      </c>
      <c r="T40" s="380">
        <f t="shared" si="44"/>
        <v>710.5</v>
      </c>
      <c r="U40" s="380">
        <f t="shared" si="44"/>
        <v>154.25</v>
      </c>
      <c r="V40" s="380">
        <f t="shared" si="44"/>
        <v>0</v>
      </c>
      <c r="W40" s="380">
        <f t="shared" si="44"/>
        <v>114187.5</v>
      </c>
      <c r="X40" s="380">
        <f t="shared" si="44"/>
        <v>532875</v>
      </c>
      <c r="Y40" s="380">
        <f t="shared" si="44"/>
        <v>114187.5</v>
      </c>
      <c r="Z40" s="380">
        <f t="shared" si="44"/>
        <v>0</v>
      </c>
      <c r="AA40" s="380">
        <f t="shared" si="44"/>
        <v>200</v>
      </c>
      <c r="AB40" s="380">
        <f t="shared" si="44"/>
        <v>150000</v>
      </c>
      <c r="AC40" s="380">
        <f t="shared" si="44"/>
        <v>50</v>
      </c>
      <c r="AD40" s="380">
        <f t="shared" si="44"/>
        <v>37500</v>
      </c>
      <c r="AE40" s="380">
        <f t="shared" si="44"/>
        <v>120</v>
      </c>
      <c r="AF40" s="380">
        <f t="shared" si="44"/>
        <v>90000</v>
      </c>
      <c r="AG40" s="380">
        <f t="shared" si="44"/>
        <v>50</v>
      </c>
      <c r="AH40" s="380">
        <f t="shared" si="44"/>
        <v>37500</v>
      </c>
      <c r="AI40" s="380">
        <f t="shared" si="44"/>
        <v>0</v>
      </c>
      <c r="AJ40" s="380">
        <f t="shared" si="44"/>
        <v>0</v>
      </c>
      <c r="AK40" s="380">
        <f t="shared" si="44"/>
        <v>0</v>
      </c>
      <c r="AL40" s="380">
        <f t="shared" si="44"/>
        <v>0</v>
      </c>
      <c r="AM40" s="380">
        <f t="shared" si="44"/>
        <v>100</v>
      </c>
      <c r="AN40" s="380">
        <f t="shared" si="44"/>
        <v>75000</v>
      </c>
      <c r="AO40" s="380">
        <f t="shared" si="44"/>
        <v>10</v>
      </c>
      <c r="AP40" s="380">
        <f t="shared" si="44"/>
        <v>7500</v>
      </c>
      <c r="AQ40" s="380">
        <f t="shared" si="44"/>
        <v>10</v>
      </c>
      <c r="AR40" s="380">
        <f t="shared" si="44"/>
        <v>7500</v>
      </c>
      <c r="AS40" s="380">
        <f t="shared" si="44"/>
        <v>100</v>
      </c>
      <c r="AT40" s="380">
        <f t="shared" si="44"/>
        <v>75000</v>
      </c>
      <c r="AU40" s="380">
        <f t="shared" si="44"/>
        <v>40</v>
      </c>
      <c r="AV40" s="380">
        <f t="shared" si="44"/>
        <v>30000</v>
      </c>
      <c r="AW40" s="380">
        <f t="shared" si="44"/>
        <v>5</v>
      </c>
      <c r="AX40" s="380">
        <f t="shared" si="44"/>
        <v>3750</v>
      </c>
      <c r="AY40" s="488">
        <f t="shared" si="44"/>
        <v>20</v>
      </c>
      <c r="AZ40" s="380">
        <f t="shared" si="44"/>
        <v>15000</v>
      </c>
      <c r="BA40" s="488">
        <f t="shared" si="44"/>
        <v>200</v>
      </c>
      <c r="BB40" s="380">
        <f t="shared" si="44"/>
        <v>150000</v>
      </c>
      <c r="BC40" s="380">
        <f t="shared" si="44"/>
        <v>50</v>
      </c>
      <c r="BD40" s="380">
        <f t="shared" si="44"/>
        <v>37500</v>
      </c>
      <c r="BE40" s="380">
        <f t="shared" si="44"/>
        <v>50</v>
      </c>
      <c r="BF40" s="380">
        <f t="shared" si="44"/>
        <v>37500</v>
      </c>
      <c r="BG40" s="380">
        <f t="shared" si="44"/>
        <v>10</v>
      </c>
      <c r="BH40" s="380">
        <f t="shared" si="44"/>
        <v>7500</v>
      </c>
      <c r="BI40" s="380">
        <f t="shared" si="44"/>
        <v>0</v>
      </c>
      <c r="BJ40" s="380">
        <f t="shared" si="44"/>
        <v>0</v>
      </c>
      <c r="BK40" s="380">
        <f t="shared" si="44"/>
        <v>1015</v>
      </c>
      <c r="BL40" s="380">
        <f t="shared" si="44"/>
        <v>761250</v>
      </c>
      <c r="BM40" s="489">
        <f t="shared" ref="BM40:BW40" si="45">SUM(BM35:BM39)</f>
        <v>0</v>
      </c>
      <c r="BN40" s="489">
        <f t="shared" si="45"/>
        <v>0</v>
      </c>
      <c r="BO40" s="489">
        <f t="shared" si="45"/>
        <v>0</v>
      </c>
      <c r="BP40" s="489">
        <f t="shared" si="45"/>
        <v>0</v>
      </c>
      <c r="BQ40" s="489">
        <f t="shared" si="45"/>
        <v>761250</v>
      </c>
      <c r="BR40" s="489">
        <f t="shared" si="45"/>
        <v>0</v>
      </c>
      <c r="BS40" s="489">
        <f t="shared" si="45"/>
        <v>761250</v>
      </c>
      <c r="BT40" s="489">
        <f t="shared" si="45"/>
        <v>0</v>
      </c>
      <c r="BU40" s="489">
        <f t="shared" si="45"/>
        <v>0</v>
      </c>
      <c r="BV40" s="489">
        <f t="shared" si="45"/>
        <v>0</v>
      </c>
      <c r="BW40" s="489">
        <f t="shared" si="45"/>
        <v>761250</v>
      </c>
    </row>
    <row r="41" spans="1:75" s="158" customFormat="1" ht="39.75" customHeight="1" x14ac:dyDescent="0.25">
      <c r="A41" s="474"/>
      <c r="B41" s="408">
        <v>21350</v>
      </c>
      <c r="C41" s="377"/>
      <c r="D41" s="374" t="s">
        <v>647</v>
      </c>
      <c r="E41" s="432"/>
      <c r="F41" s="409"/>
      <c r="G41" s="395"/>
      <c r="H41" s="475"/>
      <c r="I41" s="475"/>
      <c r="J41" s="475"/>
      <c r="K41" s="475"/>
      <c r="L41" s="475"/>
      <c r="M41" s="475"/>
      <c r="N41" s="475"/>
      <c r="O41" s="475"/>
      <c r="P41" s="475"/>
      <c r="Q41" s="475"/>
      <c r="R41" s="475"/>
      <c r="S41" s="392"/>
      <c r="T41" s="392"/>
      <c r="U41" s="392"/>
      <c r="V41" s="392"/>
      <c r="W41" s="391"/>
      <c r="X41" s="391"/>
      <c r="Y41" s="391"/>
      <c r="Z41" s="391"/>
      <c r="AA41" s="392"/>
      <c r="AB41" s="433"/>
      <c r="AC41" s="392"/>
      <c r="AD41" s="433"/>
      <c r="AE41" s="392"/>
      <c r="AF41" s="433"/>
      <c r="AG41" s="392"/>
      <c r="AH41" s="433"/>
      <c r="AI41" s="392"/>
      <c r="AJ41" s="433"/>
      <c r="AK41" s="392"/>
      <c r="AL41" s="433"/>
      <c r="AM41" s="392"/>
      <c r="AN41" s="433"/>
      <c r="AO41" s="392"/>
      <c r="AP41" s="433"/>
      <c r="AQ41" s="392"/>
      <c r="AR41" s="433"/>
      <c r="AS41" s="392"/>
      <c r="AT41" s="433"/>
      <c r="AU41" s="392"/>
      <c r="AV41" s="433"/>
      <c r="AW41" s="392"/>
      <c r="AX41" s="433"/>
      <c r="AY41" s="435"/>
      <c r="AZ41" s="433"/>
      <c r="BA41" s="490"/>
      <c r="BB41" s="433"/>
      <c r="BC41" s="392"/>
      <c r="BD41" s="433"/>
      <c r="BE41" s="392"/>
      <c r="BF41" s="433"/>
      <c r="BG41" s="392"/>
      <c r="BH41" s="433"/>
      <c r="BI41" s="392"/>
      <c r="BJ41" s="433"/>
      <c r="BK41" s="476"/>
      <c r="BL41" s="433"/>
      <c r="BM41" s="491"/>
      <c r="BN41" s="361"/>
      <c r="BO41" s="475">
        <f>H41</f>
        <v>0</v>
      </c>
      <c r="BP41" s="252"/>
      <c r="BQ41" s="252"/>
      <c r="BR41" s="252"/>
      <c r="BS41" s="340">
        <f t="shared" ref="BS41:BS53" si="46">BO41+BP41+BQ41+BR41</f>
        <v>0</v>
      </c>
      <c r="BT41" s="252"/>
      <c r="BU41" s="252"/>
      <c r="BV41" s="340">
        <f>BT41+BU41</f>
        <v>0</v>
      </c>
      <c r="BW41" s="478">
        <f>BS41+BV41</f>
        <v>0</v>
      </c>
    </row>
    <row r="42" spans="1:75" s="263" customFormat="1" ht="24.75" customHeight="1" x14ac:dyDescent="0.25">
      <c r="A42" s="474"/>
      <c r="B42" s="408"/>
      <c r="C42" s="443" t="s">
        <v>780</v>
      </c>
      <c r="D42" s="479" t="s">
        <v>927</v>
      </c>
      <c r="E42" s="432" t="s">
        <v>75</v>
      </c>
      <c r="F42" s="409">
        <v>3000</v>
      </c>
      <c r="G42" s="395">
        <f>BK42</f>
        <v>0</v>
      </c>
      <c r="H42" s="475">
        <f>BL42</f>
        <v>0</v>
      </c>
      <c r="I42" s="475">
        <f t="shared" ref="I42:I63" si="47">H42*0.1</f>
        <v>0</v>
      </c>
      <c r="J42" s="475">
        <f t="shared" ref="J42:J63" si="48">H42*0.8</f>
        <v>0</v>
      </c>
      <c r="K42" s="475"/>
      <c r="L42" s="475"/>
      <c r="M42" s="475"/>
      <c r="N42" s="475"/>
      <c r="O42" s="475"/>
      <c r="P42" s="475"/>
      <c r="Q42" s="475">
        <f t="shared" ref="Q42:Q63" si="49">H42*0.1</f>
        <v>0</v>
      </c>
      <c r="R42" s="475"/>
      <c r="S42" s="468">
        <f>G42*0.15</f>
        <v>0</v>
      </c>
      <c r="T42" s="468">
        <f>G42*0.7</f>
        <v>0</v>
      </c>
      <c r="U42" s="468">
        <f>G42:G42*0.15</f>
        <v>0</v>
      </c>
      <c r="V42" s="392"/>
      <c r="W42" s="465">
        <f t="shared" ref="W42:W63" si="50">S42*F42</f>
        <v>0</v>
      </c>
      <c r="X42" s="465">
        <f t="shared" ref="X42:X63" si="51">T42*F42</f>
        <v>0</v>
      </c>
      <c r="Y42" s="465">
        <f t="shared" ref="Y42:Y63" si="52">U42*F42</f>
        <v>0</v>
      </c>
      <c r="Z42" s="465">
        <f t="shared" ref="Z42:Z63" si="53">V42*F42</f>
        <v>0</v>
      </c>
      <c r="AA42" s="492">
        <v>0</v>
      </c>
      <c r="AB42" s="433">
        <f t="shared" ref="AB42:AB63" si="54">AA42*F42</f>
        <v>0</v>
      </c>
      <c r="AC42" s="392">
        <v>0</v>
      </c>
      <c r="AD42" s="433">
        <f t="shared" ref="AD42:AD63" si="55">AC42*F42</f>
        <v>0</v>
      </c>
      <c r="AE42" s="392">
        <v>0</v>
      </c>
      <c r="AF42" s="433">
        <f t="shared" ref="AF42:AF63" si="56">AE42*F42</f>
        <v>0</v>
      </c>
      <c r="AG42" s="392">
        <v>0</v>
      </c>
      <c r="AH42" s="433">
        <f t="shared" ref="AH42:AH63" si="57">AG42*F42</f>
        <v>0</v>
      </c>
      <c r="AI42" s="392">
        <v>0</v>
      </c>
      <c r="AJ42" s="433">
        <f t="shared" ref="AJ42:AJ63" si="58">AI42*F42</f>
        <v>0</v>
      </c>
      <c r="AK42" s="392">
        <v>0</v>
      </c>
      <c r="AL42" s="433">
        <f t="shared" ref="AL42:AL63" si="59">AK42*F42</f>
        <v>0</v>
      </c>
      <c r="AM42" s="392">
        <v>0</v>
      </c>
      <c r="AN42" s="433">
        <v>0</v>
      </c>
      <c r="AO42" s="392">
        <v>0</v>
      </c>
      <c r="AP42" s="433">
        <f>AO42*F42</f>
        <v>0</v>
      </c>
      <c r="AQ42" s="392">
        <v>0</v>
      </c>
      <c r="AR42" s="433">
        <f t="shared" ref="AR42:AR59" si="60">AQ42*F42</f>
        <v>0</v>
      </c>
      <c r="AS42" s="392">
        <v>0</v>
      </c>
      <c r="AT42" s="433">
        <f>AS42*F42</f>
        <v>0</v>
      </c>
      <c r="AU42" s="392">
        <v>0</v>
      </c>
      <c r="AV42" s="433">
        <f t="shared" ref="AV42:AV63" si="61">AU42*F42</f>
        <v>0</v>
      </c>
      <c r="AW42" s="490">
        <v>0</v>
      </c>
      <c r="AX42" s="433">
        <f t="shared" ref="AX42:AX58" si="62">AW42*F42</f>
        <v>0</v>
      </c>
      <c r="AY42" s="435">
        <v>0</v>
      </c>
      <c r="AZ42" s="433">
        <f>AY42*F42</f>
        <v>0</v>
      </c>
      <c r="BA42" s="490">
        <v>0</v>
      </c>
      <c r="BB42" s="433">
        <f t="shared" ref="BB42:BB63" si="63">BA42*F42</f>
        <v>0</v>
      </c>
      <c r="BC42" s="493">
        <v>0</v>
      </c>
      <c r="BD42" s="433">
        <f t="shared" ref="BD42:BD63" si="64">BC42*F42</f>
        <v>0</v>
      </c>
      <c r="BE42" s="392">
        <v>0</v>
      </c>
      <c r="BF42" s="433">
        <f t="shared" ref="BF42:BF63" si="65">BE42*F42</f>
        <v>0</v>
      </c>
      <c r="BG42" s="392">
        <v>0</v>
      </c>
      <c r="BH42" s="433">
        <f t="shared" ref="BH42:BH63" si="66">BG42*F42</f>
        <v>0</v>
      </c>
      <c r="BI42" s="392"/>
      <c r="BJ42" s="433">
        <f t="shared" ref="BJ42:BJ63" si="67">BI42*F42</f>
        <v>0</v>
      </c>
      <c r="BK42" s="433">
        <f t="shared" ref="BK42:BK63" si="68">AA42+AC42+AE42+AG42+AI42+AK42+AM42+AO42+AQ42+AS42+AU42+AW42+AY42+BA42+BC42+BE42+BG42+BI42</f>
        <v>0</v>
      </c>
      <c r="BL42" s="433">
        <f t="shared" ref="BL42:BL63" si="69">AB42+AD42+AF42+AH42+AJ42+AL42+AN42+AP42+AR42+AT42+AV42+AX42+AZ42+BB42+BD42+BF42+BH42+BJ42</f>
        <v>0</v>
      </c>
      <c r="BM42" s="480" t="s">
        <v>215</v>
      </c>
      <c r="BN42" s="361"/>
      <c r="BO42" s="475"/>
      <c r="BP42" s="252"/>
      <c r="BQ42" s="251">
        <f t="shared" ref="BQ42:BQ53" si="70">H42</f>
        <v>0</v>
      </c>
      <c r="BR42" s="252"/>
      <c r="BS42" s="340">
        <f t="shared" si="46"/>
        <v>0</v>
      </c>
      <c r="BT42" s="252"/>
      <c r="BU42" s="252"/>
      <c r="BV42" s="340"/>
      <c r="BW42" s="478">
        <f t="shared" ref="BW42:BW53" si="71">BS42+BT42+BU42+BV42</f>
        <v>0</v>
      </c>
    </row>
    <row r="43" spans="1:75" s="263" customFormat="1" ht="18" customHeight="1" x14ac:dyDescent="0.25">
      <c r="A43" s="474"/>
      <c r="B43" s="408"/>
      <c r="C43" s="443" t="s">
        <v>781</v>
      </c>
      <c r="D43" s="479" t="s">
        <v>752</v>
      </c>
      <c r="E43" s="432" t="s">
        <v>75</v>
      </c>
      <c r="F43" s="409">
        <v>3000</v>
      </c>
      <c r="G43" s="395">
        <f t="shared" ref="G43:G63" si="72">BK43</f>
        <v>0</v>
      </c>
      <c r="H43" s="475">
        <f>G43*F43</f>
        <v>0</v>
      </c>
      <c r="I43" s="475">
        <f t="shared" si="47"/>
        <v>0</v>
      </c>
      <c r="J43" s="475">
        <f t="shared" si="48"/>
        <v>0</v>
      </c>
      <c r="K43" s="475"/>
      <c r="L43" s="475"/>
      <c r="M43" s="475"/>
      <c r="N43" s="475"/>
      <c r="O43" s="475"/>
      <c r="P43" s="475"/>
      <c r="Q43" s="475">
        <f t="shared" si="49"/>
        <v>0</v>
      </c>
      <c r="R43" s="475"/>
      <c r="S43" s="392"/>
      <c r="T43" s="392">
        <f>G43*0.2</f>
        <v>0</v>
      </c>
      <c r="U43" s="392">
        <f>G43*0.8</f>
        <v>0</v>
      </c>
      <c r="V43" s="392"/>
      <c r="W43" s="465">
        <f t="shared" si="50"/>
        <v>0</v>
      </c>
      <c r="X43" s="465">
        <f t="shared" si="51"/>
        <v>0</v>
      </c>
      <c r="Y43" s="465">
        <f t="shared" si="52"/>
        <v>0</v>
      </c>
      <c r="Z43" s="465">
        <f t="shared" si="53"/>
        <v>0</v>
      </c>
      <c r="AA43" s="492">
        <v>0</v>
      </c>
      <c r="AB43" s="433">
        <f t="shared" si="54"/>
        <v>0</v>
      </c>
      <c r="AC43" s="392">
        <v>0</v>
      </c>
      <c r="AD43" s="433">
        <f t="shared" si="55"/>
        <v>0</v>
      </c>
      <c r="AE43" s="392">
        <v>0</v>
      </c>
      <c r="AF43" s="433">
        <f t="shared" si="56"/>
        <v>0</v>
      </c>
      <c r="AG43" s="392">
        <v>0</v>
      </c>
      <c r="AH43" s="433">
        <f t="shared" si="57"/>
        <v>0</v>
      </c>
      <c r="AI43" s="392">
        <v>0</v>
      </c>
      <c r="AJ43" s="433">
        <f t="shared" si="58"/>
        <v>0</v>
      </c>
      <c r="AK43" s="392">
        <v>0</v>
      </c>
      <c r="AL43" s="433">
        <f t="shared" si="59"/>
        <v>0</v>
      </c>
      <c r="AM43" s="392">
        <v>0</v>
      </c>
      <c r="AN43" s="433">
        <f t="shared" ref="AN43:AN50" si="73">AM43*F43</f>
        <v>0</v>
      </c>
      <c r="AO43" s="392">
        <v>0</v>
      </c>
      <c r="AP43" s="433">
        <f>AO43*F43</f>
        <v>0</v>
      </c>
      <c r="AQ43" s="392">
        <v>0</v>
      </c>
      <c r="AR43" s="433">
        <f t="shared" si="60"/>
        <v>0</v>
      </c>
      <c r="AS43" s="392">
        <v>0</v>
      </c>
      <c r="AT43" s="433">
        <f t="shared" ref="AT43:AT63" si="74">AS43*F43</f>
        <v>0</v>
      </c>
      <c r="AU43" s="392">
        <v>0</v>
      </c>
      <c r="AV43" s="433">
        <f t="shared" si="61"/>
        <v>0</v>
      </c>
      <c r="AW43" s="490">
        <v>0</v>
      </c>
      <c r="AX43" s="433">
        <f t="shared" si="62"/>
        <v>0</v>
      </c>
      <c r="AY43" s="435">
        <v>0</v>
      </c>
      <c r="AZ43" s="433">
        <f t="shared" ref="AZ43:AZ63" si="75">AY43*F43</f>
        <v>0</v>
      </c>
      <c r="BA43" s="490">
        <v>0</v>
      </c>
      <c r="BB43" s="433">
        <f t="shared" si="63"/>
        <v>0</v>
      </c>
      <c r="BC43" s="493">
        <v>0</v>
      </c>
      <c r="BD43" s="433">
        <f t="shared" si="64"/>
        <v>0</v>
      </c>
      <c r="BE43" s="392">
        <v>0</v>
      </c>
      <c r="BF43" s="433">
        <f t="shared" si="65"/>
        <v>0</v>
      </c>
      <c r="BG43" s="392">
        <v>0</v>
      </c>
      <c r="BH43" s="433">
        <f t="shared" si="66"/>
        <v>0</v>
      </c>
      <c r="BI43" s="392"/>
      <c r="BJ43" s="433">
        <f t="shared" si="67"/>
        <v>0</v>
      </c>
      <c r="BK43" s="433">
        <f t="shared" si="68"/>
        <v>0</v>
      </c>
      <c r="BL43" s="433">
        <f t="shared" si="69"/>
        <v>0</v>
      </c>
      <c r="BM43" s="480" t="s">
        <v>215</v>
      </c>
      <c r="BN43" s="361"/>
      <c r="BO43" s="475"/>
      <c r="BP43" s="252"/>
      <c r="BQ43" s="251">
        <f t="shared" si="70"/>
        <v>0</v>
      </c>
      <c r="BR43" s="252"/>
      <c r="BS43" s="340">
        <f t="shared" si="46"/>
        <v>0</v>
      </c>
      <c r="BT43" s="252"/>
      <c r="BU43" s="252"/>
      <c r="BV43" s="340"/>
      <c r="BW43" s="478">
        <f t="shared" si="71"/>
        <v>0</v>
      </c>
    </row>
    <row r="44" spans="1:75" s="263" customFormat="1" ht="18" customHeight="1" x14ac:dyDescent="0.25">
      <c r="A44" s="474"/>
      <c r="B44" s="408"/>
      <c r="C44" s="443" t="s">
        <v>782</v>
      </c>
      <c r="D44" s="479" t="s">
        <v>753</v>
      </c>
      <c r="E44" s="432" t="s">
        <v>75</v>
      </c>
      <c r="F44" s="409">
        <v>19000</v>
      </c>
      <c r="G44" s="395">
        <f t="shared" si="72"/>
        <v>0</v>
      </c>
      <c r="H44" s="475">
        <f>G44*F44</f>
        <v>0</v>
      </c>
      <c r="I44" s="475">
        <f t="shared" si="47"/>
        <v>0</v>
      </c>
      <c r="J44" s="475">
        <f t="shared" si="48"/>
        <v>0</v>
      </c>
      <c r="K44" s="475"/>
      <c r="L44" s="475"/>
      <c r="M44" s="475"/>
      <c r="N44" s="475"/>
      <c r="O44" s="475"/>
      <c r="P44" s="475"/>
      <c r="Q44" s="475">
        <f t="shared" si="49"/>
        <v>0</v>
      </c>
      <c r="R44" s="475"/>
      <c r="S44" s="468">
        <f>G44*0.15</f>
        <v>0</v>
      </c>
      <c r="T44" s="468">
        <f>G44*0.7</f>
        <v>0</v>
      </c>
      <c r="U44" s="468">
        <f>G44:G44*0.15</f>
        <v>0</v>
      </c>
      <c r="V44" s="392"/>
      <c r="W44" s="465">
        <f t="shared" si="50"/>
        <v>0</v>
      </c>
      <c r="X44" s="465">
        <f t="shared" si="51"/>
        <v>0</v>
      </c>
      <c r="Y44" s="465">
        <f t="shared" si="52"/>
        <v>0</v>
      </c>
      <c r="Z44" s="465">
        <f t="shared" si="53"/>
        <v>0</v>
      </c>
      <c r="AA44" s="492">
        <v>0</v>
      </c>
      <c r="AB44" s="433">
        <f t="shared" si="54"/>
        <v>0</v>
      </c>
      <c r="AC44" s="392">
        <v>0</v>
      </c>
      <c r="AD44" s="433">
        <f t="shared" si="55"/>
        <v>0</v>
      </c>
      <c r="AE44" s="392">
        <v>0</v>
      </c>
      <c r="AF44" s="433">
        <f t="shared" si="56"/>
        <v>0</v>
      </c>
      <c r="AG44" s="392">
        <v>0</v>
      </c>
      <c r="AH44" s="433">
        <f t="shared" si="57"/>
        <v>0</v>
      </c>
      <c r="AI44" s="392">
        <v>0</v>
      </c>
      <c r="AJ44" s="433">
        <f t="shared" si="58"/>
        <v>0</v>
      </c>
      <c r="AK44" s="392">
        <v>0</v>
      </c>
      <c r="AL44" s="433">
        <f t="shared" si="59"/>
        <v>0</v>
      </c>
      <c r="AM44" s="392">
        <v>0</v>
      </c>
      <c r="AN44" s="433">
        <f t="shared" si="73"/>
        <v>0</v>
      </c>
      <c r="AO44" s="392">
        <v>0</v>
      </c>
      <c r="AP44" s="433">
        <f>AO44*F44</f>
        <v>0</v>
      </c>
      <c r="AQ44" s="392">
        <v>0</v>
      </c>
      <c r="AR44" s="433">
        <f t="shared" si="60"/>
        <v>0</v>
      </c>
      <c r="AS44" s="392">
        <v>0</v>
      </c>
      <c r="AT44" s="433">
        <f t="shared" si="74"/>
        <v>0</v>
      </c>
      <c r="AU44" s="392">
        <v>0</v>
      </c>
      <c r="AV44" s="433">
        <f t="shared" si="61"/>
        <v>0</v>
      </c>
      <c r="AW44" s="490">
        <v>0</v>
      </c>
      <c r="AX44" s="433">
        <f t="shared" si="62"/>
        <v>0</v>
      </c>
      <c r="AY44" s="435">
        <v>0</v>
      </c>
      <c r="AZ44" s="433">
        <f t="shared" si="75"/>
        <v>0</v>
      </c>
      <c r="BA44" s="490">
        <v>0</v>
      </c>
      <c r="BB44" s="433">
        <f t="shared" si="63"/>
        <v>0</v>
      </c>
      <c r="BC44" s="493">
        <v>0</v>
      </c>
      <c r="BD44" s="433">
        <f t="shared" si="64"/>
        <v>0</v>
      </c>
      <c r="BE44" s="392">
        <v>0</v>
      </c>
      <c r="BF44" s="433">
        <f t="shared" si="65"/>
        <v>0</v>
      </c>
      <c r="BG44" s="392">
        <v>0</v>
      </c>
      <c r="BH44" s="433">
        <f t="shared" si="66"/>
        <v>0</v>
      </c>
      <c r="BI44" s="392"/>
      <c r="BJ44" s="433">
        <f t="shared" si="67"/>
        <v>0</v>
      </c>
      <c r="BK44" s="433">
        <f t="shared" si="68"/>
        <v>0</v>
      </c>
      <c r="BL44" s="433">
        <f t="shared" si="69"/>
        <v>0</v>
      </c>
      <c r="BM44" s="480" t="s">
        <v>215</v>
      </c>
      <c r="BN44" s="361"/>
      <c r="BO44" s="475"/>
      <c r="BP44" s="252"/>
      <c r="BQ44" s="251">
        <f t="shared" si="70"/>
        <v>0</v>
      </c>
      <c r="BR44" s="252"/>
      <c r="BS44" s="340">
        <f t="shared" si="46"/>
        <v>0</v>
      </c>
      <c r="BT44" s="252"/>
      <c r="BU44" s="252"/>
      <c r="BV44" s="340"/>
      <c r="BW44" s="478">
        <f t="shared" si="71"/>
        <v>0</v>
      </c>
    </row>
    <row r="45" spans="1:75" s="263" customFormat="1" ht="19.149999999999999" customHeight="1" x14ac:dyDescent="0.25">
      <c r="A45" s="474"/>
      <c r="B45" s="408"/>
      <c r="C45" s="443" t="s">
        <v>783</v>
      </c>
      <c r="D45" s="479" t="s">
        <v>754</v>
      </c>
      <c r="E45" s="432" t="s">
        <v>75</v>
      </c>
      <c r="F45" s="409">
        <v>6000</v>
      </c>
      <c r="G45" s="395">
        <f t="shared" si="72"/>
        <v>0</v>
      </c>
      <c r="H45" s="395">
        <f t="shared" ref="H45:H63" si="76">BL45</f>
        <v>0</v>
      </c>
      <c r="I45" s="475">
        <f t="shared" si="47"/>
        <v>0</v>
      </c>
      <c r="J45" s="475">
        <f t="shared" si="48"/>
        <v>0</v>
      </c>
      <c r="K45" s="475"/>
      <c r="L45" s="475"/>
      <c r="M45" s="475"/>
      <c r="N45" s="475"/>
      <c r="O45" s="475"/>
      <c r="P45" s="475"/>
      <c r="Q45" s="475">
        <f t="shared" si="49"/>
        <v>0</v>
      </c>
      <c r="R45" s="475"/>
      <c r="S45" s="392"/>
      <c r="T45" s="392">
        <f>G45*0.2</f>
        <v>0</v>
      </c>
      <c r="U45" s="392">
        <f>G45*0.8</f>
        <v>0</v>
      </c>
      <c r="V45" s="392"/>
      <c r="W45" s="465">
        <f t="shared" si="50"/>
        <v>0</v>
      </c>
      <c r="X45" s="465">
        <f>H45*0.25</f>
        <v>0</v>
      </c>
      <c r="Y45" s="465">
        <f>H45*0.75</f>
        <v>0</v>
      </c>
      <c r="Z45" s="465">
        <f t="shared" si="53"/>
        <v>0</v>
      </c>
      <c r="AA45" s="492">
        <v>0</v>
      </c>
      <c r="AB45" s="433">
        <f t="shared" si="54"/>
        <v>0</v>
      </c>
      <c r="AC45" s="392">
        <v>0</v>
      </c>
      <c r="AD45" s="433">
        <f t="shared" si="55"/>
        <v>0</v>
      </c>
      <c r="AE45" s="392">
        <v>0</v>
      </c>
      <c r="AF45" s="433">
        <f t="shared" si="56"/>
        <v>0</v>
      </c>
      <c r="AG45" s="392">
        <v>0</v>
      </c>
      <c r="AH45" s="433">
        <f t="shared" si="57"/>
        <v>0</v>
      </c>
      <c r="AI45" s="392">
        <v>0</v>
      </c>
      <c r="AJ45" s="433">
        <f t="shared" si="58"/>
        <v>0</v>
      </c>
      <c r="AK45" s="392">
        <v>0</v>
      </c>
      <c r="AL45" s="433">
        <f t="shared" si="59"/>
        <v>0</v>
      </c>
      <c r="AM45" s="392">
        <v>0</v>
      </c>
      <c r="AN45" s="433">
        <f t="shared" si="73"/>
        <v>0</v>
      </c>
      <c r="AO45" s="392">
        <v>0</v>
      </c>
      <c r="AP45" s="433">
        <f>AO45*F45</f>
        <v>0</v>
      </c>
      <c r="AQ45" s="392">
        <v>0</v>
      </c>
      <c r="AR45" s="433">
        <f t="shared" si="60"/>
        <v>0</v>
      </c>
      <c r="AS45" s="392">
        <v>0</v>
      </c>
      <c r="AT45" s="433">
        <f t="shared" si="74"/>
        <v>0</v>
      </c>
      <c r="AU45" s="392">
        <v>0</v>
      </c>
      <c r="AV45" s="433">
        <f t="shared" si="61"/>
        <v>0</v>
      </c>
      <c r="AW45" s="490">
        <v>0</v>
      </c>
      <c r="AX45" s="433">
        <f t="shared" si="62"/>
        <v>0</v>
      </c>
      <c r="AY45" s="435">
        <v>0</v>
      </c>
      <c r="AZ45" s="433">
        <f t="shared" si="75"/>
        <v>0</v>
      </c>
      <c r="BA45" s="490">
        <v>0</v>
      </c>
      <c r="BB45" s="433">
        <f t="shared" si="63"/>
        <v>0</v>
      </c>
      <c r="BC45" s="493">
        <v>0</v>
      </c>
      <c r="BD45" s="433">
        <f t="shared" si="64"/>
        <v>0</v>
      </c>
      <c r="BE45" s="392">
        <v>0</v>
      </c>
      <c r="BF45" s="433">
        <f t="shared" si="65"/>
        <v>0</v>
      </c>
      <c r="BG45" s="392">
        <v>0</v>
      </c>
      <c r="BH45" s="433">
        <f t="shared" si="66"/>
        <v>0</v>
      </c>
      <c r="BI45" s="392"/>
      <c r="BJ45" s="433">
        <f t="shared" si="67"/>
        <v>0</v>
      </c>
      <c r="BK45" s="433">
        <f t="shared" si="68"/>
        <v>0</v>
      </c>
      <c r="BL45" s="433">
        <f t="shared" si="69"/>
        <v>0</v>
      </c>
      <c r="BM45" s="480" t="s">
        <v>215</v>
      </c>
      <c r="BN45" s="361"/>
      <c r="BO45" s="475"/>
      <c r="BP45" s="252"/>
      <c r="BQ45" s="251">
        <f t="shared" si="70"/>
        <v>0</v>
      </c>
      <c r="BR45" s="252"/>
      <c r="BS45" s="340">
        <f t="shared" si="46"/>
        <v>0</v>
      </c>
      <c r="BT45" s="252"/>
      <c r="BU45" s="252"/>
      <c r="BV45" s="340"/>
      <c r="BW45" s="478">
        <f t="shared" si="71"/>
        <v>0</v>
      </c>
    </row>
    <row r="46" spans="1:75" s="158" customFormat="1" ht="18" customHeight="1" x14ac:dyDescent="0.25">
      <c r="A46" s="474"/>
      <c r="B46" s="408"/>
      <c r="C46" s="443" t="s">
        <v>784</v>
      </c>
      <c r="D46" s="479" t="s">
        <v>755</v>
      </c>
      <c r="E46" s="432" t="s">
        <v>75</v>
      </c>
      <c r="F46" s="409">
        <v>9000</v>
      </c>
      <c r="G46" s="395">
        <f t="shared" si="72"/>
        <v>85</v>
      </c>
      <c r="H46" s="475">
        <f>G46*F46</f>
        <v>765000</v>
      </c>
      <c r="I46" s="475">
        <f t="shared" si="47"/>
        <v>76500</v>
      </c>
      <c r="J46" s="475">
        <f t="shared" si="48"/>
        <v>612000</v>
      </c>
      <c r="K46" s="475"/>
      <c r="L46" s="475"/>
      <c r="M46" s="475"/>
      <c r="N46" s="475"/>
      <c r="O46" s="475"/>
      <c r="P46" s="475"/>
      <c r="Q46" s="475">
        <f t="shared" si="49"/>
        <v>76500</v>
      </c>
      <c r="R46" s="475"/>
      <c r="S46" s="468">
        <f>G46*0.15</f>
        <v>12.75</v>
      </c>
      <c r="T46" s="468">
        <f>G46*0.85</f>
        <v>72.25</v>
      </c>
      <c r="U46" s="392"/>
      <c r="V46" s="392"/>
      <c r="W46" s="465">
        <f t="shared" si="50"/>
        <v>114750</v>
      </c>
      <c r="X46" s="465">
        <f t="shared" si="51"/>
        <v>650250</v>
      </c>
      <c r="Y46" s="465">
        <f t="shared" si="52"/>
        <v>0</v>
      </c>
      <c r="Z46" s="465">
        <f t="shared" si="53"/>
        <v>0</v>
      </c>
      <c r="AA46" s="492">
        <v>10</v>
      </c>
      <c r="AB46" s="433">
        <f t="shared" si="54"/>
        <v>90000</v>
      </c>
      <c r="AC46" s="392">
        <v>0</v>
      </c>
      <c r="AD46" s="433">
        <f t="shared" si="55"/>
        <v>0</v>
      </c>
      <c r="AE46" s="392">
        <v>0</v>
      </c>
      <c r="AF46" s="433">
        <f t="shared" si="56"/>
        <v>0</v>
      </c>
      <c r="AG46" s="392">
        <v>20</v>
      </c>
      <c r="AH46" s="433">
        <f t="shared" si="57"/>
        <v>180000</v>
      </c>
      <c r="AI46" s="392">
        <v>0</v>
      </c>
      <c r="AJ46" s="433">
        <f t="shared" si="58"/>
        <v>0</v>
      </c>
      <c r="AK46" s="392">
        <v>0</v>
      </c>
      <c r="AL46" s="433">
        <f t="shared" si="59"/>
        <v>0</v>
      </c>
      <c r="AM46" s="392">
        <v>20</v>
      </c>
      <c r="AN46" s="433">
        <f t="shared" si="73"/>
        <v>180000</v>
      </c>
      <c r="AO46" s="392">
        <v>0</v>
      </c>
      <c r="AP46" s="433">
        <f t="shared" ref="AP46:AP59" si="77">AO46*F46</f>
        <v>0</v>
      </c>
      <c r="AQ46" s="392">
        <v>10</v>
      </c>
      <c r="AR46" s="433">
        <f t="shared" si="60"/>
        <v>90000</v>
      </c>
      <c r="AS46" s="392">
        <v>0</v>
      </c>
      <c r="AT46" s="433">
        <f t="shared" si="74"/>
        <v>0</v>
      </c>
      <c r="AU46" s="392">
        <v>0</v>
      </c>
      <c r="AV46" s="433">
        <f t="shared" si="61"/>
        <v>0</v>
      </c>
      <c r="AW46" s="490">
        <v>0</v>
      </c>
      <c r="AX46" s="433">
        <f t="shared" si="62"/>
        <v>0</v>
      </c>
      <c r="AY46" s="435">
        <v>0</v>
      </c>
      <c r="AZ46" s="433">
        <f t="shared" si="75"/>
        <v>0</v>
      </c>
      <c r="BA46" s="490">
        <v>5</v>
      </c>
      <c r="BB46" s="433">
        <f t="shared" si="63"/>
        <v>45000</v>
      </c>
      <c r="BC46" s="493">
        <v>10</v>
      </c>
      <c r="BD46" s="433">
        <f t="shared" si="64"/>
        <v>90000</v>
      </c>
      <c r="BE46" s="392">
        <v>10</v>
      </c>
      <c r="BF46" s="433">
        <f t="shared" si="65"/>
        <v>90000</v>
      </c>
      <c r="BG46" s="392">
        <v>0</v>
      </c>
      <c r="BH46" s="433">
        <f t="shared" si="66"/>
        <v>0</v>
      </c>
      <c r="BI46" s="392"/>
      <c r="BJ46" s="433">
        <f t="shared" si="67"/>
        <v>0</v>
      </c>
      <c r="BK46" s="433">
        <f t="shared" si="68"/>
        <v>85</v>
      </c>
      <c r="BL46" s="433">
        <f t="shared" si="69"/>
        <v>765000</v>
      </c>
      <c r="BM46" s="480" t="s">
        <v>215</v>
      </c>
      <c r="BN46" s="361"/>
      <c r="BO46" s="475"/>
      <c r="BP46" s="252"/>
      <c r="BQ46" s="251">
        <f t="shared" si="70"/>
        <v>765000</v>
      </c>
      <c r="BR46" s="252"/>
      <c r="BS46" s="340">
        <f t="shared" si="46"/>
        <v>765000</v>
      </c>
      <c r="BT46" s="252"/>
      <c r="BU46" s="252"/>
      <c r="BV46" s="340"/>
      <c r="BW46" s="478">
        <f t="shared" si="71"/>
        <v>765000</v>
      </c>
    </row>
    <row r="47" spans="1:75" s="158" customFormat="1" ht="18" customHeight="1" x14ac:dyDescent="0.25">
      <c r="A47" s="474"/>
      <c r="B47" s="408"/>
      <c r="C47" s="443" t="s">
        <v>785</v>
      </c>
      <c r="D47" s="479" t="s">
        <v>756</v>
      </c>
      <c r="E47" s="432" t="s">
        <v>75</v>
      </c>
      <c r="F47" s="409">
        <v>9000</v>
      </c>
      <c r="G47" s="395">
        <f t="shared" si="72"/>
        <v>61</v>
      </c>
      <c r="H47" s="475">
        <f>G47*F47</f>
        <v>549000</v>
      </c>
      <c r="I47" s="475">
        <f t="shared" si="47"/>
        <v>54900</v>
      </c>
      <c r="J47" s="475">
        <f t="shared" si="48"/>
        <v>439200</v>
      </c>
      <c r="K47" s="475"/>
      <c r="L47" s="475"/>
      <c r="M47" s="475"/>
      <c r="N47" s="475"/>
      <c r="O47" s="475"/>
      <c r="P47" s="475"/>
      <c r="Q47" s="475">
        <f t="shared" si="49"/>
        <v>54900</v>
      </c>
      <c r="R47" s="475"/>
      <c r="S47" s="392"/>
      <c r="T47" s="392">
        <f>G47*0.6</f>
        <v>36.6</v>
      </c>
      <c r="U47" s="392">
        <f>G47*0.4</f>
        <v>24.400000000000002</v>
      </c>
      <c r="V47" s="392"/>
      <c r="W47" s="465">
        <f t="shared" si="50"/>
        <v>0</v>
      </c>
      <c r="X47" s="465">
        <f t="shared" si="51"/>
        <v>329400</v>
      </c>
      <c r="Y47" s="465">
        <f t="shared" si="52"/>
        <v>219600.00000000003</v>
      </c>
      <c r="Z47" s="465">
        <f t="shared" si="53"/>
        <v>0</v>
      </c>
      <c r="AA47" s="492">
        <v>0</v>
      </c>
      <c r="AB47" s="433">
        <f t="shared" si="54"/>
        <v>0</v>
      </c>
      <c r="AC47" s="392">
        <v>5</v>
      </c>
      <c r="AD47" s="433">
        <f t="shared" si="55"/>
        <v>45000</v>
      </c>
      <c r="AE47" s="392">
        <v>10</v>
      </c>
      <c r="AF47" s="433">
        <f t="shared" si="56"/>
        <v>90000</v>
      </c>
      <c r="AG47" s="392">
        <v>0</v>
      </c>
      <c r="AH47" s="433">
        <f t="shared" si="57"/>
        <v>0</v>
      </c>
      <c r="AI47" s="392">
        <v>0</v>
      </c>
      <c r="AJ47" s="433">
        <f t="shared" si="58"/>
        <v>0</v>
      </c>
      <c r="AK47" s="392">
        <v>0</v>
      </c>
      <c r="AL47" s="433">
        <f t="shared" si="59"/>
        <v>0</v>
      </c>
      <c r="AM47" s="392">
        <v>0</v>
      </c>
      <c r="AN47" s="433">
        <f t="shared" si="73"/>
        <v>0</v>
      </c>
      <c r="AO47" s="392">
        <v>5</v>
      </c>
      <c r="AP47" s="433">
        <f t="shared" si="77"/>
        <v>45000</v>
      </c>
      <c r="AQ47" s="392">
        <v>0</v>
      </c>
      <c r="AR47" s="433">
        <f t="shared" si="60"/>
        <v>0</v>
      </c>
      <c r="AS47" s="392">
        <v>10</v>
      </c>
      <c r="AT47" s="433">
        <f t="shared" si="74"/>
        <v>90000</v>
      </c>
      <c r="AU47" s="392">
        <v>4</v>
      </c>
      <c r="AV47" s="433">
        <f t="shared" si="61"/>
        <v>36000</v>
      </c>
      <c r="AW47" s="490">
        <v>0</v>
      </c>
      <c r="AX47" s="433">
        <f t="shared" si="62"/>
        <v>0</v>
      </c>
      <c r="AY47" s="435">
        <v>10</v>
      </c>
      <c r="AZ47" s="433">
        <f t="shared" si="75"/>
        <v>90000</v>
      </c>
      <c r="BA47" s="490">
        <v>0</v>
      </c>
      <c r="BB47" s="433">
        <f t="shared" si="63"/>
        <v>0</v>
      </c>
      <c r="BC47" s="493">
        <v>5</v>
      </c>
      <c r="BD47" s="433">
        <f t="shared" si="64"/>
        <v>45000</v>
      </c>
      <c r="BE47" s="392">
        <v>10</v>
      </c>
      <c r="BF47" s="433">
        <f t="shared" si="65"/>
        <v>90000</v>
      </c>
      <c r="BG47" s="392">
        <v>2</v>
      </c>
      <c r="BH47" s="433">
        <f t="shared" si="66"/>
        <v>18000</v>
      </c>
      <c r="BI47" s="392"/>
      <c r="BJ47" s="433">
        <f t="shared" si="67"/>
        <v>0</v>
      </c>
      <c r="BK47" s="433">
        <f t="shared" si="68"/>
        <v>61</v>
      </c>
      <c r="BL47" s="433">
        <f t="shared" si="69"/>
        <v>549000</v>
      </c>
      <c r="BM47" s="480" t="s">
        <v>215</v>
      </c>
      <c r="BN47" s="361"/>
      <c r="BO47" s="475"/>
      <c r="BP47" s="252"/>
      <c r="BQ47" s="251">
        <f t="shared" si="70"/>
        <v>549000</v>
      </c>
      <c r="BR47" s="252"/>
      <c r="BS47" s="340">
        <f t="shared" si="46"/>
        <v>549000</v>
      </c>
      <c r="BT47" s="252"/>
      <c r="BU47" s="252"/>
      <c r="BV47" s="340"/>
      <c r="BW47" s="478">
        <f t="shared" si="71"/>
        <v>549000</v>
      </c>
    </row>
    <row r="48" spans="1:75" s="158" customFormat="1" ht="18" customHeight="1" x14ac:dyDescent="0.25">
      <c r="A48" s="474"/>
      <c r="B48" s="408"/>
      <c r="C48" s="443" t="s">
        <v>786</v>
      </c>
      <c r="D48" s="479" t="s">
        <v>757</v>
      </c>
      <c r="E48" s="432" t="s">
        <v>75</v>
      </c>
      <c r="F48" s="409">
        <v>9000</v>
      </c>
      <c r="G48" s="395">
        <f t="shared" si="72"/>
        <v>109</v>
      </c>
      <c r="H48" s="475">
        <f>G48*F48</f>
        <v>981000</v>
      </c>
      <c r="I48" s="475">
        <f t="shared" si="47"/>
        <v>98100</v>
      </c>
      <c r="J48" s="475">
        <f t="shared" si="48"/>
        <v>784800</v>
      </c>
      <c r="K48" s="475"/>
      <c r="L48" s="475"/>
      <c r="M48" s="475"/>
      <c r="N48" s="475"/>
      <c r="O48" s="475"/>
      <c r="P48" s="475"/>
      <c r="Q48" s="475">
        <f t="shared" si="49"/>
        <v>98100</v>
      </c>
      <c r="R48" s="475"/>
      <c r="S48" s="392"/>
      <c r="T48" s="392">
        <f>G48*0.6</f>
        <v>65.399999999999991</v>
      </c>
      <c r="U48" s="392">
        <f>G48*0.4</f>
        <v>43.6</v>
      </c>
      <c r="V48" s="392"/>
      <c r="W48" s="465">
        <f t="shared" si="50"/>
        <v>0</v>
      </c>
      <c r="X48" s="465">
        <f t="shared" si="51"/>
        <v>588599.99999999988</v>
      </c>
      <c r="Y48" s="465">
        <f t="shared" si="52"/>
        <v>392400</v>
      </c>
      <c r="Z48" s="465">
        <f t="shared" si="53"/>
        <v>0</v>
      </c>
      <c r="AA48" s="492">
        <v>30</v>
      </c>
      <c r="AB48" s="433">
        <f t="shared" si="54"/>
        <v>270000</v>
      </c>
      <c r="AC48" s="392">
        <v>5</v>
      </c>
      <c r="AD48" s="433">
        <f t="shared" si="55"/>
        <v>45000</v>
      </c>
      <c r="AE48" s="392">
        <v>10</v>
      </c>
      <c r="AF48" s="433">
        <f t="shared" si="56"/>
        <v>90000</v>
      </c>
      <c r="AG48" s="392">
        <v>0</v>
      </c>
      <c r="AH48" s="433">
        <f t="shared" si="57"/>
        <v>0</v>
      </c>
      <c r="AI48" s="392">
        <v>0</v>
      </c>
      <c r="AJ48" s="433">
        <f t="shared" si="58"/>
        <v>0</v>
      </c>
      <c r="AK48" s="392">
        <v>5</v>
      </c>
      <c r="AL48" s="433">
        <f t="shared" si="59"/>
        <v>45000</v>
      </c>
      <c r="AM48" s="392">
        <v>0</v>
      </c>
      <c r="AN48" s="433">
        <f t="shared" si="73"/>
        <v>0</v>
      </c>
      <c r="AO48" s="392">
        <v>10</v>
      </c>
      <c r="AP48" s="433">
        <f t="shared" si="77"/>
        <v>90000</v>
      </c>
      <c r="AQ48" s="392">
        <v>0</v>
      </c>
      <c r="AR48" s="433">
        <f t="shared" si="60"/>
        <v>0</v>
      </c>
      <c r="AS48" s="392">
        <v>10</v>
      </c>
      <c r="AT48" s="433">
        <f t="shared" si="74"/>
        <v>90000</v>
      </c>
      <c r="AU48" s="392">
        <v>4</v>
      </c>
      <c r="AV48" s="433">
        <f t="shared" si="61"/>
        <v>36000</v>
      </c>
      <c r="AW48" s="490">
        <v>20</v>
      </c>
      <c r="AX48" s="433">
        <f t="shared" si="62"/>
        <v>180000</v>
      </c>
      <c r="AY48" s="435">
        <v>10</v>
      </c>
      <c r="AZ48" s="433">
        <f t="shared" si="75"/>
        <v>90000</v>
      </c>
      <c r="BA48" s="490">
        <v>0</v>
      </c>
      <c r="BB48" s="433">
        <f t="shared" si="63"/>
        <v>0</v>
      </c>
      <c r="BC48" s="493">
        <v>5</v>
      </c>
      <c r="BD48" s="433">
        <f t="shared" si="64"/>
        <v>45000</v>
      </c>
      <c r="BE48" s="392">
        <v>0</v>
      </c>
      <c r="BF48" s="433">
        <f t="shared" si="65"/>
        <v>0</v>
      </c>
      <c r="BG48" s="392">
        <v>0</v>
      </c>
      <c r="BH48" s="433">
        <f t="shared" si="66"/>
        <v>0</v>
      </c>
      <c r="BI48" s="392"/>
      <c r="BJ48" s="433">
        <f t="shared" si="67"/>
        <v>0</v>
      </c>
      <c r="BK48" s="433">
        <f t="shared" si="68"/>
        <v>109</v>
      </c>
      <c r="BL48" s="433">
        <f t="shared" si="69"/>
        <v>981000</v>
      </c>
      <c r="BM48" s="480" t="s">
        <v>215</v>
      </c>
      <c r="BN48" s="361"/>
      <c r="BO48" s="475"/>
      <c r="BP48" s="252"/>
      <c r="BQ48" s="251">
        <f t="shared" si="70"/>
        <v>981000</v>
      </c>
      <c r="BR48" s="252"/>
      <c r="BS48" s="340">
        <f t="shared" si="46"/>
        <v>981000</v>
      </c>
      <c r="BT48" s="252"/>
      <c r="BU48" s="252"/>
      <c r="BV48" s="340"/>
      <c r="BW48" s="478">
        <f t="shared" si="71"/>
        <v>981000</v>
      </c>
    </row>
    <row r="49" spans="1:75" s="158" customFormat="1" ht="17.25" customHeight="1" x14ac:dyDescent="0.25">
      <c r="A49" s="474"/>
      <c r="B49" s="408"/>
      <c r="C49" s="443" t="s">
        <v>787</v>
      </c>
      <c r="D49" s="494" t="s">
        <v>250</v>
      </c>
      <c r="E49" s="432" t="s">
        <v>75</v>
      </c>
      <c r="F49" s="409">
        <v>9000</v>
      </c>
      <c r="G49" s="395">
        <f t="shared" si="72"/>
        <v>10</v>
      </c>
      <c r="H49" s="475">
        <f>G49*F49</f>
        <v>90000</v>
      </c>
      <c r="I49" s="475">
        <f t="shared" si="47"/>
        <v>9000</v>
      </c>
      <c r="J49" s="475">
        <f t="shared" si="48"/>
        <v>72000</v>
      </c>
      <c r="K49" s="475"/>
      <c r="L49" s="475"/>
      <c r="M49" s="475"/>
      <c r="N49" s="475"/>
      <c r="O49" s="475"/>
      <c r="P49" s="475"/>
      <c r="Q49" s="475">
        <f t="shared" si="49"/>
        <v>9000</v>
      </c>
      <c r="R49" s="475"/>
      <c r="S49" s="392"/>
      <c r="T49" s="392"/>
      <c r="U49" s="392">
        <f t="shared" ref="U49:U54" si="78">G49</f>
        <v>10</v>
      </c>
      <c r="V49" s="392"/>
      <c r="W49" s="465">
        <f t="shared" si="50"/>
        <v>0</v>
      </c>
      <c r="X49" s="465">
        <f t="shared" si="51"/>
        <v>0</v>
      </c>
      <c r="Y49" s="465">
        <f t="shared" si="52"/>
        <v>90000</v>
      </c>
      <c r="Z49" s="465">
        <f t="shared" si="53"/>
        <v>0</v>
      </c>
      <c r="AA49" s="492">
        <v>0</v>
      </c>
      <c r="AB49" s="433">
        <f t="shared" si="54"/>
        <v>0</v>
      </c>
      <c r="AC49" s="392">
        <v>0</v>
      </c>
      <c r="AD49" s="433">
        <f t="shared" si="55"/>
        <v>0</v>
      </c>
      <c r="AE49" s="392">
        <v>0</v>
      </c>
      <c r="AF49" s="433">
        <f t="shared" si="56"/>
        <v>0</v>
      </c>
      <c r="AG49" s="392">
        <v>0</v>
      </c>
      <c r="AH49" s="433">
        <f t="shared" si="57"/>
        <v>0</v>
      </c>
      <c r="AI49" s="392">
        <v>0</v>
      </c>
      <c r="AJ49" s="433">
        <f t="shared" si="58"/>
        <v>0</v>
      </c>
      <c r="AK49" s="392">
        <v>5</v>
      </c>
      <c r="AL49" s="433">
        <f t="shared" si="59"/>
        <v>45000</v>
      </c>
      <c r="AM49" s="392">
        <v>0</v>
      </c>
      <c r="AN49" s="433">
        <f t="shared" si="73"/>
        <v>0</v>
      </c>
      <c r="AO49" s="392">
        <v>0</v>
      </c>
      <c r="AP49" s="433">
        <f t="shared" si="77"/>
        <v>0</v>
      </c>
      <c r="AQ49" s="392">
        <v>0</v>
      </c>
      <c r="AR49" s="433">
        <f t="shared" si="60"/>
        <v>0</v>
      </c>
      <c r="AS49" s="392">
        <v>0</v>
      </c>
      <c r="AT49" s="433">
        <f t="shared" si="74"/>
        <v>0</v>
      </c>
      <c r="AU49" s="392">
        <v>0</v>
      </c>
      <c r="AV49" s="433">
        <f t="shared" si="61"/>
        <v>0</v>
      </c>
      <c r="AW49" s="490">
        <v>0</v>
      </c>
      <c r="AX49" s="433">
        <f t="shared" si="62"/>
        <v>0</v>
      </c>
      <c r="AY49" s="435">
        <v>5</v>
      </c>
      <c r="AZ49" s="433">
        <f t="shared" si="75"/>
        <v>45000</v>
      </c>
      <c r="BA49" s="490">
        <v>0</v>
      </c>
      <c r="BB49" s="433">
        <f t="shared" si="63"/>
        <v>0</v>
      </c>
      <c r="BC49" s="493">
        <v>0</v>
      </c>
      <c r="BD49" s="433">
        <f t="shared" si="64"/>
        <v>0</v>
      </c>
      <c r="BE49" s="392">
        <v>0</v>
      </c>
      <c r="BF49" s="433">
        <f t="shared" si="65"/>
        <v>0</v>
      </c>
      <c r="BG49" s="392">
        <v>0</v>
      </c>
      <c r="BH49" s="433">
        <f t="shared" si="66"/>
        <v>0</v>
      </c>
      <c r="BI49" s="392"/>
      <c r="BJ49" s="433">
        <f t="shared" si="67"/>
        <v>0</v>
      </c>
      <c r="BK49" s="433">
        <f t="shared" si="68"/>
        <v>10</v>
      </c>
      <c r="BL49" s="433">
        <f t="shared" si="69"/>
        <v>90000</v>
      </c>
      <c r="BM49" s="480" t="s">
        <v>215</v>
      </c>
      <c r="BN49" s="361"/>
      <c r="BO49" s="475"/>
      <c r="BP49" s="252"/>
      <c r="BQ49" s="251">
        <f t="shared" si="70"/>
        <v>90000</v>
      </c>
      <c r="BR49" s="252"/>
      <c r="BS49" s="340">
        <f t="shared" si="46"/>
        <v>90000</v>
      </c>
      <c r="BT49" s="252"/>
      <c r="BU49" s="252"/>
      <c r="BV49" s="340"/>
      <c r="BW49" s="478">
        <f t="shared" si="71"/>
        <v>90000</v>
      </c>
    </row>
    <row r="50" spans="1:75" s="263" customFormat="1" ht="18" customHeight="1" x14ac:dyDescent="0.25">
      <c r="A50" s="474"/>
      <c r="B50" s="408"/>
      <c r="C50" s="443" t="s">
        <v>788</v>
      </c>
      <c r="D50" s="479" t="s">
        <v>758</v>
      </c>
      <c r="E50" s="432" t="s">
        <v>75</v>
      </c>
      <c r="F50" s="409">
        <v>80000</v>
      </c>
      <c r="G50" s="395">
        <f t="shared" si="72"/>
        <v>0</v>
      </c>
      <c r="H50" s="395">
        <f>BL50</f>
        <v>0</v>
      </c>
      <c r="I50" s="475">
        <f t="shared" si="47"/>
        <v>0</v>
      </c>
      <c r="J50" s="475">
        <f t="shared" si="48"/>
        <v>0</v>
      </c>
      <c r="K50" s="475"/>
      <c r="L50" s="475"/>
      <c r="M50" s="475"/>
      <c r="N50" s="475"/>
      <c r="O50" s="475"/>
      <c r="P50" s="475"/>
      <c r="Q50" s="475">
        <f t="shared" si="49"/>
        <v>0</v>
      </c>
      <c r="R50" s="475"/>
      <c r="S50" s="392"/>
      <c r="T50" s="392"/>
      <c r="U50" s="392">
        <f t="shared" si="78"/>
        <v>0</v>
      </c>
      <c r="V50" s="392"/>
      <c r="W50" s="465">
        <f t="shared" si="50"/>
        <v>0</v>
      </c>
      <c r="X50" s="465">
        <f t="shared" si="51"/>
        <v>0</v>
      </c>
      <c r="Y50" s="465">
        <f>H50</f>
        <v>0</v>
      </c>
      <c r="Z50" s="465">
        <f t="shared" si="53"/>
        <v>0</v>
      </c>
      <c r="AA50" s="492">
        <v>0</v>
      </c>
      <c r="AB50" s="433">
        <f t="shared" si="54"/>
        <v>0</v>
      </c>
      <c r="AC50" s="392">
        <v>0</v>
      </c>
      <c r="AD50" s="433">
        <f t="shared" si="55"/>
        <v>0</v>
      </c>
      <c r="AE50" s="392">
        <v>0</v>
      </c>
      <c r="AF50" s="433">
        <f t="shared" si="56"/>
        <v>0</v>
      </c>
      <c r="AG50" s="392">
        <v>0</v>
      </c>
      <c r="AH50" s="433">
        <f t="shared" si="57"/>
        <v>0</v>
      </c>
      <c r="AI50" s="392">
        <v>0</v>
      </c>
      <c r="AJ50" s="433">
        <f t="shared" si="58"/>
        <v>0</v>
      </c>
      <c r="AK50" s="392">
        <v>0</v>
      </c>
      <c r="AL50" s="433">
        <f t="shared" si="59"/>
        <v>0</v>
      </c>
      <c r="AM50" s="392">
        <v>0</v>
      </c>
      <c r="AN50" s="433">
        <f t="shared" si="73"/>
        <v>0</v>
      </c>
      <c r="AO50" s="392">
        <v>0</v>
      </c>
      <c r="AP50" s="433">
        <f t="shared" si="77"/>
        <v>0</v>
      </c>
      <c r="AQ50" s="392">
        <v>0</v>
      </c>
      <c r="AR50" s="433">
        <f t="shared" si="60"/>
        <v>0</v>
      </c>
      <c r="AS50" s="392">
        <v>0</v>
      </c>
      <c r="AT50" s="433">
        <f t="shared" si="74"/>
        <v>0</v>
      </c>
      <c r="AU50" s="392">
        <v>0</v>
      </c>
      <c r="AV50" s="433">
        <f t="shared" si="61"/>
        <v>0</v>
      </c>
      <c r="AW50" s="490">
        <v>0</v>
      </c>
      <c r="AX50" s="433">
        <f t="shared" si="62"/>
        <v>0</v>
      </c>
      <c r="AY50" s="435">
        <v>0</v>
      </c>
      <c r="AZ50" s="433">
        <f t="shared" si="75"/>
        <v>0</v>
      </c>
      <c r="BA50" s="490">
        <v>0</v>
      </c>
      <c r="BB50" s="433">
        <f t="shared" si="63"/>
        <v>0</v>
      </c>
      <c r="BC50" s="493">
        <v>0</v>
      </c>
      <c r="BD50" s="433">
        <f t="shared" si="64"/>
        <v>0</v>
      </c>
      <c r="BE50" s="392">
        <v>0</v>
      </c>
      <c r="BF50" s="433">
        <f t="shared" si="65"/>
        <v>0</v>
      </c>
      <c r="BG50" s="392">
        <v>0</v>
      </c>
      <c r="BH50" s="433">
        <f t="shared" si="66"/>
        <v>0</v>
      </c>
      <c r="BI50" s="392"/>
      <c r="BJ50" s="433">
        <f t="shared" si="67"/>
        <v>0</v>
      </c>
      <c r="BK50" s="433">
        <f t="shared" si="68"/>
        <v>0</v>
      </c>
      <c r="BL50" s="433">
        <f t="shared" si="69"/>
        <v>0</v>
      </c>
      <c r="BM50" s="480" t="s">
        <v>215</v>
      </c>
      <c r="BN50" s="361"/>
      <c r="BO50" s="475"/>
      <c r="BP50" s="252"/>
      <c r="BQ50" s="251">
        <f t="shared" si="70"/>
        <v>0</v>
      </c>
      <c r="BR50" s="252"/>
      <c r="BS50" s="340">
        <f t="shared" si="46"/>
        <v>0</v>
      </c>
      <c r="BT50" s="252"/>
      <c r="BU50" s="252"/>
      <c r="BV50" s="340"/>
      <c r="BW50" s="478">
        <f t="shared" si="71"/>
        <v>0</v>
      </c>
    </row>
    <row r="51" spans="1:75" s="263" customFormat="1" ht="20.25" customHeight="1" x14ac:dyDescent="0.25">
      <c r="A51" s="474"/>
      <c r="B51" s="408"/>
      <c r="C51" s="443" t="s">
        <v>789</v>
      </c>
      <c r="D51" s="479" t="s">
        <v>247</v>
      </c>
      <c r="E51" s="432" t="s">
        <v>75</v>
      </c>
      <c r="F51" s="409">
        <v>70000</v>
      </c>
      <c r="G51" s="395">
        <f t="shared" si="72"/>
        <v>0</v>
      </c>
      <c r="H51" s="395">
        <f t="shared" si="76"/>
        <v>0</v>
      </c>
      <c r="I51" s="475">
        <f t="shared" si="47"/>
        <v>0</v>
      </c>
      <c r="J51" s="475">
        <f t="shared" si="48"/>
        <v>0</v>
      </c>
      <c r="K51" s="475"/>
      <c r="L51" s="475"/>
      <c r="M51" s="475"/>
      <c r="N51" s="475"/>
      <c r="O51" s="475"/>
      <c r="P51" s="475"/>
      <c r="Q51" s="475">
        <f t="shared" si="49"/>
        <v>0</v>
      </c>
      <c r="R51" s="475"/>
      <c r="S51" s="392"/>
      <c r="T51" s="392"/>
      <c r="U51" s="392">
        <f t="shared" si="78"/>
        <v>0</v>
      </c>
      <c r="V51" s="392"/>
      <c r="W51" s="465">
        <f t="shared" si="50"/>
        <v>0</v>
      </c>
      <c r="X51" s="465">
        <f t="shared" si="51"/>
        <v>0</v>
      </c>
      <c r="Y51" s="465">
        <f>H51</f>
        <v>0</v>
      </c>
      <c r="Z51" s="465">
        <f t="shared" si="53"/>
        <v>0</v>
      </c>
      <c r="AA51" s="492">
        <v>0</v>
      </c>
      <c r="AB51" s="433">
        <f t="shared" si="54"/>
        <v>0</v>
      </c>
      <c r="AC51" s="392">
        <v>0</v>
      </c>
      <c r="AD51" s="433">
        <f t="shared" si="55"/>
        <v>0</v>
      </c>
      <c r="AE51" s="392">
        <v>0</v>
      </c>
      <c r="AF51" s="433">
        <f t="shared" si="56"/>
        <v>0</v>
      </c>
      <c r="AG51" s="392">
        <v>0</v>
      </c>
      <c r="AH51" s="433">
        <f t="shared" si="57"/>
        <v>0</v>
      </c>
      <c r="AI51" s="392">
        <v>0</v>
      </c>
      <c r="AJ51" s="433">
        <f t="shared" si="58"/>
        <v>0</v>
      </c>
      <c r="AK51" s="392">
        <v>0</v>
      </c>
      <c r="AL51" s="433">
        <f t="shared" si="59"/>
        <v>0</v>
      </c>
      <c r="AM51" s="392">
        <v>0</v>
      </c>
      <c r="AN51" s="433">
        <f t="shared" ref="AN51:AN63" si="79">AM51*F51</f>
        <v>0</v>
      </c>
      <c r="AO51" s="392">
        <v>0</v>
      </c>
      <c r="AP51" s="433">
        <f t="shared" si="77"/>
        <v>0</v>
      </c>
      <c r="AQ51" s="392">
        <v>0</v>
      </c>
      <c r="AR51" s="433">
        <f t="shared" si="60"/>
        <v>0</v>
      </c>
      <c r="AS51" s="392">
        <v>0</v>
      </c>
      <c r="AT51" s="433">
        <f t="shared" si="74"/>
        <v>0</v>
      </c>
      <c r="AU51" s="392">
        <v>0</v>
      </c>
      <c r="AV51" s="433">
        <f t="shared" si="61"/>
        <v>0</v>
      </c>
      <c r="AW51" s="490">
        <v>0</v>
      </c>
      <c r="AX51" s="433">
        <f t="shared" si="62"/>
        <v>0</v>
      </c>
      <c r="AY51" s="435">
        <v>0</v>
      </c>
      <c r="AZ51" s="433">
        <f t="shared" si="75"/>
        <v>0</v>
      </c>
      <c r="BA51" s="490">
        <v>0</v>
      </c>
      <c r="BB51" s="433">
        <f t="shared" si="63"/>
        <v>0</v>
      </c>
      <c r="BC51" s="493">
        <v>0</v>
      </c>
      <c r="BD51" s="433">
        <f t="shared" si="64"/>
        <v>0</v>
      </c>
      <c r="BE51" s="392">
        <v>0</v>
      </c>
      <c r="BF51" s="433">
        <f t="shared" si="65"/>
        <v>0</v>
      </c>
      <c r="BG51" s="392">
        <v>0</v>
      </c>
      <c r="BH51" s="433">
        <f t="shared" si="66"/>
        <v>0</v>
      </c>
      <c r="BI51" s="392"/>
      <c r="BJ51" s="433">
        <f t="shared" si="67"/>
        <v>0</v>
      </c>
      <c r="BK51" s="433">
        <f t="shared" si="68"/>
        <v>0</v>
      </c>
      <c r="BL51" s="433">
        <f t="shared" si="69"/>
        <v>0</v>
      </c>
      <c r="BM51" s="480" t="s">
        <v>215</v>
      </c>
      <c r="BN51" s="361"/>
      <c r="BO51" s="475"/>
      <c r="BP51" s="252"/>
      <c r="BQ51" s="251">
        <f t="shared" si="70"/>
        <v>0</v>
      </c>
      <c r="BR51" s="252"/>
      <c r="BS51" s="340">
        <f t="shared" si="46"/>
        <v>0</v>
      </c>
      <c r="BT51" s="252"/>
      <c r="BU51" s="252"/>
      <c r="BV51" s="340"/>
      <c r="BW51" s="478">
        <f t="shared" si="71"/>
        <v>0</v>
      </c>
    </row>
    <row r="52" spans="1:75" s="263" customFormat="1" ht="18" customHeight="1" x14ac:dyDescent="0.25">
      <c r="A52" s="474"/>
      <c r="B52" s="408"/>
      <c r="C52" s="443" t="s">
        <v>790</v>
      </c>
      <c r="D52" s="494" t="s">
        <v>759</v>
      </c>
      <c r="E52" s="432" t="s">
        <v>75</v>
      </c>
      <c r="F52" s="409">
        <v>9000</v>
      </c>
      <c r="G52" s="395">
        <f t="shared" si="72"/>
        <v>0</v>
      </c>
      <c r="H52" s="475">
        <f>G52*F52</f>
        <v>0</v>
      </c>
      <c r="I52" s="475">
        <f t="shared" si="47"/>
        <v>0</v>
      </c>
      <c r="J52" s="475">
        <f t="shared" si="48"/>
        <v>0</v>
      </c>
      <c r="K52" s="475"/>
      <c r="L52" s="475"/>
      <c r="M52" s="475"/>
      <c r="N52" s="475"/>
      <c r="O52" s="475"/>
      <c r="P52" s="475"/>
      <c r="Q52" s="475">
        <f t="shared" si="49"/>
        <v>0</v>
      </c>
      <c r="R52" s="475"/>
      <c r="S52" s="392"/>
      <c r="T52" s="392"/>
      <c r="U52" s="392">
        <f t="shared" si="78"/>
        <v>0</v>
      </c>
      <c r="V52" s="392"/>
      <c r="W52" s="465">
        <f t="shared" si="50"/>
        <v>0</v>
      </c>
      <c r="X52" s="465">
        <f t="shared" si="51"/>
        <v>0</v>
      </c>
      <c r="Y52" s="465">
        <f t="shared" si="52"/>
        <v>0</v>
      </c>
      <c r="Z52" s="465">
        <f t="shared" si="53"/>
        <v>0</v>
      </c>
      <c r="AA52" s="492">
        <v>0</v>
      </c>
      <c r="AB52" s="433">
        <f t="shared" si="54"/>
        <v>0</v>
      </c>
      <c r="AC52" s="392">
        <v>0</v>
      </c>
      <c r="AD52" s="433">
        <f t="shared" si="55"/>
        <v>0</v>
      </c>
      <c r="AE52" s="392">
        <v>0</v>
      </c>
      <c r="AF52" s="433">
        <f t="shared" si="56"/>
        <v>0</v>
      </c>
      <c r="AG52" s="392">
        <v>0</v>
      </c>
      <c r="AH52" s="433">
        <f t="shared" si="57"/>
        <v>0</v>
      </c>
      <c r="AI52" s="392">
        <v>0</v>
      </c>
      <c r="AJ52" s="433">
        <f t="shared" si="58"/>
        <v>0</v>
      </c>
      <c r="AK52" s="392">
        <v>0</v>
      </c>
      <c r="AL52" s="433">
        <f t="shared" si="59"/>
        <v>0</v>
      </c>
      <c r="AM52" s="392">
        <v>0</v>
      </c>
      <c r="AN52" s="433">
        <f t="shared" si="79"/>
        <v>0</v>
      </c>
      <c r="AO52" s="392">
        <v>0</v>
      </c>
      <c r="AP52" s="433">
        <f t="shared" si="77"/>
        <v>0</v>
      </c>
      <c r="AQ52" s="392">
        <v>0</v>
      </c>
      <c r="AR52" s="433">
        <f t="shared" si="60"/>
        <v>0</v>
      </c>
      <c r="AS52" s="392">
        <v>0</v>
      </c>
      <c r="AT52" s="433">
        <f t="shared" si="74"/>
        <v>0</v>
      </c>
      <c r="AU52" s="392">
        <v>0</v>
      </c>
      <c r="AV52" s="433">
        <f t="shared" si="61"/>
        <v>0</v>
      </c>
      <c r="AW52" s="490">
        <v>0</v>
      </c>
      <c r="AX52" s="433">
        <f t="shared" si="62"/>
        <v>0</v>
      </c>
      <c r="AY52" s="435">
        <v>0</v>
      </c>
      <c r="AZ52" s="433">
        <f t="shared" si="75"/>
        <v>0</v>
      </c>
      <c r="BA52" s="490">
        <v>0</v>
      </c>
      <c r="BB52" s="433">
        <f t="shared" si="63"/>
        <v>0</v>
      </c>
      <c r="BC52" s="493">
        <v>0</v>
      </c>
      <c r="BD52" s="433">
        <f t="shared" si="64"/>
        <v>0</v>
      </c>
      <c r="BE52" s="392">
        <v>0</v>
      </c>
      <c r="BF52" s="433">
        <f t="shared" si="65"/>
        <v>0</v>
      </c>
      <c r="BG52" s="392">
        <v>0</v>
      </c>
      <c r="BH52" s="433">
        <f t="shared" si="66"/>
        <v>0</v>
      </c>
      <c r="BI52" s="392"/>
      <c r="BJ52" s="433">
        <f t="shared" si="67"/>
        <v>0</v>
      </c>
      <c r="BK52" s="433">
        <f t="shared" si="68"/>
        <v>0</v>
      </c>
      <c r="BL52" s="433">
        <f t="shared" si="69"/>
        <v>0</v>
      </c>
      <c r="BM52" s="480" t="s">
        <v>215</v>
      </c>
      <c r="BN52" s="361"/>
      <c r="BO52" s="475"/>
      <c r="BP52" s="252"/>
      <c r="BQ52" s="251">
        <f t="shared" si="70"/>
        <v>0</v>
      </c>
      <c r="BR52" s="252"/>
      <c r="BS52" s="340">
        <f t="shared" si="46"/>
        <v>0</v>
      </c>
      <c r="BT52" s="252"/>
      <c r="BU52" s="252"/>
      <c r="BV52" s="340"/>
      <c r="BW52" s="478">
        <f t="shared" si="71"/>
        <v>0</v>
      </c>
    </row>
    <row r="53" spans="1:75" s="158" customFormat="1" ht="18" customHeight="1" x14ac:dyDescent="0.25">
      <c r="A53" s="474"/>
      <c r="B53" s="408"/>
      <c r="C53" s="443" t="s">
        <v>791</v>
      </c>
      <c r="D53" s="494" t="s">
        <v>760</v>
      </c>
      <c r="E53" s="432" t="s">
        <v>75</v>
      </c>
      <c r="F53" s="409">
        <v>9000</v>
      </c>
      <c r="G53" s="395">
        <f t="shared" si="72"/>
        <v>20</v>
      </c>
      <c r="H53" s="475">
        <f>G53*F53</f>
        <v>180000</v>
      </c>
      <c r="I53" s="475">
        <f t="shared" si="47"/>
        <v>18000</v>
      </c>
      <c r="J53" s="475">
        <f t="shared" si="48"/>
        <v>144000</v>
      </c>
      <c r="K53" s="475"/>
      <c r="L53" s="475"/>
      <c r="M53" s="475"/>
      <c r="N53" s="475"/>
      <c r="O53" s="475"/>
      <c r="P53" s="475"/>
      <c r="Q53" s="475">
        <f t="shared" si="49"/>
        <v>18000</v>
      </c>
      <c r="R53" s="475"/>
      <c r="S53" s="392"/>
      <c r="T53" s="392"/>
      <c r="U53" s="392">
        <f t="shared" si="78"/>
        <v>20</v>
      </c>
      <c r="V53" s="392"/>
      <c r="W53" s="465">
        <f t="shared" si="50"/>
        <v>0</v>
      </c>
      <c r="X53" s="465">
        <f t="shared" si="51"/>
        <v>0</v>
      </c>
      <c r="Y53" s="465">
        <f t="shared" si="52"/>
        <v>180000</v>
      </c>
      <c r="Z53" s="465">
        <f t="shared" si="53"/>
        <v>0</v>
      </c>
      <c r="AA53" s="492">
        <v>0</v>
      </c>
      <c r="AB53" s="433">
        <f t="shared" si="54"/>
        <v>0</v>
      </c>
      <c r="AC53" s="392">
        <v>0</v>
      </c>
      <c r="AD53" s="433">
        <f t="shared" si="55"/>
        <v>0</v>
      </c>
      <c r="AE53" s="392">
        <v>0</v>
      </c>
      <c r="AF53" s="433">
        <f t="shared" si="56"/>
        <v>0</v>
      </c>
      <c r="AG53" s="392">
        <v>20</v>
      </c>
      <c r="AH53" s="433">
        <f t="shared" si="57"/>
        <v>180000</v>
      </c>
      <c r="AI53" s="392">
        <v>0</v>
      </c>
      <c r="AJ53" s="433">
        <f t="shared" si="58"/>
        <v>0</v>
      </c>
      <c r="AK53" s="392">
        <v>0</v>
      </c>
      <c r="AL53" s="433">
        <f t="shared" si="59"/>
        <v>0</v>
      </c>
      <c r="AM53" s="392">
        <v>0</v>
      </c>
      <c r="AN53" s="433">
        <f t="shared" si="79"/>
        <v>0</v>
      </c>
      <c r="AO53" s="392">
        <v>0</v>
      </c>
      <c r="AP53" s="433">
        <f t="shared" si="77"/>
        <v>0</v>
      </c>
      <c r="AQ53" s="392">
        <v>0</v>
      </c>
      <c r="AR53" s="433">
        <f t="shared" si="60"/>
        <v>0</v>
      </c>
      <c r="AS53" s="392">
        <v>0</v>
      </c>
      <c r="AT53" s="433">
        <f t="shared" si="74"/>
        <v>0</v>
      </c>
      <c r="AU53" s="392">
        <v>0</v>
      </c>
      <c r="AV53" s="433">
        <f t="shared" si="61"/>
        <v>0</v>
      </c>
      <c r="AW53" s="490">
        <v>0</v>
      </c>
      <c r="AX53" s="433">
        <f t="shared" si="62"/>
        <v>0</v>
      </c>
      <c r="AY53" s="435">
        <v>0</v>
      </c>
      <c r="AZ53" s="433">
        <f t="shared" si="75"/>
        <v>0</v>
      </c>
      <c r="BA53" s="490">
        <v>0</v>
      </c>
      <c r="BB53" s="433">
        <f t="shared" si="63"/>
        <v>0</v>
      </c>
      <c r="BC53" s="493">
        <v>0</v>
      </c>
      <c r="BD53" s="433">
        <f t="shared" si="64"/>
        <v>0</v>
      </c>
      <c r="BE53" s="392">
        <v>0</v>
      </c>
      <c r="BF53" s="433">
        <f t="shared" si="65"/>
        <v>0</v>
      </c>
      <c r="BG53" s="392">
        <v>0</v>
      </c>
      <c r="BH53" s="433">
        <f t="shared" si="66"/>
        <v>0</v>
      </c>
      <c r="BI53" s="392"/>
      <c r="BJ53" s="433">
        <f t="shared" si="67"/>
        <v>0</v>
      </c>
      <c r="BK53" s="433">
        <f t="shared" si="68"/>
        <v>20</v>
      </c>
      <c r="BL53" s="433">
        <f t="shared" si="69"/>
        <v>180000</v>
      </c>
      <c r="BM53" s="480" t="s">
        <v>215</v>
      </c>
      <c r="BN53" s="361"/>
      <c r="BO53" s="475"/>
      <c r="BP53" s="252"/>
      <c r="BQ53" s="251">
        <f t="shared" si="70"/>
        <v>180000</v>
      </c>
      <c r="BR53" s="252"/>
      <c r="BS53" s="340">
        <f t="shared" si="46"/>
        <v>180000</v>
      </c>
      <c r="BT53" s="252"/>
      <c r="BU53" s="252"/>
      <c r="BV53" s="340"/>
      <c r="BW53" s="478">
        <f t="shared" si="71"/>
        <v>180000</v>
      </c>
    </row>
    <row r="54" spans="1:75" s="263" customFormat="1" ht="18" customHeight="1" x14ac:dyDescent="0.25">
      <c r="A54" s="474"/>
      <c r="B54" s="408"/>
      <c r="C54" s="443" t="s">
        <v>792</v>
      </c>
      <c r="D54" s="479" t="s">
        <v>624</v>
      </c>
      <c r="E54" s="432" t="s">
        <v>75</v>
      </c>
      <c r="F54" s="409">
        <v>68500</v>
      </c>
      <c r="G54" s="395">
        <f t="shared" si="72"/>
        <v>0</v>
      </c>
      <c r="H54" s="395">
        <f>BL54</f>
        <v>0</v>
      </c>
      <c r="I54" s="475">
        <f t="shared" si="47"/>
        <v>0</v>
      </c>
      <c r="J54" s="475">
        <f t="shared" si="48"/>
        <v>0</v>
      </c>
      <c r="K54" s="475"/>
      <c r="L54" s="475"/>
      <c r="M54" s="475"/>
      <c r="N54" s="475"/>
      <c r="O54" s="475"/>
      <c r="P54" s="475"/>
      <c r="Q54" s="475">
        <f t="shared" si="49"/>
        <v>0</v>
      </c>
      <c r="R54" s="475"/>
      <c r="S54" s="468"/>
      <c r="T54" s="468"/>
      <c r="U54" s="392">
        <f t="shared" si="78"/>
        <v>0</v>
      </c>
      <c r="V54" s="392">
        <v>0</v>
      </c>
      <c r="W54" s="465">
        <f t="shared" si="50"/>
        <v>0</v>
      </c>
      <c r="X54" s="465">
        <f t="shared" si="51"/>
        <v>0</v>
      </c>
      <c r="Y54" s="465">
        <f>H54</f>
        <v>0</v>
      </c>
      <c r="Z54" s="465">
        <f t="shared" si="53"/>
        <v>0</v>
      </c>
      <c r="AA54" s="492">
        <v>0</v>
      </c>
      <c r="AB54" s="433">
        <f t="shared" si="54"/>
        <v>0</v>
      </c>
      <c r="AC54" s="392">
        <v>0</v>
      </c>
      <c r="AD54" s="433">
        <f t="shared" si="55"/>
        <v>0</v>
      </c>
      <c r="AE54" s="392">
        <v>0</v>
      </c>
      <c r="AF54" s="433">
        <f t="shared" si="56"/>
        <v>0</v>
      </c>
      <c r="AG54" s="392">
        <v>0</v>
      </c>
      <c r="AH54" s="433">
        <f t="shared" si="57"/>
        <v>0</v>
      </c>
      <c r="AI54" s="392">
        <v>0</v>
      </c>
      <c r="AJ54" s="433">
        <f t="shared" si="58"/>
        <v>0</v>
      </c>
      <c r="AK54" s="392">
        <v>0</v>
      </c>
      <c r="AL54" s="433">
        <f t="shared" si="59"/>
        <v>0</v>
      </c>
      <c r="AM54" s="392">
        <v>0</v>
      </c>
      <c r="AN54" s="433">
        <f t="shared" si="79"/>
        <v>0</v>
      </c>
      <c r="AO54" s="392">
        <v>0</v>
      </c>
      <c r="AP54" s="433">
        <f t="shared" si="77"/>
        <v>0</v>
      </c>
      <c r="AQ54" s="392">
        <v>0</v>
      </c>
      <c r="AR54" s="433">
        <f t="shared" si="60"/>
        <v>0</v>
      </c>
      <c r="AS54" s="392">
        <v>0</v>
      </c>
      <c r="AT54" s="433">
        <f t="shared" si="74"/>
        <v>0</v>
      </c>
      <c r="AU54" s="392">
        <v>0</v>
      </c>
      <c r="AV54" s="433">
        <f t="shared" si="61"/>
        <v>0</v>
      </c>
      <c r="AW54" s="490">
        <v>0</v>
      </c>
      <c r="AX54" s="433">
        <f t="shared" si="62"/>
        <v>0</v>
      </c>
      <c r="AY54" s="435">
        <v>0</v>
      </c>
      <c r="AZ54" s="433">
        <f t="shared" si="75"/>
        <v>0</v>
      </c>
      <c r="BA54" s="490">
        <v>0</v>
      </c>
      <c r="BB54" s="433">
        <f t="shared" si="63"/>
        <v>0</v>
      </c>
      <c r="BC54" s="493">
        <v>0</v>
      </c>
      <c r="BD54" s="433">
        <f t="shared" si="64"/>
        <v>0</v>
      </c>
      <c r="BE54" s="392">
        <v>0</v>
      </c>
      <c r="BF54" s="433">
        <f t="shared" si="65"/>
        <v>0</v>
      </c>
      <c r="BG54" s="392">
        <v>0</v>
      </c>
      <c r="BH54" s="433">
        <f t="shared" si="66"/>
        <v>0</v>
      </c>
      <c r="BI54" s="392"/>
      <c r="BJ54" s="433">
        <f t="shared" si="67"/>
        <v>0</v>
      </c>
      <c r="BK54" s="433">
        <f t="shared" si="68"/>
        <v>0</v>
      </c>
      <c r="BL54" s="433">
        <f t="shared" si="69"/>
        <v>0</v>
      </c>
      <c r="BM54" s="480" t="s">
        <v>215</v>
      </c>
      <c r="BN54" s="361"/>
      <c r="BO54" s="475"/>
      <c r="BP54" s="252"/>
      <c r="BQ54" s="251">
        <f>H54</f>
        <v>0</v>
      </c>
      <c r="BR54" s="252"/>
      <c r="BS54" s="340">
        <f>BO54+BP54+BQ54+BR54</f>
        <v>0</v>
      </c>
      <c r="BT54" s="252"/>
      <c r="BU54" s="252"/>
      <c r="BV54" s="340"/>
      <c r="BW54" s="478">
        <f>BS54+BT54+BU54+BV54</f>
        <v>0</v>
      </c>
    </row>
    <row r="55" spans="1:75" s="263" customFormat="1" ht="18" customHeight="1" x14ac:dyDescent="0.25">
      <c r="A55" s="474"/>
      <c r="B55" s="408"/>
      <c r="C55" s="443" t="s">
        <v>793</v>
      </c>
      <c r="D55" s="479" t="s">
        <v>761</v>
      </c>
      <c r="E55" s="432"/>
      <c r="F55" s="409">
        <v>30000</v>
      </c>
      <c r="G55" s="395">
        <f t="shared" si="72"/>
        <v>0</v>
      </c>
      <c r="H55" s="395">
        <f t="shared" si="76"/>
        <v>0</v>
      </c>
      <c r="I55" s="475">
        <f t="shared" si="47"/>
        <v>0</v>
      </c>
      <c r="J55" s="475">
        <f t="shared" si="48"/>
        <v>0</v>
      </c>
      <c r="K55" s="475"/>
      <c r="L55" s="475"/>
      <c r="M55" s="475"/>
      <c r="N55" s="475"/>
      <c r="O55" s="475"/>
      <c r="P55" s="475"/>
      <c r="Q55" s="475">
        <f t="shared" si="49"/>
        <v>0</v>
      </c>
      <c r="R55" s="475"/>
      <c r="S55" s="468"/>
      <c r="T55" s="468"/>
      <c r="U55" s="392">
        <v>4</v>
      </c>
      <c r="V55" s="392">
        <v>2</v>
      </c>
      <c r="W55" s="465">
        <f t="shared" si="50"/>
        <v>0</v>
      </c>
      <c r="X55" s="465">
        <f t="shared" si="51"/>
        <v>0</v>
      </c>
      <c r="Y55" s="465">
        <f>H55*0.5</f>
        <v>0</v>
      </c>
      <c r="Z55" s="465">
        <f>H55*0.5</f>
        <v>0</v>
      </c>
      <c r="AA55" s="492">
        <v>0</v>
      </c>
      <c r="AB55" s="433">
        <f t="shared" si="54"/>
        <v>0</v>
      </c>
      <c r="AC55" s="392">
        <v>0</v>
      </c>
      <c r="AD55" s="433">
        <f t="shared" si="55"/>
        <v>0</v>
      </c>
      <c r="AE55" s="392">
        <v>0</v>
      </c>
      <c r="AF55" s="433">
        <f t="shared" si="56"/>
        <v>0</v>
      </c>
      <c r="AG55" s="392">
        <v>0</v>
      </c>
      <c r="AH55" s="433">
        <f t="shared" si="57"/>
        <v>0</v>
      </c>
      <c r="AI55" s="392">
        <v>0</v>
      </c>
      <c r="AJ55" s="433">
        <f t="shared" si="58"/>
        <v>0</v>
      </c>
      <c r="AK55" s="392">
        <v>0</v>
      </c>
      <c r="AL55" s="433">
        <f t="shared" si="59"/>
        <v>0</v>
      </c>
      <c r="AM55" s="392">
        <v>0</v>
      </c>
      <c r="AN55" s="433">
        <f t="shared" si="79"/>
        <v>0</v>
      </c>
      <c r="AO55" s="392">
        <v>0</v>
      </c>
      <c r="AP55" s="433">
        <f t="shared" si="77"/>
        <v>0</v>
      </c>
      <c r="AQ55" s="392">
        <v>0</v>
      </c>
      <c r="AR55" s="433">
        <f t="shared" si="60"/>
        <v>0</v>
      </c>
      <c r="AS55" s="392">
        <v>0</v>
      </c>
      <c r="AT55" s="433">
        <f t="shared" si="74"/>
        <v>0</v>
      </c>
      <c r="AU55" s="392">
        <v>0</v>
      </c>
      <c r="AV55" s="433">
        <f t="shared" si="61"/>
        <v>0</v>
      </c>
      <c r="AW55" s="490">
        <v>0</v>
      </c>
      <c r="AX55" s="433">
        <f t="shared" si="62"/>
        <v>0</v>
      </c>
      <c r="AY55" s="435">
        <v>0</v>
      </c>
      <c r="AZ55" s="433">
        <f t="shared" si="75"/>
        <v>0</v>
      </c>
      <c r="BA55" s="490">
        <v>0</v>
      </c>
      <c r="BB55" s="433">
        <f t="shared" si="63"/>
        <v>0</v>
      </c>
      <c r="BC55" s="493">
        <v>0</v>
      </c>
      <c r="BD55" s="433">
        <f t="shared" si="64"/>
        <v>0</v>
      </c>
      <c r="BE55" s="392">
        <v>0</v>
      </c>
      <c r="BF55" s="433">
        <f t="shared" si="65"/>
        <v>0</v>
      </c>
      <c r="BG55" s="392">
        <v>0</v>
      </c>
      <c r="BH55" s="433">
        <f t="shared" si="66"/>
        <v>0</v>
      </c>
      <c r="BI55" s="392"/>
      <c r="BJ55" s="433">
        <f t="shared" si="67"/>
        <v>0</v>
      </c>
      <c r="BK55" s="433">
        <f t="shared" si="68"/>
        <v>0</v>
      </c>
      <c r="BL55" s="433">
        <f t="shared" si="69"/>
        <v>0</v>
      </c>
      <c r="BM55" s="480" t="s">
        <v>215</v>
      </c>
      <c r="BN55" s="361"/>
      <c r="BO55" s="475"/>
      <c r="BP55" s="252"/>
      <c r="BQ55" s="251">
        <f>H55</f>
        <v>0</v>
      </c>
      <c r="BR55" s="252"/>
      <c r="BS55" s="340">
        <f>BO55+BP55+BQ55+BR55</f>
        <v>0</v>
      </c>
      <c r="BT55" s="252"/>
      <c r="BU55" s="252"/>
      <c r="BV55" s="340"/>
      <c r="BW55" s="478">
        <f>BS55+BT55+BU55+BV55</f>
        <v>0</v>
      </c>
    </row>
    <row r="56" spans="1:75" s="263" customFormat="1" ht="18" customHeight="1" x14ac:dyDescent="0.25">
      <c r="A56" s="474"/>
      <c r="B56" s="408"/>
      <c r="C56" s="443" t="s">
        <v>794</v>
      </c>
      <c r="D56" s="479" t="s">
        <v>266</v>
      </c>
      <c r="E56" s="432" t="s">
        <v>75</v>
      </c>
      <c r="F56" s="409">
        <v>48300</v>
      </c>
      <c r="G56" s="395">
        <f t="shared" si="72"/>
        <v>0</v>
      </c>
      <c r="H56" s="475">
        <f>G56*F56</f>
        <v>0</v>
      </c>
      <c r="I56" s="475">
        <f t="shared" si="47"/>
        <v>0</v>
      </c>
      <c r="J56" s="475">
        <f t="shared" si="48"/>
        <v>0</v>
      </c>
      <c r="K56" s="475"/>
      <c r="L56" s="475"/>
      <c r="M56" s="475"/>
      <c r="N56" s="475"/>
      <c r="O56" s="475"/>
      <c r="P56" s="475"/>
      <c r="Q56" s="475">
        <f t="shared" si="49"/>
        <v>0</v>
      </c>
      <c r="R56" s="475"/>
      <c r="S56" s="392"/>
      <c r="T56" s="392"/>
      <c r="U56" s="392">
        <f>G56</f>
        <v>0</v>
      </c>
      <c r="V56" s="392"/>
      <c r="W56" s="465">
        <f t="shared" si="50"/>
        <v>0</v>
      </c>
      <c r="X56" s="465">
        <f t="shared" si="51"/>
        <v>0</v>
      </c>
      <c r="Y56" s="465">
        <f t="shared" si="52"/>
        <v>0</v>
      </c>
      <c r="Z56" s="465">
        <f t="shared" si="53"/>
        <v>0</v>
      </c>
      <c r="AA56" s="492">
        <v>0</v>
      </c>
      <c r="AB56" s="433">
        <f t="shared" si="54"/>
        <v>0</v>
      </c>
      <c r="AC56" s="392">
        <v>0</v>
      </c>
      <c r="AD56" s="433">
        <f t="shared" si="55"/>
        <v>0</v>
      </c>
      <c r="AE56" s="392">
        <v>0</v>
      </c>
      <c r="AF56" s="433">
        <f t="shared" si="56"/>
        <v>0</v>
      </c>
      <c r="AG56" s="392">
        <v>0</v>
      </c>
      <c r="AH56" s="433">
        <f t="shared" si="57"/>
        <v>0</v>
      </c>
      <c r="AI56" s="392">
        <v>0</v>
      </c>
      <c r="AJ56" s="433">
        <f t="shared" si="58"/>
        <v>0</v>
      </c>
      <c r="AK56" s="392">
        <v>0</v>
      </c>
      <c r="AL56" s="433">
        <f t="shared" si="59"/>
        <v>0</v>
      </c>
      <c r="AM56" s="392">
        <v>0</v>
      </c>
      <c r="AN56" s="433">
        <f t="shared" si="79"/>
        <v>0</v>
      </c>
      <c r="AO56" s="392">
        <v>0</v>
      </c>
      <c r="AP56" s="433">
        <f t="shared" si="77"/>
        <v>0</v>
      </c>
      <c r="AQ56" s="392">
        <v>0</v>
      </c>
      <c r="AR56" s="433">
        <f t="shared" si="60"/>
        <v>0</v>
      </c>
      <c r="AS56" s="392">
        <v>0</v>
      </c>
      <c r="AT56" s="433">
        <f t="shared" si="74"/>
        <v>0</v>
      </c>
      <c r="AU56" s="392">
        <v>0</v>
      </c>
      <c r="AV56" s="433">
        <f t="shared" si="61"/>
        <v>0</v>
      </c>
      <c r="AW56" s="490">
        <v>0</v>
      </c>
      <c r="AX56" s="433">
        <f t="shared" si="62"/>
        <v>0</v>
      </c>
      <c r="AY56" s="435">
        <v>0</v>
      </c>
      <c r="AZ56" s="433">
        <f t="shared" si="75"/>
        <v>0</v>
      </c>
      <c r="BA56" s="490">
        <v>0</v>
      </c>
      <c r="BB56" s="433">
        <f t="shared" si="63"/>
        <v>0</v>
      </c>
      <c r="BC56" s="493">
        <v>0</v>
      </c>
      <c r="BD56" s="433">
        <f t="shared" si="64"/>
        <v>0</v>
      </c>
      <c r="BE56" s="392">
        <v>0</v>
      </c>
      <c r="BF56" s="433">
        <f t="shared" si="65"/>
        <v>0</v>
      </c>
      <c r="BG56" s="392">
        <v>0</v>
      </c>
      <c r="BH56" s="433">
        <f t="shared" si="66"/>
        <v>0</v>
      </c>
      <c r="BI56" s="392"/>
      <c r="BJ56" s="433">
        <f t="shared" si="67"/>
        <v>0</v>
      </c>
      <c r="BK56" s="433">
        <f t="shared" si="68"/>
        <v>0</v>
      </c>
      <c r="BL56" s="433">
        <f t="shared" si="69"/>
        <v>0</v>
      </c>
      <c r="BM56" s="480" t="s">
        <v>215</v>
      </c>
      <c r="BN56" s="361"/>
      <c r="BO56" s="475"/>
      <c r="BP56" s="252"/>
      <c r="BQ56" s="251">
        <f t="shared" ref="BQ56:BQ63" si="80">H56</f>
        <v>0</v>
      </c>
      <c r="BR56" s="252"/>
      <c r="BS56" s="340">
        <f t="shared" ref="BS56:BS63" si="81">BO56+BP56+BQ56+BR56</f>
        <v>0</v>
      </c>
      <c r="BT56" s="252"/>
      <c r="BU56" s="252"/>
      <c r="BV56" s="340"/>
      <c r="BW56" s="478">
        <f t="shared" ref="BW56:BW63" si="82">BS56+BT56+BU56+BV56</f>
        <v>0</v>
      </c>
    </row>
    <row r="57" spans="1:75" s="263" customFormat="1" ht="18" customHeight="1" x14ac:dyDescent="0.25">
      <c r="A57" s="474"/>
      <c r="B57" s="408"/>
      <c r="C57" s="443" t="s">
        <v>795</v>
      </c>
      <c r="D57" s="479" t="s">
        <v>246</v>
      </c>
      <c r="E57" s="432" t="s">
        <v>75</v>
      </c>
      <c r="F57" s="409">
        <v>27500</v>
      </c>
      <c r="G57" s="395">
        <f t="shared" si="72"/>
        <v>0</v>
      </c>
      <c r="H57" s="395">
        <f>BL57</f>
        <v>0</v>
      </c>
      <c r="I57" s="475">
        <f t="shared" si="47"/>
        <v>0</v>
      </c>
      <c r="J57" s="475">
        <f t="shared" si="48"/>
        <v>0</v>
      </c>
      <c r="K57" s="475"/>
      <c r="L57" s="475"/>
      <c r="M57" s="475"/>
      <c r="N57" s="475"/>
      <c r="O57" s="475"/>
      <c r="P57" s="475"/>
      <c r="Q57" s="475">
        <f t="shared" si="49"/>
        <v>0</v>
      </c>
      <c r="R57" s="475"/>
      <c r="S57" s="392"/>
      <c r="T57" s="392"/>
      <c r="U57" s="392">
        <f>G57</f>
        <v>0</v>
      </c>
      <c r="V57" s="392"/>
      <c r="W57" s="465">
        <f t="shared" si="50"/>
        <v>0</v>
      </c>
      <c r="X57" s="465">
        <f t="shared" si="51"/>
        <v>0</v>
      </c>
      <c r="Y57" s="465">
        <f>H57</f>
        <v>0</v>
      </c>
      <c r="Z57" s="465">
        <f t="shared" si="53"/>
        <v>0</v>
      </c>
      <c r="AA57" s="492">
        <v>0</v>
      </c>
      <c r="AB57" s="433">
        <f t="shared" si="54"/>
        <v>0</v>
      </c>
      <c r="AC57" s="392">
        <v>0</v>
      </c>
      <c r="AD57" s="433">
        <f t="shared" si="55"/>
        <v>0</v>
      </c>
      <c r="AE57" s="392">
        <v>0</v>
      </c>
      <c r="AF57" s="433">
        <f t="shared" si="56"/>
        <v>0</v>
      </c>
      <c r="AG57" s="392">
        <v>0</v>
      </c>
      <c r="AH57" s="433">
        <f t="shared" si="57"/>
        <v>0</v>
      </c>
      <c r="AI57" s="392">
        <v>0</v>
      </c>
      <c r="AJ57" s="433">
        <f t="shared" si="58"/>
        <v>0</v>
      </c>
      <c r="AK57" s="392">
        <v>0</v>
      </c>
      <c r="AL57" s="433">
        <f t="shared" si="59"/>
        <v>0</v>
      </c>
      <c r="AM57" s="392">
        <v>0</v>
      </c>
      <c r="AN57" s="433">
        <f t="shared" si="79"/>
        <v>0</v>
      </c>
      <c r="AO57" s="392">
        <v>0</v>
      </c>
      <c r="AP57" s="433">
        <f t="shared" si="77"/>
        <v>0</v>
      </c>
      <c r="AQ57" s="392">
        <v>0</v>
      </c>
      <c r="AR57" s="433">
        <f t="shared" si="60"/>
        <v>0</v>
      </c>
      <c r="AS57" s="392">
        <v>0</v>
      </c>
      <c r="AT57" s="433">
        <f t="shared" si="74"/>
        <v>0</v>
      </c>
      <c r="AU57" s="392">
        <v>0</v>
      </c>
      <c r="AV57" s="433">
        <f t="shared" si="61"/>
        <v>0</v>
      </c>
      <c r="AW57" s="490">
        <v>0</v>
      </c>
      <c r="AX57" s="433">
        <f t="shared" si="62"/>
        <v>0</v>
      </c>
      <c r="AY57" s="435">
        <v>0</v>
      </c>
      <c r="AZ57" s="433">
        <f t="shared" si="75"/>
        <v>0</v>
      </c>
      <c r="BA57" s="490">
        <v>0</v>
      </c>
      <c r="BB57" s="433">
        <f t="shared" si="63"/>
        <v>0</v>
      </c>
      <c r="BC57" s="493">
        <v>0</v>
      </c>
      <c r="BD57" s="433">
        <f t="shared" si="64"/>
        <v>0</v>
      </c>
      <c r="BE57" s="392">
        <v>0</v>
      </c>
      <c r="BF57" s="433">
        <f t="shared" si="65"/>
        <v>0</v>
      </c>
      <c r="BG57" s="392">
        <v>0</v>
      </c>
      <c r="BH57" s="433">
        <f t="shared" si="66"/>
        <v>0</v>
      </c>
      <c r="BI57" s="392"/>
      <c r="BJ57" s="433">
        <f t="shared" si="67"/>
        <v>0</v>
      </c>
      <c r="BK57" s="433">
        <f t="shared" si="68"/>
        <v>0</v>
      </c>
      <c r="BL57" s="433">
        <f t="shared" si="69"/>
        <v>0</v>
      </c>
      <c r="BM57" s="480" t="s">
        <v>215</v>
      </c>
      <c r="BN57" s="361"/>
      <c r="BO57" s="475"/>
      <c r="BP57" s="252"/>
      <c r="BQ57" s="251">
        <f t="shared" si="80"/>
        <v>0</v>
      </c>
      <c r="BR57" s="252"/>
      <c r="BS57" s="340">
        <f t="shared" si="81"/>
        <v>0</v>
      </c>
      <c r="BT57" s="252"/>
      <c r="BU57" s="252"/>
      <c r="BV57" s="340"/>
      <c r="BW57" s="478">
        <f t="shared" si="82"/>
        <v>0</v>
      </c>
    </row>
    <row r="58" spans="1:75" s="263" customFormat="1" ht="20.25" customHeight="1" x14ac:dyDescent="0.25">
      <c r="A58" s="474"/>
      <c r="B58" s="408"/>
      <c r="C58" s="443" t="s">
        <v>796</v>
      </c>
      <c r="D58" s="494" t="s">
        <v>249</v>
      </c>
      <c r="E58" s="432" t="s">
        <v>75</v>
      </c>
      <c r="F58" s="409">
        <v>76000</v>
      </c>
      <c r="G58" s="395">
        <f t="shared" si="72"/>
        <v>0</v>
      </c>
      <c r="H58" s="475">
        <f>G58*F58</f>
        <v>0</v>
      </c>
      <c r="I58" s="475">
        <f t="shared" si="47"/>
        <v>0</v>
      </c>
      <c r="J58" s="475">
        <f t="shared" si="48"/>
        <v>0</v>
      </c>
      <c r="K58" s="475"/>
      <c r="L58" s="475"/>
      <c r="M58" s="475"/>
      <c r="N58" s="475"/>
      <c r="O58" s="475"/>
      <c r="P58" s="475"/>
      <c r="Q58" s="475">
        <f t="shared" si="49"/>
        <v>0</v>
      </c>
      <c r="R58" s="475"/>
      <c r="S58" s="468">
        <f>G58*0.65</f>
        <v>0</v>
      </c>
      <c r="T58" s="468">
        <f>G58*0.35</f>
        <v>0</v>
      </c>
      <c r="U58" s="392"/>
      <c r="V58" s="392"/>
      <c r="W58" s="465">
        <f t="shared" si="50"/>
        <v>0</v>
      </c>
      <c r="X58" s="465">
        <f t="shared" si="51"/>
        <v>0</v>
      </c>
      <c r="Y58" s="465">
        <f t="shared" si="52"/>
        <v>0</v>
      </c>
      <c r="Z58" s="465">
        <f t="shared" si="53"/>
        <v>0</v>
      </c>
      <c r="AA58" s="492">
        <v>0</v>
      </c>
      <c r="AB58" s="433">
        <f t="shared" si="54"/>
        <v>0</v>
      </c>
      <c r="AC58" s="392">
        <v>0</v>
      </c>
      <c r="AD58" s="433">
        <f t="shared" si="55"/>
        <v>0</v>
      </c>
      <c r="AE58" s="392">
        <v>0</v>
      </c>
      <c r="AF58" s="433">
        <f t="shared" si="56"/>
        <v>0</v>
      </c>
      <c r="AG58" s="392">
        <v>0</v>
      </c>
      <c r="AH58" s="433">
        <f t="shared" si="57"/>
        <v>0</v>
      </c>
      <c r="AI58" s="392">
        <v>0</v>
      </c>
      <c r="AJ58" s="433">
        <f t="shared" si="58"/>
        <v>0</v>
      </c>
      <c r="AK58" s="392">
        <v>0</v>
      </c>
      <c r="AL58" s="433">
        <f t="shared" si="59"/>
        <v>0</v>
      </c>
      <c r="AM58" s="392">
        <v>0</v>
      </c>
      <c r="AN58" s="433">
        <f t="shared" si="79"/>
        <v>0</v>
      </c>
      <c r="AO58" s="392">
        <v>0</v>
      </c>
      <c r="AP58" s="433">
        <f t="shared" si="77"/>
        <v>0</v>
      </c>
      <c r="AQ58" s="392">
        <v>0</v>
      </c>
      <c r="AR58" s="433">
        <f t="shared" si="60"/>
        <v>0</v>
      </c>
      <c r="AS58" s="392">
        <v>0</v>
      </c>
      <c r="AT58" s="433">
        <f t="shared" si="74"/>
        <v>0</v>
      </c>
      <c r="AU58" s="392">
        <v>0</v>
      </c>
      <c r="AV58" s="433">
        <f t="shared" si="61"/>
        <v>0</v>
      </c>
      <c r="AW58" s="490">
        <v>0</v>
      </c>
      <c r="AX58" s="433">
        <f t="shared" si="62"/>
        <v>0</v>
      </c>
      <c r="AY58" s="435">
        <v>0</v>
      </c>
      <c r="AZ58" s="433">
        <f t="shared" si="75"/>
        <v>0</v>
      </c>
      <c r="BA58" s="490">
        <v>0</v>
      </c>
      <c r="BB58" s="433">
        <f t="shared" si="63"/>
        <v>0</v>
      </c>
      <c r="BC58" s="493">
        <v>0</v>
      </c>
      <c r="BD58" s="433">
        <f t="shared" si="64"/>
        <v>0</v>
      </c>
      <c r="BE58" s="392">
        <v>0</v>
      </c>
      <c r="BF58" s="433">
        <f t="shared" si="65"/>
        <v>0</v>
      </c>
      <c r="BG58" s="392">
        <v>0</v>
      </c>
      <c r="BH58" s="433">
        <f t="shared" si="66"/>
        <v>0</v>
      </c>
      <c r="BI58" s="392"/>
      <c r="BJ58" s="433">
        <f t="shared" si="67"/>
        <v>0</v>
      </c>
      <c r="BK58" s="433">
        <f t="shared" si="68"/>
        <v>0</v>
      </c>
      <c r="BL58" s="433">
        <f t="shared" si="69"/>
        <v>0</v>
      </c>
      <c r="BM58" s="480" t="s">
        <v>215</v>
      </c>
      <c r="BN58" s="361"/>
      <c r="BO58" s="475"/>
      <c r="BP58" s="252"/>
      <c r="BQ58" s="251">
        <f t="shared" si="80"/>
        <v>0</v>
      </c>
      <c r="BR58" s="252"/>
      <c r="BS58" s="340">
        <f t="shared" si="81"/>
        <v>0</v>
      </c>
      <c r="BT58" s="252"/>
      <c r="BU58" s="252"/>
      <c r="BV58" s="340"/>
      <c r="BW58" s="478">
        <f t="shared" si="82"/>
        <v>0</v>
      </c>
    </row>
    <row r="59" spans="1:75" s="263" customFormat="1" ht="20.25" customHeight="1" x14ac:dyDescent="0.25">
      <c r="A59" s="474"/>
      <c r="B59" s="408"/>
      <c r="C59" s="443" t="s">
        <v>797</v>
      </c>
      <c r="D59" s="494" t="s">
        <v>248</v>
      </c>
      <c r="E59" s="432" t="s">
        <v>75</v>
      </c>
      <c r="F59" s="409">
        <v>31250</v>
      </c>
      <c r="G59" s="395">
        <f t="shared" si="72"/>
        <v>0</v>
      </c>
      <c r="H59" s="395">
        <f>BL59</f>
        <v>0</v>
      </c>
      <c r="I59" s="475">
        <f t="shared" si="47"/>
        <v>0</v>
      </c>
      <c r="J59" s="475">
        <f t="shared" si="48"/>
        <v>0</v>
      </c>
      <c r="K59" s="475"/>
      <c r="L59" s="475"/>
      <c r="M59" s="475"/>
      <c r="N59" s="475"/>
      <c r="O59" s="475"/>
      <c r="P59" s="475"/>
      <c r="Q59" s="475">
        <f t="shared" si="49"/>
        <v>0</v>
      </c>
      <c r="R59" s="475"/>
      <c r="S59" s="468">
        <f>G59*0.65</f>
        <v>0</v>
      </c>
      <c r="T59" s="468">
        <f>G59*0.35</f>
        <v>0</v>
      </c>
      <c r="U59" s="392"/>
      <c r="V59" s="392"/>
      <c r="W59" s="465">
        <f>H59*0.6</f>
        <v>0</v>
      </c>
      <c r="X59" s="465">
        <f>H59*0.4</f>
        <v>0</v>
      </c>
      <c r="Y59" s="465">
        <f t="shared" si="52"/>
        <v>0</v>
      </c>
      <c r="Z59" s="465">
        <f t="shared" si="53"/>
        <v>0</v>
      </c>
      <c r="AA59" s="492">
        <v>0</v>
      </c>
      <c r="AB59" s="433">
        <f t="shared" si="54"/>
        <v>0</v>
      </c>
      <c r="AC59" s="392">
        <v>0</v>
      </c>
      <c r="AD59" s="433">
        <f t="shared" si="55"/>
        <v>0</v>
      </c>
      <c r="AE59" s="392">
        <v>0</v>
      </c>
      <c r="AF59" s="433">
        <f t="shared" si="56"/>
        <v>0</v>
      </c>
      <c r="AG59" s="392">
        <v>0</v>
      </c>
      <c r="AH59" s="433">
        <f t="shared" si="57"/>
        <v>0</v>
      </c>
      <c r="AI59" s="392">
        <v>0</v>
      </c>
      <c r="AJ59" s="433">
        <f t="shared" si="58"/>
        <v>0</v>
      </c>
      <c r="AK59" s="392">
        <v>0</v>
      </c>
      <c r="AL59" s="433">
        <f t="shared" si="59"/>
        <v>0</v>
      </c>
      <c r="AM59" s="392">
        <v>0</v>
      </c>
      <c r="AN59" s="433">
        <f t="shared" si="79"/>
        <v>0</v>
      </c>
      <c r="AO59" s="392">
        <v>0</v>
      </c>
      <c r="AP59" s="433">
        <f t="shared" si="77"/>
        <v>0</v>
      </c>
      <c r="AQ59" s="392">
        <v>0</v>
      </c>
      <c r="AR59" s="433">
        <f t="shared" si="60"/>
        <v>0</v>
      </c>
      <c r="AS59" s="392">
        <v>0</v>
      </c>
      <c r="AT59" s="433">
        <f t="shared" si="74"/>
        <v>0</v>
      </c>
      <c r="AU59" s="392">
        <v>0</v>
      </c>
      <c r="AV59" s="433">
        <f t="shared" si="61"/>
        <v>0</v>
      </c>
      <c r="AW59" s="490">
        <v>0</v>
      </c>
      <c r="AX59" s="433">
        <f t="shared" ref="AX59:AX63" si="83">AW59*F59</f>
        <v>0</v>
      </c>
      <c r="AY59" s="435">
        <v>0</v>
      </c>
      <c r="AZ59" s="433">
        <f t="shared" si="75"/>
        <v>0</v>
      </c>
      <c r="BA59" s="490">
        <v>0</v>
      </c>
      <c r="BB59" s="433">
        <f t="shared" si="63"/>
        <v>0</v>
      </c>
      <c r="BC59" s="493">
        <v>0</v>
      </c>
      <c r="BD59" s="433">
        <f t="shared" si="64"/>
        <v>0</v>
      </c>
      <c r="BE59" s="392">
        <v>0</v>
      </c>
      <c r="BF59" s="433">
        <f t="shared" si="65"/>
        <v>0</v>
      </c>
      <c r="BG59" s="392">
        <v>0</v>
      </c>
      <c r="BH59" s="433">
        <f t="shared" si="66"/>
        <v>0</v>
      </c>
      <c r="BI59" s="392"/>
      <c r="BJ59" s="433">
        <f t="shared" si="67"/>
        <v>0</v>
      </c>
      <c r="BK59" s="433">
        <f t="shared" si="68"/>
        <v>0</v>
      </c>
      <c r="BL59" s="433">
        <f t="shared" si="69"/>
        <v>0</v>
      </c>
      <c r="BM59" s="480" t="s">
        <v>215</v>
      </c>
      <c r="BN59" s="361"/>
      <c r="BO59" s="475"/>
      <c r="BP59" s="252"/>
      <c r="BQ59" s="251">
        <f t="shared" si="80"/>
        <v>0</v>
      </c>
      <c r="BR59" s="252"/>
      <c r="BS59" s="340">
        <f t="shared" si="81"/>
        <v>0</v>
      </c>
      <c r="BT59" s="252"/>
      <c r="BU59" s="252"/>
      <c r="BV59" s="340"/>
      <c r="BW59" s="478">
        <f t="shared" si="82"/>
        <v>0</v>
      </c>
    </row>
    <row r="60" spans="1:75" s="263" customFormat="1" ht="20.25" customHeight="1" x14ac:dyDescent="0.25">
      <c r="A60" s="474"/>
      <c r="B60" s="408"/>
      <c r="C60" s="443" t="s">
        <v>798</v>
      </c>
      <c r="D60" s="494" t="s">
        <v>278</v>
      </c>
      <c r="E60" s="432" t="s">
        <v>75</v>
      </c>
      <c r="F60" s="409">
        <v>31000</v>
      </c>
      <c r="G60" s="395">
        <f t="shared" si="72"/>
        <v>0</v>
      </c>
      <c r="H60" s="475">
        <f>G60*F60</f>
        <v>0</v>
      </c>
      <c r="I60" s="475">
        <f t="shared" si="47"/>
        <v>0</v>
      </c>
      <c r="J60" s="475">
        <f t="shared" si="48"/>
        <v>0</v>
      </c>
      <c r="K60" s="475"/>
      <c r="L60" s="475"/>
      <c r="M60" s="475"/>
      <c r="N60" s="475"/>
      <c r="O60" s="475"/>
      <c r="P60" s="475"/>
      <c r="Q60" s="475">
        <f t="shared" si="49"/>
        <v>0</v>
      </c>
      <c r="R60" s="475"/>
      <c r="S60" s="392"/>
      <c r="T60" s="392"/>
      <c r="U60" s="392"/>
      <c r="V60" s="392"/>
      <c r="W60" s="465">
        <f t="shared" si="50"/>
        <v>0</v>
      </c>
      <c r="X60" s="465">
        <f t="shared" si="51"/>
        <v>0</v>
      </c>
      <c r="Y60" s="465">
        <f t="shared" si="52"/>
        <v>0</v>
      </c>
      <c r="Z60" s="465">
        <f t="shared" si="53"/>
        <v>0</v>
      </c>
      <c r="AA60" s="492">
        <v>0</v>
      </c>
      <c r="AB60" s="433">
        <f t="shared" si="54"/>
        <v>0</v>
      </c>
      <c r="AC60" s="392">
        <v>0</v>
      </c>
      <c r="AD60" s="433">
        <f t="shared" si="55"/>
        <v>0</v>
      </c>
      <c r="AE60" s="392">
        <v>0</v>
      </c>
      <c r="AF60" s="433">
        <f t="shared" si="56"/>
        <v>0</v>
      </c>
      <c r="AG60" s="392">
        <v>0</v>
      </c>
      <c r="AH60" s="433">
        <f t="shared" si="57"/>
        <v>0</v>
      </c>
      <c r="AI60" s="392">
        <v>0</v>
      </c>
      <c r="AJ60" s="433">
        <f t="shared" si="58"/>
        <v>0</v>
      </c>
      <c r="AK60" s="392">
        <v>0</v>
      </c>
      <c r="AL60" s="433">
        <f t="shared" si="59"/>
        <v>0</v>
      </c>
      <c r="AM60" s="392">
        <v>0</v>
      </c>
      <c r="AN60" s="433">
        <f t="shared" si="79"/>
        <v>0</v>
      </c>
      <c r="AO60" s="392">
        <v>0</v>
      </c>
      <c r="AP60" s="433">
        <f>AO60*F60</f>
        <v>0</v>
      </c>
      <c r="AQ60" s="392">
        <v>0</v>
      </c>
      <c r="AR60" s="433">
        <f>AQ60*F60</f>
        <v>0</v>
      </c>
      <c r="AS60" s="392">
        <v>0</v>
      </c>
      <c r="AT60" s="433">
        <f t="shared" si="74"/>
        <v>0</v>
      </c>
      <c r="AU60" s="392">
        <v>0</v>
      </c>
      <c r="AV60" s="433">
        <f t="shared" si="61"/>
        <v>0</v>
      </c>
      <c r="AW60" s="490">
        <v>0</v>
      </c>
      <c r="AX60" s="433">
        <f t="shared" si="83"/>
        <v>0</v>
      </c>
      <c r="AY60" s="435">
        <v>0</v>
      </c>
      <c r="AZ60" s="433">
        <f t="shared" si="75"/>
        <v>0</v>
      </c>
      <c r="BA60" s="490">
        <v>0</v>
      </c>
      <c r="BB60" s="433">
        <f t="shared" si="63"/>
        <v>0</v>
      </c>
      <c r="BC60" s="493">
        <v>0</v>
      </c>
      <c r="BD60" s="433">
        <f t="shared" si="64"/>
        <v>0</v>
      </c>
      <c r="BE60" s="392">
        <v>0</v>
      </c>
      <c r="BF60" s="433">
        <f t="shared" si="65"/>
        <v>0</v>
      </c>
      <c r="BG60" s="392">
        <v>0</v>
      </c>
      <c r="BH60" s="433">
        <f t="shared" si="66"/>
        <v>0</v>
      </c>
      <c r="BI60" s="392"/>
      <c r="BJ60" s="433">
        <f t="shared" si="67"/>
        <v>0</v>
      </c>
      <c r="BK60" s="433">
        <f t="shared" si="68"/>
        <v>0</v>
      </c>
      <c r="BL60" s="433">
        <f t="shared" si="69"/>
        <v>0</v>
      </c>
      <c r="BM60" s="480" t="s">
        <v>215</v>
      </c>
      <c r="BN60" s="361"/>
      <c r="BO60" s="475"/>
      <c r="BP60" s="252"/>
      <c r="BQ60" s="251">
        <f t="shared" si="80"/>
        <v>0</v>
      </c>
      <c r="BR60" s="252"/>
      <c r="BS60" s="340">
        <f t="shared" si="81"/>
        <v>0</v>
      </c>
      <c r="BT60" s="252"/>
      <c r="BU60" s="252"/>
      <c r="BV60" s="340"/>
      <c r="BW60" s="478">
        <f t="shared" si="82"/>
        <v>0</v>
      </c>
    </row>
    <row r="61" spans="1:75" s="263" customFormat="1" ht="20.25" customHeight="1" x14ac:dyDescent="0.25">
      <c r="A61" s="474"/>
      <c r="B61" s="408"/>
      <c r="C61" s="443" t="s">
        <v>799</v>
      </c>
      <c r="D61" s="494" t="s">
        <v>280</v>
      </c>
      <c r="E61" s="432" t="s">
        <v>75</v>
      </c>
      <c r="F61" s="409">
        <v>10000</v>
      </c>
      <c r="G61" s="395">
        <f t="shared" si="72"/>
        <v>0</v>
      </c>
      <c r="H61" s="475">
        <f>G61*F61</f>
        <v>0</v>
      </c>
      <c r="I61" s="475">
        <f t="shared" si="47"/>
        <v>0</v>
      </c>
      <c r="J61" s="475">
        <f t="shared" si="48"/>
        <v>0</v>
      </c>
      <c r="K61" s="475"/>
      <c r="L61" s="475"/>
      <c r="M61" s="475"/>
      <c r="N61" s="475"/>
      <c r="O61" s="475"/>
      <c r="P61" s="475"/>
      <c r="Q61" s="475">
        <f t="shared" si="49"/>
        <v>0</v>
      </c>
      <c r="R61" s="475"/>
      <c r="S61" s="392"/>
      <c r="T61" s="392"/>
      <c r="U61" s="392"/>
      <c r="V61" s="392"/>
      <c r="W61" s="465">
        <f t="shared" si="50"/>
        <v>0</v>
      </c>
      <c r="X61" s="465">
        <f t="shared" si="51"/>
        <v>0</v>
      </c>
      <c r="Y61" s="465">
        <f t="shared" si="52"/>
        <v>0</v>
      </c>
      <c r="Z61" s="465">
        <f t="shared" si="53"/>
        <v>0</v>
      </c>
      <c r="AA61" s="492">
        <v>0</v>
      </c>
      <c r="AB61" s="433">
        <f t="shared" si="54"/>
        <v>0</v>
      </c>
      <c r="AC61" s="392">
        <v>0</v>
      </c>
      <c r="AD61" s="433">
        <f t="shared" si="55"/>
        <v>0</v>
      </c>
      <c r="AE61" s="392">
        <v>0</v>
      </c>
      <c r="AF61" s="433">
        <f t="shared" si="56"/>
        <v>0</v>
      </c>
      <c r="AG61" s="392">
        <v>0</v>
      </c>
      <c r="AH61" s="433">
        <f t="shared" si="57"/>
        <v>0</v>
      </c>
      <c r="AI61" s="392">
        <v>0</v>
      </c>
      <c r="AJ61" s="433">
        <f t="shared" si="58"/>
        <v>0</v>
      </c>
      <c r="AK61" s="392">
        <v>0</v>
      </c>
      <c r="AL61" s="433">
        <f t="shared" si="59"/>
        <v>0</v>
      </c>
      <c r="AM61" s="392">
        <v>0</v>
      </c>
      <c r="AN61" s="433">
        <f t="shared" si="79"/>
        <v>0</v>
      </c>
      <c r="AO61" s="392">
        <v>0</v>
      </c>
      <c r="AP61" s="433">
        <f>AO61*F61</f>
        <v>0</v>
      </c>
      <c r="AQ61" s="392">
        <v>0</v>
      </c>
      <c r="AR61" s="433">
        <f>AQ61*F61</f>
        <v>0</v>
      </c>
      <c r="AS61" s="392">
        <v>0</v>
      </c>
      <c r="AT61" s="433">
        <f t="shared" si="74"/>
        <v>0</v>
      </c>
      <c r="AU61" s="392">
        <v>0</v>
      </c>
      <c r="AV61" s="433">
        <f t="shared" si="61"/>
        <v>0</v>
      </c>
      <c r="AW61" s="490">
        <v>0</v>
      </c>
      <c r="AX61" s="433">
        <f t="shared" si="83"/>
        <v>0</v>
      </c>
      <c r="AY61" s="435">
        <v>0</v>
      </c>
      <c r="AZ61" s="433">
        <f t="shared" si="75"/>
        <v>0</v>
      </c>
      <c r="BA61" s="490">
        <v>0</v>
      </c>
      <c r="BB61" s="433">
        <f t="shared" si="63"/>
        <v>0</v>
      </c>
      <c r="BC61" s="493">
        <v>0</v>
      </c>
      <c r="BD61" s="433">
        <f t="shared" si="64"/>
        <v>0</v>
      </c>
      <c r="BE61" s="392">
        <v>0</v>
      </c>
      <c r="BF61" s="433">
        <f t="shared" si="65"/>
        <v>0</v>
      </c>
      <c r="BG61" s="392">
        <v>0</v>
      </c>
      <c r="BH61" s="433">
        <f t="shared" si="66"/>
        <v>0</v>
      </c>
      <c r="BI61" s="392"/>
      <c r="BJ61" s="433">
        <f t="shared" si="67"/>
        <v>0</v>
      </c>
      <c r="BK61" s="433">
        <f t="shared" si="68"/>
        <v>0</v>
      </c>
      <c r="BL61" s="433">
        <f t="shared" si="69"/>
        <v>0</v>
      </c>
      <c r="BM61" s="480" t="s">
        <v>215</v>
      </c>
      <c r="BN61" s="361"/>
      <c r="BO61" s="475"/>
      <c r="BP61" s="252"/>
      <c r="BQ61" s="251">
        <f t="shared" si="80"/>
        <v>0</v>
      </c>
      <c r="BR61" s="252"/>
      <c r="BS61" s="340">
        <f t="shared" si="81"/>
        <v>0</v>
      </c>
      <c r="BT61" s="252"/>
      <c r="BU61" s="252"/>
      <c r="BV61" s="340"/>
      <c r="BW61" s="478">
        <f t="shared" si="82"/>
        <v>0</v>
      </c>
    </row>
    <row r="62" spans="1:75" s="263" customFormat="1" ht="20.25" customHeight="1" x14ac:dyDescent="0.25">
      <c r="A62" s="474"/>
      <c r="B62" s="408"/>
      <c r="C62" s="443" t="s">
        <v>800</v>
      </c>
      <c r="D62" s="494" t="s">
        <v>282</v>
      </c>
      <c r="E62" s="432" t="s">
        <v>75</v>
      </c>
      <c r="F62" s="409">
        <v>9000</v>
      </c>
      <c r="G62" s="395">
        <f t="shared" si="72"/>
        <v>0</v>
      </c>
      <c r="H62" s="475">
        <f>G62*F62</f>
        <v>0</v>
      </c>
      <c r="I62" s="475">
        <f t="shared" si="47"/>
        <v>0</v>
      </c>
      <c r="J62" s="475">
        <f t="shared" si="48"/>
        <v>0</v>
      </c>
      <c r="K62" s="475"/>
      <c r="L62" s="475"/>
      <c r="M62" s="475"/>
      <c r="N62" s="475"/>
      <c r="O62" s="475"/>
      <c r="P62" s="475"/>
      <c r="Q62" s="475">
        <f t="shared" si="49"/>
        <v>0</v>
      </c>
      <c r="R62" s="475"/>
      <c r="S62" s="392"/>
      <c r="T62" s="392"/>
      <c r="U62" s="392">
        <v>0</v>
      </c>
      <c r="V62" s="392">
        <v>0</v>
      </c>
      <c r="W62" s="465">
        <f t="shared" si="50"/>
        <v>0</v>
      </c>
      <c r="X62" s="465">
        <f t="shared" si="51"/>
        <v>0</v>
      </c>
      <c r="Y62" s="465">
        <f t="shared" si="52"/>
        <v>0</v>
      </c>
      <c r="Z62" s="465">
        <f t="shared" si="53"/>
        <v>0</v>
      </c>
      <c r="AA62" s="492">
        <v>0</v>
      </c>
      <c r="AB62" s="433">
        <f t="shared" si="54"/>
        <v>0</v>
      </c>
      <c r="AC62" s="392">
        <v>0</v>
      </c>
      <c r="AD62" s="433">
        <f t="shared" si="55"/>
        <v>0</v>
      </c>
      <c r="AE62" s="392">
        <v>0</v>
      </c>
      <c r="AF62" s="433">
        <f t="shared" si="56"/>
        <v>0</v>
      </c>
      <c r="AG62" s="392">
        <v>0</v>
      </c>
      <c r="AH62" s="433">
        <f t="shared" si="57"/>
        <v>0</v>
      </c>
      <c r="AI62" s="392">
        <v>0</v>
      </c>
      <c r="AJ62" s="433">
        <f t="shared" si="58"/>
        <v>0</v>
      </c>
      <c r="AK62" s="392">
        <v>0</v>
      </c>
      <c r="AL62" s="433">
        <f t="shared" si="59"/>
        <v>0</v>
      </c>
      <c r="AM62" s="392">
        <v>0</v>
      </c>
      <c r="AN62" s="433">
        <f t="shared" si="79"/>
        <v>0</v>
      </c>
      <c r="AO62" s="392">
        <v>0</v>
      </c>
      <c r="AP62" s="433">
        <f>AO62*F62</f>
        <v>0</v>
      </c>
      <c r="AQ62" s="392">
        <v>0</v>
      </c>
      <c r="AR62" s="433">
        <f>AQ62*F62</f>
        <v>0</v>
      </c>
      <c r="AS62" s="392">
        <v>0</v>
      </c>
      <c r="AT62" s="433">
        <f t="shared" si="74"/>
        <v>0</v>
      </c>
      <c r="AU62" s="392">
        <v>0</v>
      </c>
      <c r="AV62" s="433">
        <f t="shared" si="61"/>
        <v>0</v>
      </c>
      <c r="AW62" s="490">
        <v>0</v>
      </c>
      <c r="AX62" s="433">
        <f t="shared" si="83"/>
        <v>0</v>
      </c>
      <c r="AY62" s="435">
        <v>0</v>
      </c>
      <c r="AZ62" s="433">
        <f t="shared" si="75"/>
        <v>0</v>
      </c>
      <c r="BA62" s="490">
        <v>0</v>
      </c>
      <c r="BB62" s="433">
        <f t="shared" si="63"/>
        <v>0</v>
      </c>
      <c r="BC62" s="493">
        <v>0</v>
      </c>
      <c r="BD62" s="433">
        <f t="shared" si="64"/>
        <v>0</v>
      </c>
      <c r="BE62" s="392">
        <v>0</v>
      </c>
      <c r="BF62" s="433">
        <f t="shared" si="65"/>
        <v>0</v>
      </c>
      <c r="BG62" s="392">
        <v>0</v>
      </c>
      <c r="BH62" s="433">
        <f t="shared" si="66"/>
        <v>0</v>
      </c>
      <c r="BI62" s="392"/>
      <c r="BJ62" s="433">
        <f t="shared" si="67"/>
        <v>0</v>
      </c>
      <c r="BK62" s="433">
        <f t="shared" si="68"/>
        <v>0</v>
      </c>
      <c r="BL62" s="433">
        <f t="shared" si="69"/>
        <v>0</v>
      </c>
      <c r="BM62" s="480" t="s">
        <v>215</v>
      </c>
      <c r="BN62" s="361"/>
      <c r="BO62" s="475"/>
      <c r="BP62" s="252"/>
      <c r="BQ62" s="251">
        <f t="shared" si="80"/>
        <v>0</v>
      </c>
      <c r="BR62" s="252"/>
      <c r="BS62" s="340">
        <f t="shared" si="81"/>
        <v>0</v>
      </c>
      <c r="BT62" s="252"/>
      <c r="BU62" s="252"/>
      <c r="BV62" s="340"/>
      <c r="BW62" s="478">
        <f t="shared" si="82"/>
        <v>0</v>
      </c>
    </row>
    <row r="63" spans="1:75" s="263" customFormat="1" ht="20.25" customHeight="1" x14ac:dyDescent="0.25">
      <c r="A63" s="474"/>
      <c r="B63" s="408"/>
      <c r="C63" s="443" t="s">
        <v>801</v>
      </c>
      <c r="D63" s="494" t="s">
        <v>277</v>
      </c>
      <c r="E63" s="432" t="s">
        <v>75</v>
      </c>
      <c r="F63" s="409">
        <v>30000</v>
      </c>
      <c r="G63" s="395">
        <f t="shared" si="72"/>
        <v>0</v>
      </c>
      <c r="H63" s="495">
        <f t="shared" si="76"/>
        <v>0</v>
      </c>
      <c r="I63" s="475">
        <f t="shared" si="47"/>
        <v>0</v>
      </c>
      <c r="J63" s="475">
        <f t="shared" si="48"/>
        <v>0</v>
      </c>
      <c r="K63" s="475"/>
      <c r="L63" s="475"/>
      <c r="M63" s="475"/>
      <c r="N63" s="475"/>
      <c r="O63" s="475"/>
      <c r="P63" s="475"/>
      <c r="Q63" s="475">
        <f t="shared" si="49"/>
        <v>0</v>
      </c>
      <c r="R63" s="475"/>
      <c r="S63" s="392"/>
      <c r="T63" s="392"/>
      <c r="U63" s="392">
        <v>0</v>
      </c>
      <c r="V63" s="392">
        <v>0</v>
      </c>
      <c r="W63" s="465">
        <f t="shared" si="50"/>
        <v>0</v>
      </c>
      <c r="X63" s="465">
        <f t="shared" si="51"/>
        <v>0</v>
      </c>
      <c r="Y63" s="465">
        <f t="shared" si="52"/>
        <v>0</v>
      </c>
      <c r="Z63" s="465">
        <f t="shared" si="53"/>
        <v>0</v>
      </c>
      <c r="AA63" s="492">
        <v>0</v>
      </c>
      <c r="AB63" s="433">
        <f t="shared" si="54"/>
        <v>0</v>
      </c>
      <c r="AC63" s="392">
        <v>0</v>
      </c>
      <c r="AD63" s="433">
        <f t="shared" si="55"/>
        <v>0</v>
      </c>
      <c r="AE63" s="392">
        <v>0</v>
      </c>
      <c r="AF63" s="433">
        <f t="shared" si="56"/>
        <v>0</v>
      </c>
      <c r="AG63" s="392">
        <v>0</v>
      </c>
      <c r="AH63" s="433">
        <f t="shared" si="57"/>
        <v>0</v>
      </c>
      <c r="AI63" s="392">
        <v>0</v>
      </c>
      <c r="AJ63" s="433">
        <f t="shared" si="58"/>
        <v>0</v>
      </c>
      <c r="AK63" s="392">
        <v>0</v>
      </c>
      <c r="AL63" s="433">
        <f t="shared" si="59"/>
        <v>0</v>
      </c>
      <c r="AM63" s="392">
        <v>0</v>
      </c>
      <c r="AN63" s="433">
        <f t="shared" si="79"/>
        <v>0</v>
      </c>
      <c r="AO63" s="392">
        <v>0</v>
      </c>
      <c r="AP63" s="433">
        <f>AO63*F63</f>
        <v>0</v>
      </c>
      <c r="AQ63" s="392">
        <v>0</v>
      </c>
      <c r="AR63" s="433">
        <f>AQ63*F63</f>
        <v>0</v>
      </c>
      <c r="AS63" s="392">
        <v>0</v>
      </c>
      <c r="AT63" s="433">
        <f t="shared" si="74"/>
        <v>0</v>
      </c>
      <c r="AU63" s="392">
        <v>0</v>
      </c>
      <c r="AV63" s="433">
        <f t="shared" si="61"/>
        <v>0</v>
      </c>
      <c r="AW63" s="490">
        <v>0</v>
      </c>
      <c r="AX63" s="433">
        <f t="shared" si="83"/>
        <v>0</v>
      </c>
      <c r="AY63" s="435">
        <v>0</v>
      </c>
      <c r="AZ63" s="433">
        <f t="shared" si="75"/>
        <v>0</v>
      </c>
      <c r="BA63" s="490">
        <v>0</v>
      </c>
      <c r="BB63" s="433">
        <f t="shared" si="63"/>
        <v>0</v>
      </c>
      <c r="BC63" s="493">
        <v>0</v>
      </c>
      <c r="BD63" s="433">
        <f t="shared" si="64"/>
        <v>0</v>
      </c>
      <c r="BE63" s="392">
        <v>0</v>
      </c>
      <c r="BF63" s="433">
        <f t="shared" si="65"/>
        <v>0</v>
      </c>
      <c r="BG63" s="392">
        <v>0</v>
      </c>
      <c r="BH63" s="433">
        <f t="shared" si="66"/>
        <v>0</v>
      </c>
      <c r="BI63" s="392"/>
      <c r="BJ63" s="433">
        <f t="shared" si="67"/>
        <v>0</v>
      </c>
      <c r="BK63" s="433">
        <f t="shared" si="68"/>
        <v>0</v>
      </c>
      <c r="BL63" s="433">
        <f t="shared" si="69"/>
        <v>0</v>
      </c>
      <c r="BM63" s="480" t="s">
        <v>215</v>
      </c>
      <c r="BN63" s="361"/>
      <c r="BO63" s="475"/>
      <c r="BP63" s="252"/>
      <c r="BQ63" s="251">
        <f t="shared" si="80"/>
        <v>0</v>
      </c>
      <c r="BR63" s="252"/>
      <c r="BS63" s="340">
        <f t="shared" si="81"/>
        <v>0</v>
      </c>
      <c r="BT63" s="252"/>
      <c r="BU63" s="252"/>
      <c r="BV63" s="340"/>
      <c r="BW63" s="478">
        <f t="shared" si="82"/>
        <v>0</v>
      </c>
    </row>
    <row r="64" spans="1:75" s="158" customFormat="1" ht="20.25" customHeight="1" x14ac:dyDescent="0.25">
      <c r="A64" s="486"/>
      <c r="B64" s="382"/>
      <c r="C64" s="375"/>
      <c r="D64" s="487" t="s">
        <v>3</v>
      </c>
      <c r="E64" s="414"/>
      <c r="F64" s="413"/>
      <c r="G64" s="380">
        <f t="shared" ref="G64:Z64" si="84">SUM(G42:G63)</f>
        <v>285</v>
      </c>
      <c r="H64" s="380">
        <f>SUM(H42:H63)</f>
        <v>2565000</v>
      </c>
      <c r="I64" s="380">
        <f t="shared" si="84"/>
        <v>256500</v>
      </c>
      <c r="J64" s="380">
        <f t="shared" si="84"/>
        <v>2052000</v>
      </c>
      <c r="K64" s="380">
        <f t="shared" si="84"/>
        <v>0</v>
      </c>
      <c r="L64" s="380">
        <f t="shared" si="84"/>
        <v>0</v>
      </c>
      <c r="M64" s="380">
        <f t="shared" si="84"/>
        <v>0</v>
      </c>
      <c r="N64" s="380">
        <f t="shared" si="84"/>
        <v>0</v>
      </c>
      <c r="O64" s="380">
        <f t="shared" si="84"/>
        <v>0</v>
      </c>
      <c r="P64" s="380">
        <f t="shared" si="84"/>
        <v>0</v>
      </c>
      <c r="Q64" s="380">
        <f t="shared" si="84"/>
        <v>256500</v>
      </c>
      <c r="R64" s="380">
        <f t="shared" si="84"/>
        <v>0</v>
      </c>
      <c r="S64" s="380">
        <f t="shared" si="84"/>
        <v>12.75</v>
      </c>
      <c r="T64" s="380">
        <f t="shared" si="84"/>
        <v>174.25</v>
      </c>
      <c r="U64" s="380">
        <f t="shared" si="84"/>
        <v>102</v>
      </c>
      <c r="V64" s="380">
        <f t="shared" si="84"/>
        <v>2</v>
      </c>
      <c r="W64" s="380">
        <f t="shared" si="84"/>
        <v>114750</v>
      </c>
      <c r="X64" s="380">
        <f t="shared" si="84"/>
        <v>1568250</v>
      </c>
      <c r="Y64" s="380">
        <f t="shared" si="84"/>
        <v>882000</v>
      </c>
      <c r="Z64" s="380">
        <f t="shared" si="84"/>
        <v>0</v>
      </c>
      <c r="AA64" s="380">
        <f t="shared" ref="AA64:BL64" si="85">SUM(AA42:AA63)</f>
        <v>40</v>
      </c>
      <c r="AB64" s="380">
        <f t="shared" si="85"/>
        <v>360000</v>
      </c>
      <c r="AC64" s="380">
        <f t="shared" si="85"/>
        <v>10</v>
      </c>
      <c r="AD64" s="380">
        <f t="shared" si="85"/>
        <v>90000</v>
      </c>
      <c r="AE64" s="380">
        <f t="shared" si="85"/>
        <v>20</v>
      </c>
      <c r="AF64" s="380">
        <f t="shared" si="85"/>
        <v>180000</v>
      </c>
      <c r="AG64" s="392">
        <v>0</v>
      </c>
      <c r="AH64" s="380">
        <f t="shared" si="85"/>
        <v>360000</v>
      </c>
      <c r="AI64" s="392">
        <v>0</v>
      </c>
      <c r="AJ64" s="380">
        <f t="shared" si="85"/>
        <v>0</v>
      </c>
      <c r="AK64" s="380">
        <f t="shared" si="85"/>
        <v>10</v>
      </c>
      <c r="AL64" s="380">
        <f t="shared" si="85"/>
        <v>90000</v>
      </c>
      <c r="AM64" s="380">
        <f t="shared" si="85"/>
        <v>20</v>
      </c>
      <c r="AN64" s="380">
        <f t="shared" si="85"/>
        <v>180000</v>
      </c>
      <c r="AO64" s="380">
        <f t="shared" si="85"/>
        <v>15</v>
      </c>
      <c r="AP64" s="380">
        <f t="shared" si="85"/>
        <v>135000</v>
      </c>
      <c r="AQ64" s="380">
        <f t="shared" si="85"/>
        <v>10</v>
      </c>
      <c r="AR64" s="380">
        <f t="shared" si="85"/>
        <v>90000</v>
      </c>
      <c r="AS64" s="380">
        <f t="shared" si="85"/>
        <v>20</v>
      </c>
      <c r="AT64" s="380">
        <f t="shared" si="85"/>
        <v>180000</v>
      </c>
      <c r="AU64" s="380">
        <f t="shared" si="85"/>
        <v>8</v>
      </c>
      <c r="AV64" s="380">
        <f t="shared" si="85"/>
        <v>72000</v>
      </c>
      <c r="AW64" s="380">
        <f t="shared" si="85"/>
        <v>20</v>
      </c>
      <c r="AX64" s="380">
        <f t="shared" si="85"/>
        <v>180000</v>
      </c>
      <c r="AY64" s="488">
        <f t="shared" si="85"/>
        <v>25</v>
      </c>
      <c r="AZ64" s="380">
        <f t="shared" si="85"/>
        <v>225000</v>
      </c>
      <c r="BA64" s="488">
        <f t="shared" si="85"/>
        <v>5</v>
      </c>
      <c r="BB64" s="380">
        <f t="shared" si="85"/>
        <v>45000</v>
      </c>
      <c r="BC64" s="380">
        <f t="shared" si="85"/>
        <v>20</v>
      </c>
      <c r="BD64" s="380">
        <f t="shared" si="85"/>
        <v>180000</v>
      </c>
      <c r="BE64" s="380">
        <f t="shared" si="85"/>
        <v>20</v>
      </c>
      <c r="BF64" s="380">
        <f t="shared" si="85"/>
        <v>180000</v>
      </c>
      <c r="BG64" s="380">
        <f t="shared" si="85"/>
        <v>2</v>
      </c>
      <c r="BH64" s="380">
        <f t="shared" si="85"/>
        <v>18000</v>
      </c>
      <c r="BI64" s="380">
        <f t="shared" si="85"/>
        <v>0</v>
      </c>
      <c r="BJ64" s="380">
        <f t="shared" si="85"/>
        <v>0</v>
      </c>
      <c r="BK64" s="380">
        <f t="shared" si="85"/>
        <v>285</v>
      </c>
      <c r="BL64" s="380">
        <f t="shared" si="85"/>
        <v>2565000</v>
      </c>
      <c r="BM64" s="380"/>
      <c r="BN64" s="380"/>
      <c r="BO64" s="380">
        <f t="shared" ref="BO64:BW64" si="86">SUM(BO42:BO63)</f>
        <v>0</v>
      </c>
      <c r="BP64" s="380">
        <f t="shared" si="86"/>
        <v>0</v>
      </c>
      <c r="BQ64" s="380">
        <f t="shared" si="86"/>
        <v>2565000</v>
      </c>
      <c r="BR64" s="380">
        <f t="shared" si="86"/>
        <v>0</v>
      </c>
      <c r="BS64" s="380">
        <f t="shared" si="86"/>
        <v>2565000</v>
      </c>
      <c r="BT64" s="380">
        <f t="shared" si="86"/>
        <v>0</v>
      </c>
      <c r="BU64" s="380">
        <f t="shared" si="86"/>
        <v>0</v>
      </c>
      <c r="BV64" s="380">
        <f t="shared" si="86"/>
        <v>0</v>
      </c>
      <c r="BW64" s="380">
        <f t="shared" si="86"/>
        <v>2565000</v>
      </c>
    </row>
    <row r="65" spans="1:75" s="158" customFormat="1" ht="20.25" customHeight="1" x14ac:dyDescent="0.25">
      <c r="A65" s="474"/>
      <c r="B65" s="496">
        <v>21360</v>
      </c>
      <c r="C65" s="377"/>
      <c r="D65" s="487" t="s">
        <v>648</v>
      </c>
      <c r="E65" s="432"/>
      <c r="F65" s="409"/>
      <c r="G65" s="395"/>
      <c r="H65" s="475"/>
      <c r="I65" s="475"/>
      <c r="J65" s="475"/>
      <c r="K65" s="475"/>
      <c r="L65" s="475"/>
      <c r="M65" s="475"/>
      <c r="N65" s="475"/>
      <c r="O65" s="475"/>
      <c r="P65" s="475"/>
      <c r="Q65" s="475"/>
      <c r="R65" s="475"/>
      <c r="S65" s="392"/>
      <c r="T65" s="392"/>
      <c r="U65" s="392"/>
      <c r="V65" s="392"/>
      <c r="W65" s="391"/>
      <c r="X65" s="391"/>
      <c r="Y65" s="391"/>
      <c r="Z65" s="391"/>
      <c r="AA65" s="392"/>
      <c r="AB65" s="433">
        <f t="shared" ref="AB65:AB81" si="87">AA65*F65</f>
        <v>0</v>
      </c>
      <c r="AC65" s="392"/>
      <c r="AD65" s="433">
        <f t="shared" ref="AD65:AD81" si="88">AC65*F65</f>
        <v>0</v>
      </c>
      <c r="AE65" s="392"/>
      <c r="AF65" s="433">
        <f t="shared" ref="AF65:AF81" si="89">AE65*F65</f>
        <v>0</v>
      </c>
      <c r="AG65" s="392">
        <v>0</v>
      </c>
      <c r="AH65" s="433">
        <f t="shared" ref="AH65:AH81" si="90">AG65*F65</f>
        <v>0</v>
      </c>
      <c r="AI65" s="392">
        <v>0</v>
      </c>
      <c r="AJ65" s="433">
        <f t="shared" ref="AJ65:AJ81" si="91">AI65*F65</f>
        <v>0</v>
      </c>
      <c r="AK65" s="392"/>
      <c r="AL65" s="433">
        <f t="shared" ref="AL65:AL81" si="92">AK65*F65</f>
        <v>0</v>
      </c>
      <c r="AM65" s="392"/>
      <c r="AN65" s="433">
        <f t="shared" ref="AN65:AN81" si="93">AM65*F65</f>
        <v>0</v>
      </c>
      <c r="AO65" s="392"/>
      <c r="AP65" s="433">
        <f t="shared" ref="AP65:AP81" si="94">AO65*F65</f>
        <v>0</v>
      </c>
      <c r="AQ65" s="392"/>
      <c r="AR65" s="433">
        <f t="shared" ref="AR65:AR81" si="95">AQ65*F65</f>
        <v>0</v>
      </c>
      <c r="AS65" s="392"/>
      <c r="AT65" s="433">
        <f t="shared" ref="AT65:AT81" si="96">AS65*F65</f>
        <v>0</v>
      </c>
      <c r="AU65" s="392"/>
      <c r="AV65" s="433">
        <f t="shared" ref="AV65:AV81" si="97">AU65*F65</f>
        <v>0</v>
      </c>
      <c r="AW65" s="392"/>
      <c r="AX65" s="433">
        <f t="shared" ref="AX65:AX81" si="98">AW65*F65</f>
        <v>0</v>
      </c>
      <c r="AY65" s="435"/>
      <c r="AZ65" s="433">
        <f t="shared" ref="AZ65:AZ81" si="99">AY65*F65</f>
        <v>0</v>
      </c>
      <c r="BA65" s="490"/>
      <c r="BB65" s="433">
        <f t="shared" ref="BB65:BB81" si="100">BA65*F65</f>
        <v>0</v>
      </c>
      <c r="BC65" s="392"/>
      <c r="BD65" s="433">
        <f t="shared" ref="BD65:BD81" si="101">BC65*F65</f>
        <v>0</v>
      </c>
      <c r="BE65" s="392"/>
      <c r="BF65" s="433">
        <f t="shared" ref="BF65:BF81" si="102">BE65*F65</f>
        <v>0</v>
      </c>
      <c r="BG65" s="392"/>
      <c r="BH65" s="433">
        <f t="shared" ref="BH65:BH81" si="103">BG65*F65</f>
        <v>0</v>
      </c>
      <c r="BI65" s="392"/>
      <c r="BJ65" s="433">
        <f t="shared" ref="BJ65:BJ81" si="104">BI65*F65</f>
        <v>0</v>
      </c>
      <c r="BK65" s="476"/>
      <c r="BL65" s="433"/>
      <c r="BM65" s="491"/>
      <c r="BN65" s="361"/>
      <c r="BO65" s="475"/>
      <c r="BP65" s="252"/>
      <c r="BQ65" s="252"/>
      <c r="BR65" s="252"/>
      <c r="BS65" s="340"/>
      <c r="BT65" s="252"/>
      <c r="BU65" s="252"/>
      <c r="BV65" s="340"/>
      <c r="BW65" s="478"/>
    </row>
    <row r="66" spans="1:75" s="263" customFormat="1" ht="20.25" customHeight="1" x14ac:dyDescent="0.25">
      <c r="A66" s="474"/>
      <c r="B66" s="408"/>
      <c r="C66" s="443" t="s">
        <v>802</v>
      </c>
      <c r="D66" s="479" t="s">
        <v>762</v>
      </c>
      <c r="E66" s="432" t="s">
        <v>630</v>
      </c>
      <c r="F66" s="409">
        <v>50000</v>
      </c>
      <c r="G66" s="395">
        <f t="shared" ref="G66:G80" si="105">BK66</f>
        <v>0</v>
      </c>
      <c r="H66" s="475">
        <f>G66*F66</f>
        <v>0</v>
      </c>
      <c r="I66" s="475">
        <f t="shared" ref="I66:I81" si="106">H66*0.1</f>
        <v>0</v>
      </c>
      <c r="J66" s="475">
        <f t="shared" ref="J66:J81" si="107">H66*0.8</f>
        <v>0</v>
      </c>
      <c r="K66" s="475"/>
      <c r="L66" s="475"/>
      <c r="M66" s="475"/>
      <c r="N66" s="475"/>
      <c r="O66" s="475"/>
      <c r="P66" s="475"/>
      <c r="Q66" s="475">
        <f>H66*0.1</f>
        <v>0</v>
      </c>
      <c r="R66" s="475"/>
      <c r="S66" s="476"/>
      <c r="T66" s="476">
        <f>G66*0.6</f>
        <v>0</v>
      </c>
      <c r="U66" s="476">
        <f>G66*0.4</f>
        <v>0</v>
      </c>
      <c r="V66" s="476"/>
      <c r="W66" s="465">
        <f t="shared" ref="W66:W81" si="108">S66*F66</f>
        <v>0</v>
      </c>
      <c r="X66" s="465">
        <f t="shared" ref="X66:X81" si="109">T66*F66</f>
        <v>0</v>
      </c>
      <c r="Y66" s="465">
        <f t="shared" ref="Y66:Y81" si="110">U66*F66</f>
        <v>0</v>
      </c>
      <c r="Z66" s="465">
        <f t="shared" ref="Z66:Z81" si="111">V66*F66</f>
        <v>0</v>
      </c>
      <c r="AA66" s="492">
        <v>0</v>
      </c>
      <c r="AB66" s="433">
        <f t="shared" si="87"/>
        <v>0</v>
      </c>
      <c r="AC66" s="476">
        <v>0</v>
      </c>
      <c r="AD66" s="433">
        <f t="shared" si="88"/>
        <v>0</v>
      </c>
      <c r="AE66" s="476">
        <v>0</v>
      </c>
      <c r="AF66" s="433">
        <f t="shared" si="89"/>
        <v>0</v>
      </c>
      <c r="AG66" s="392">
        <v>0</v>
      </c>
      <c r="AH66" s="433">
        <f t="shared" si="90"/>
        <v>0</v>
      </c>
      <c r="AI66" s="392">
        <v>0</v>
      </c>
      <c r="AJ66" s="433">
        <f t="shared" si="91"/>
        <v>0</v>
      </c>
      <c r="AK66" s="476">
        <v>0</v>
      </c>
      <c r="AL66" s="433">
        <f t="shared" si="92"/>
        <v>0</v>
      </c>
      <c r="AM66" s="476">
        <v>0</v>
      </c>
      <c r="AN66" s="433">
        <f t="shared" si="93"/>
        <v>0</v>
      </c>
      <c r="AO66" s="476">
        <v>0</v>
      </c>
      <c r="AP66" s="433">
        <f t="shared" si="94"/>
        <v>0</v>
      </c>
      <c r="AQ66" s="476">
        <v>0</v>
      </c>
      <c r="AR66" s="433">
        <f t="shared" si="95"/>
        <v>0</v>
      </c>
      <c r="AS66" s="476">
        <v>0</v>
      </c>
      <c r="AT66" s="433">
        <f t="shared" si="96"/>
        <v>0</v>
      </c>
      <c r="AU66" s="476">
        <v>0</v>
      </c>
      <c r="AV66" s="433">
        <f t="shared" si="97"/>
        <v>0</v>
      </c>
      <c r="AW66" s="490">
        <v>0</v>
      </c>
      <c r="AX66" s="433">
        <f t="shared" si="98"/>
        <v>0</v>
      </c>
      <c r="AY66" s="338">
        <v>0</v>
      </c>
      <c r="AZ66" s="433">
        <f t="shared" si="99"/>
        <v>0</v>
      </c>
      <c r="BA66" s="352">
        <v>0</v>
      </c>
      <c r="BB66" s="433">
        <f t="shared" si="100"/>
        <v>0</v>
      </c>
      <c r="BC66" s="476">
        <v>0</v>
      </c>
      <c r="BD66" s="433">
        <f t="shared" si="101"/>
        <v>0</v>
      </c>
      <c r="BE66" s="392">
        <v>0</v>
      </c>
      <c r="BF66" s="433">
        <f t="shared" si="102"/>
        <v>0</v>
      </c>
      <c r="BG66" s="476">
        <v>0</v>
      </c>
      <c r="BH66" s="433">
        <f t="shared" si="103"/>
        <v>0</v>
      </c>
      <c r="BI66" s="476"/>
      <c r="BJ66" s="433">
        <f t="shared" si="104"/>
        <v>0</v>
      </c>
      <c r="BK66" s="433">
        <f t="shared" ref="BK66:BK81" si="112">AA66+AC66+AE66+AG66+AI66+AK66+AM66+AO66+AQ66+AS66+AU66+AW66+AY66+BA66+BC66+BE66+BG66+BI66</f>
        <v>0</v>
      </c>
      <c r="BL66" s="433">
        <f t="shared" ref="BL66:BL81" si="113">AB66+AD66+AF66+AH66+AJ66+AL66+AN66+AP66+AR66+AT66+AV66+AX66+AZ66+BB66+BD66+BF66+BH66+BJ66</f>
        <v>0</v>
      </c>
      <c r="BM66" s="480" t="s">
        <v>215</v>
      </c>
      <c r="BN66" s="361"/>
      <c r="BO66" s="475"/>
      <c r="BP66" s="252"/>
      <c r="BQ66" s="251">
        <f t="shared" ref="BQ66:BQ80" si="114">H66</f>
        <v>0</v>
      </c>
      <c r="BR66" s="252"/>
      <c r="BS66" s="340">
        <f t="shared" ref="BS66:BS80" si="115">BO66+BP66+BQ66+BR66</f>
        <v>0</v>
      </c>
      <c r="BT66" s="252"/>
      <c r="BU66" s="252"/>
      <c r="BV66" s="340"/>
      <c r="BW66" s="478">
        <f>BS66+BV66</f>
        <v>0</v>
      </c>
    </row>
    <row r="67" spans="1:75" s="263" customFormat="1" ht="20.25" customHeight="1" x14ac:dyDescent="0.25">
      <c r="A67" s="474"/>
      <c r="B67" s="408"/>
      <c r="C67" s="443" t="s">
        <v>803</v>
      </c>
      <c r="D67" s="494" t="s">
        <v>258</v>
      </c>
      <c r="E67" s="432" t="s">
        <v>75</v>
      </c>
      <c r="F67" s="409">
        <v>20000</v>
      </c>
      <c r="G67" s="395">
        <f t="shared" si="105"/>
        <v>0</v>
      </c>
      <c r="H67" s="475">
        <f>G67*F67</f>
        <v>0</v>
      </c>
      <c r="I67" s="475">
        <f t="shared" si="106"/>
        <v>0</v>
      </c>
      <c r="J67" s="475">
        <f t="shared" si="107"/>
        <v>0</v>
      </c>
      <c r="K67" s="475"/>
      <c r="L67" s="475"/>
      <c r="M67" s="475"/>
      <c r="N67" s="475"/>
      <c r="O67" s="475"/>
      <c r="P67" s="475"/>
      <c r="Q67" s="475">
        <f t="shared" ref="Q67:Q81" si="116">H67*0.1</f>
        <v>0</v>
      </c>
      <c r="R67" s="475"/>
      <c r="S67" s="468">
        <f>G67*0.15</f>
        <v>0</v>
      </c>
      <c r="T67" s="468">
        <f>G67*0.7</f>
        <v>0</v>
      </c>
      <c r="U67" s="468">
        <f>G67:G67*0.15</f>
        <v>0</v>
      </c>
      <c r="V67" s="392"/>
      <c r="W67" s="465">
        <f t="shared" si="108"/>
        <v>0</v>
      </c>
      <c r="X67" s="465">
        <f t="shared" si="109"/>
        <v>0</v>
      </c>
      <c r="Y67" s="465">
        <f t="shared" si="110"/>
        <v>0</v>
      </c>
      <c r="Z67" s="465">
        <f t="shared" si="111"/>
        <v>0</v>
      </c>
      <c r="AA67" s="492">
        <v>0</v>
      </c>
      <c r="AB67" s="433">
        <f t="shared" si="87"/>
        <v>0</v>
      </c>
      <c r="AC67" s="476">
        <v>0</v>
      </c>
      <c r="AD67" s="433">
        <f t="shared" si="88"/>
        <v>0</v>
      </c>
      <c r="AE67" s="476">
        <v>0</v>
      </c>
      <c r="AF67" s="433">
        <f t="shared" si="89"/>
        <v>0</v>
      </c>
      <c r="AG67" s="392">
        <v>0</v>
      </c>
      <c r="AH67" s="433">
        <f t="shared" si="90"/>
        <v>0</v>
      </c>
      <c r="AI67" s="392">
        <v>0</v>
      </c>
      <c r="AJ67" s="433">
        <f t="shared" si="91"/>
        <v>0</v>
      </c>
      <c r="AK67" s="476">
        <v>0</v>
      </c>
      <c r="AL67" s="433">
        <f t="shared" si="92"/>
        <v>0</v>
      </c>
      <c r="AM67" s="476">
        <v>0</v>
      </c>
      <c r="AN67" s="433">
        <f t="shared" si="93"/>
        <v>0</v>
      </c>
      <c r="AO67" s="476">
        <v>0</v>
      </c>
      <c r="AP67" s="433">
        <f t="shared" si="94"/>
        <v>0</v>
      </c>
      <c r="AQ67" s="476">
        <v>0</v>
      </c>
      <c r="AR67" s="433">
        <f t="shared" si="95"/>
        <v>0</v>
      </c>
      <c r="AS67" s="476">
        <v>0</v>
      </c>
      <c r="AT67" s="433">
        <f t="shared" si="96"/>
        <v>0</v>
      </c>
      <c r="AU67" s="476">
        <v>0</v>
      </c>
      <c r="AV67" s="433">
        <f t="shared" si="97"/>
        <v>0</v>
      </c>
      <c r="AW67" s="490">
        <v>0</v>
      </c>
      <c r="AX67" s="433">
        <f t="shared" si="98"/>
        <v>0</v>
      </c>
      <c r="AY67" s="338">
        <v>0</v>
      </c>
      <c r="AZ67" s="433">
        <f t="shared" si="99"/>
        <v>0</v>
      </c>
      <c r="BA67" s="352">
        <v>0</v>
      </c>
      <c r="BB67" s="433">
        <f t="shared" si="100"/>
        <v>0</v>
      </c>
      <c r="BC67" s="476">
        <v>0</v>
      </c>
      <c r="BD67" s="433">
        <f t="shared" si="101"/>
        <v>0</v>
      </c>
      <c r="BE67" s="392">
        <v>0</v>
      </c>
      <c r="BF67" s="433">
        <f t="shared" si="102"/>
        <v>0</v>
      </c>
      <c r="BG67" s="476">
        <v>0</v>
      </c>
      <c r="BH67" s="433">
        <f t="shared" si="103"/>
        <v>0</v>
      </c>
      <c r="BI67" s="392"/>
      <c r="BJ67" s="433">
        <f t="shared" si="104"/>
        <v>0</v>
      </c>
      <c r="BK67" s="433">
        <f t="shared" si="112"/>
        <v>0</v>
      </c>
      <c r="BL67" s="433">
        <f t="shared" si="113"/>
        <v>0</v>
      </c>
      <c r="BM67" s="480" t="s">
        <v>215</v>
      </c>
      <c r="BN67" s="361"/>
      <c r="BO67" s="475"/>
      <c r="BP67" s="252"/>
      <c r="BQ67" s="251">
        <f t="shared" si="114"/>
        <v>0</v>
      </c>
      <c r="BR67" s="252"/>
      <c r="BS67" s="340">
        <f t="shared" si="115"/>
        <v>0</v>
      </c>
      <c r="BT67" s="252"/>
      <c r="BU67" s="252"/>
      <c r="BV67" s="340"/>
      <c r="BW67" s="478">
        <f>BS67+BV67</f>
        <v>0</v>
      </c>
    </row>
    <row r="68" spans="1:75" s="263" customFormat="1" ht="20.25" customHeight="1" x14ac:dyDescent="0.25">
      <c r="A68" s="474"/>
      <c r="B68" s="408"/>
      <c r="C68" s="443" t="s">
        <v>804</v>
      </c>
      <c r="D68" s="494" t="s">
        <v>252</v>
      </c>
      <c r="E68" s="432" t="s">
        <v>75</v>
      </c>
      <c r="F68" s="409">
        <v>20000</v>
      </c>
      <c r="G68" s="395">
        <f>BK68</f>
        <v>0</v>
      </c>
      <c r="H68" s="475">
        <f>G68*F68</f>
        <v>0</v>
      </c>
      <c r="I68" s="475">
        <f t="shared" si="106"/>
        <v>0</v>
      </c>
      <c r="J68" s="475">
        <f t="shared" si="107"/>
        <v>0</v>
      </c>
      <c r="K68" s="475"/>
      <c r="L68" s="475"/>
      <c r="M68" s="475"/>
      <c r="N68" s="475"/>
      <c r="O68" s="475"/>
      <c r="P68" s="475"/>
      <c r="Q68" s="475">
        <f t="shared" si="116"/>
        <v>0</v>
      </c>
      <c r="R68" s="475"/>
      <c r="S68" s="392"/>
      <c r="T68" s="392"/>
      <c r="U68" s="392">
        <f>G68</f>
        <v>0</v>
      </c>
      <c r="V68" s="392"/>
      <c r="W68" s="465">
        <f t="shared" si="108"/>
        <v>0</v>
      </c>
      <c r="X68" s="465">
        <f t="shared" si="109"/>
        <v>0</v>
      </c>
      <c r="Y68" s="465">
        <f t="shared" si="110"/>
        <v>0</v>
      </c>
      <c r="Z68" s="465">
        <f t="shared" si="111"/>
        <v>0</v>
      </c>
      <c r="AA68" s="492">
        <v>0</v>
      </c>
      <c r="AB68" s="433">
        <f t="shared" si="87"/>
        <v>0</v>
      </c>
      <c r="AC68" s="476">
        <v>0</v>
      </c>
      <c r="AD68" s="433">
        <f t="shared" si="88"/>
        <v>0</v>
      </c>
      <c r="AE68" s="476">
        <v>0</v>
      </c>
      <c r="AF68" s="433">
        <f t="shared" si="89"/>
        <v>0</v>
      </c>
      <c r="AG68" s="392">
        <v>0</v>
      </c>
      <c r="AH68" s="433">
        <f t="shared" si="90"/>
        <v>0</v>
      </c>
      <c r="AI68" s="392">
        <v>0</v>
      </c>
      <c r="AJ68" s="433">
        <f t="shared" si="91"/>
        <v>0</v>
      </c>
      <c r="AK68" s="476">
        <v>0</v>
      </c>
      <c r="AL68" s="433">
        <f t="shared" si="92"/>
        <v>0</v>
      </c>
      <c r="AM68" s="476">
        <v>0</v>
      </c>
      <c r="AN68" s="433">
        <f t="shared" si="93"/>
        <v>0</v>
      </c>
      <c r="AO68" s="476">
        <v>0</v>
      </c>
      <c r="AP68" s="433">
        <f t="shared" si="94"/>
        <v>0</v>
      </c>
      <c r="AQ68" s="476">
        <v>0</v>
      </c>
      <c r="AR68" s="433">
        <f t="shared" si="95"/>
        <v>0</v>
      </c>
      <c r="AS68" s="476">
        <v>0</v>
      </c>
      <c r="AT68" s="433">
        <f t="shared" si="96"/>
        <v>0</v>
      </c>
      <c r="AU68" s="476">
        <v>0</v>
      </c>
      <c r="AV68" s="433">
        <f t="shared" si="97"/>
        <v>0</v>
      </c>
      <c r="AW68" s="490">
        <v>0</v>
      </c>
      <c r="AX68" s="433">
        <f t="shared" si="98"/>
        <v>0</v>
      </c>
      <c r="AY68" s="338">
        <v>0</v>
      </c>
      <c r="AZ68" s="433">
        <f t="shared" si="99"/>
        <v>0</v>
      </c>
      <c r="BA68" s="352">
        <v>0</v>
      </c>
      <c r="BB68" s="433">
        <f t="shared" si="100"/>
        <v>0</v>
      </c>
      <c r="BC68" s="476">
        <v>0</v>
      </c>
      <c r="BD68" s="433">
        <f t="shared" si="101"/>
        <v>0</v>
      </c>
      <c r="BE68" s="392">
        <v>0</v>
      </c>
      <c r="BF68" s="433">
        <f t="shared" si="102"/>
        <v>0</v>
      </c>
      <c r="BG68" s="476">
        <v>0</v>
      </c>
      <c r="BH68" s="433">
        <f t="shared" si="103"/>
        <v>0</v>
      </c>
      <c r="BI68" s="392"/>
      <c r="BJ68" s="433">
        <f t="shared" si="104"/>
        <v>0</v>
      </c>
      <c r="BK68" s="433">
        <f t="shared" si="112"/>
        <v>0</v>
      </c>
      <c r="BL68" s="433">
        <f t="shared" si="113"/>
        <v>0</v>
      </c>
      <c r="BM68" s="480" t="s">
        <v>215</v>
      </c>
      <c r="BN68" s="361"/>
      <c r="BO68" s="475"/>
      <c r="BP68" s="252"/>
      <c r="BQ68" s="251">
        <f t="shared" si="114"/>
        <v>0</v>
      </c>
      <c r="BR68" s="252"/>
      <c r="BS68" s="340">
        <f t="shared" si="115"/>
        <v>0</v>
      </c>
      <c r="BT68" s="252"/>
      <c r="BU68" s="252"/>
      <c r="BV68" s="340"/>
      <c r="BW68" s="478">
        <f>BS68+BV68</f>
        <v>0</v>
      </c>
    </row>
    <row r="69" spans="1:75" s="263" customFormat="1" ht="20.25" customHeight="1" x14ac:dyDescent="0.25">
      <c r="A69" s="474"/>
      <c r="B69" s="408"/>
      <c r="C69" s="443" t="s">
        <v>805</v>
      </c>
      <c r="D69" s="479" t="s">
        <v>253</v>
      </c>
      <c r="E69" s="432" t="s">
        <v>75</v>
      </c>
      <c r="F69" s="409">
        <v>20000</v>
      </c>
      <c r="G69" s="395">
        <f>BK69</f>
        <v>0</v>
      </c>
      <c r="H69" s="495">
        <f>BL69</f>
        <v>0</v>
      </c>
      <c r="I69" s="475">
        <f t="shared" si="106"/>
        <v>0</v>
      </c>
      <c r="J69" s="475">
        <f t="shared" si="107"/>
        <v>0</v>
      </c>
      <c r="K69" s="475"/>
      <c r="L69" s="475"/>
      <c r="M69" s="475"/>
      <c r="N69" s="475"/>
      <c r="O69" s="475"/>
      <c r="P69" s="475"/>
      <c r="Q69" s="475">
        <f t="shared" si="116"/>
        <v>0</v>
      </c>
      <c r="R69" s="475"/>
      <c r="S69" s="392"/>
      <c r="T69" s="392"/>
      <c r="U69" s="392">
        <f>G69</f>
        <v>0</v>
      </c>
      <c r="V69" s="392"/>
      <c r="W69" s="465">
        <f t="shared" si="108"/>
        <v>0</v>
      </c>
      <c r="X69" s="465">
        <f t="shared" si="109"/>
        <v>0</v>
      </c>
      <c r="Y69" s="465">
        <f t="shared" si="110"/>
        <v>0</v>
      </c>
      <c r="Z69" s="465">
        <f t="shared" si="111"/>
        <v>0</v>
      </c>
      <c r="AA69" s="492">
        <v>0</v>
      </c>
      <c r="AB69" s="433">
        <f t="shared" si="87"/>
        <v>0</v>
      </c>
      <c r="AC69" s="476">
        <v>0</v>
      </c>
      <c r="AD69" s="433">
        <f t="shared" si="88"/>
        <v>0</v>
      </c>
      <c r="AE69" s="476">
        <v>0</v>
      </c>
      <c r="AF69" s="433">
        <f t="shared" si="89"/>
        <v>0</v>
      </c>
      <c r="AG69" s="392">
        <v>0</v>
      </c>
      <c r="AH69" s="433">
        <f t="shared" si="90"/>
        <v>0</v>
      </c>
      <c r="AI69" s="392">
        <v>0</v>
      </c>
      <c r="AJ69" s="433">
        <f t="shared" si="91"/>
        <v>0</v>
      </c>
      <c r="AK69" s="476">
        <v>0</v>
      </c>
      <c r="AL69" s="433">
        <f t="shared" si="92"/>
        <v>0</v>
      </c>
      <c r="AM69" s="476">
        <v>0</v>
      </c>
      <c r="AN69" s="433">
        <f t="shared" si="93"/>
        <v>0</v>
      </c>
      <c r="AO69" s="476">
        <v>0</v>
      </c>
      <c r="AP69" s="433">
        <f t="shared" si="94"/>
        <v>0</v>
      </c>
      <c r="AQ69" s="476">
        <v>0</v>
      </c>
      <c r="AR69" s="433">
        <f t="shared" si="95"/>
        <v>0</v>
      </c>
      <c r="AS69" s="476">
        <v>0</v>
      </c>
      <c r="AT69" s="433">
        <f t="shared" si="96"/>
        <v>0</v>
      </c>
      <c r="AU69" s="476">
        <v>0</v>
      </c>
      <c r="AV69" s="433">
        <f t="shared" si="97"/>
        <v>0</v>
      </c>
      <c r="AW69" s="490">
        <v>0</v>
      </c>
      <c r="AX69" s="433">
        <f t="shared" si="98"/>
        <v>0</v>
      </c>
      <c r="AY69" s="338">
        <v>0</v>
      </c>
      <c r="AZ69" s="433">
        <f t="shared" si="99"/>
        <v>0</v>
      </c>
      <c r="BA69" s="352">
        <v>0</v>
      </c>
      <c r="BB69" s="433">
        <f t="shared" si="100"/>
        <v>0</v>
      </c>
      <c r="BC69" s="476">
        <v>0</v>
      </c>
      <c r="BD69" s="433">
        <f t="shared" si="101"/>
        <v>0</v>
      </c>
      <c r="BE69" s="392">
        <v>0</v>
      </c>
      <c r="BF69" s="433">
        <f t="shared" si="102"/>
        <v>0</v>
      </c>
      <c r="BG69" s="476">
        <v>0</v>
      </c>
      <c r="BH69" s="433">
        <f t="shared" si="103"/>
        <v>0</v>
      </c>
      <c r="BI69" s="392"/>
      <c r="BJ69" s="433">
        <f t="shared" si="104"/>
        <v>0</v>
      </c>
      <c r="BK69" s="433">
        <f t="shared" si="112"/>
        <v>0</v>
      </c>
      <c r="BL69" s="433">
        <f t="shared" si="113"/>
        <v>0</v>
      </c>
      <c r="BM69" s="480" t="s">
        <v>215</v>
      </c>
      <c r="BN69" s="361"/>
      <c r="BO69" s="475"/>
      <c r="BP69" s="252"/>
      <c r="BQ69" s="251">
        <f t="shared" si="114"/>
        <v>0</v>
      </c>
      <c r="BR69" s="252"/>
      <c r="BS69" s="340">
        <f t="shared" si="115"/>
        <v>0</v>
      </c>
      <c r="BT69" s="252"/>
      <c r="BU69" s="252"/>
      <c r="BV69" s="340"/>
      <c r="BW69" s="478">
        <f>BS69+BV69</f>
        <v>0</v>
      </c>
    </row>
    <row r="70" spans="1:75" s="263" customFormat="1" ht="20.25" customHeight="1" x14ac:dyDescent="0.25">
      <c r="A70" s="474"/>
      <c r="B70" s="408"/>
      <c r="C70" s="443" t="s">
        <v>806</v>
      </c>
      <c r="D70" s="479" t="s">
        <v>289</v>
      </c>
      <c r="E70" s="432" t="s">
        <v>75</v>
      </c>
      <c r="F70" s="409">
        <v>20000</v>
      </c>
      <c r="G70" s="395">
        <f t="shared" si="105"/>
        <v>0</v>
      </c>
      <c r="H70" s="475">
        <f t="shared" ref="H70:H80" si="117">G70*F70</f>
        <v>0</v>
      </c>
      <c r="I70" s="475">
        <f t="shared" si="106"/>
        <v>0</v>
      </c>
      <c r="J70" s="475">
        <f t="shared" si="107"/>
        <v>0</v>
      </c>
      <c r="K70" s="475"/>
      <c r="L70" s="475"/>
      <c r="M70" s="475"/>
      <c r="N70" s="475"/>
      <c r="O70" s="475"/>
      <c r="P70" s="475"/>
      <c r="Q70" s="475">
        <f t="shared" si="116"/>
        <v>0</v>
      </c>
      <c r="R70" s="475"/>
      <c r="S70" s="468"/>
      <c r="T70" s="468">
        <f>G70*0.7</f>
        <v>0</v>
      </c>
      <c r="U70" s="468"/>
      <c r="V70" s="392">
        <f>G70*0.3</f>
        <v>0</v>
      </c>
      <c r="W70" s="465">
        <f t="shared" si="108"/>
        <v>0</v>
      </c>
      <c r="X70" s="465">
        <f t="shared" si="109"/>
        <v>0</v>
      </c>
      <c r="Y70" s="465">
        <f t="shared" si="110"/>
        <v>0</v>
      </c>
      <c r="Z70" s="465">
        <f t="shared" si="111"/>
        <v>0</v>
      </c>
      <c r="AA70" s="492">
        <v>0</v>
      </c>
      <c r="AB70" s="433">
        <f t="shared" si="87"/>
        <v>0</v>
      </c>
      <c r="AC70" s="476">
        <v>0</v>
      </c>
      <c r="AD70" s="433">
        <f t="shared" si="88"/>
        <v>0</v>
      </c>
      <c r="AE70" s="476">
        <v>0</v>
      </c>
      <c r="AF70" s="433">
        <f t="shared" si="89"/>
        <v>0</v>
      </c>
      <c r="AG70" s="392">
        <v>0</v>
      </c>
      <c r="AH70" s="433">
        <f t="shared" si="90"/>
        <v>0</v>
      </c>
      <c r="AI70" s="392">
        <v>0</v>
      </c>
      <c r="AJ70" s="433">
        <f t="shared" si="91"/>
        <v>0</v>
      </c>
      <c r="AK70" s="476">
        <v>0</v>
      </c>
      <c r="AL70" s="433">
        <f t="shared" si="92"/>
        <v>0</v>
      </c>
      <c r="AM70" s="476">
        <v>0</v>
      </c>
      <c r="AN70" s="433">
        <f t="shared" si="93"/>
        <v>0</v>
      </c>
      <c r="AO70" s="476">
        <v>0</v>
      </c>
      <c r="AP70" s="433">
        <f t="shared" si="94"/>
        <v>0</v>
      </c>
      <c r="AQ70" s="476">
        <v>0</v>
      </c>
      <c r="AR70" s="433">
        <f t="shared" si="95"/>
        <v>0</v>
      </c>
      <c r="AS70" s="476">
        <v>0</v>
      </c>
      <c r="AT70" s="433">
        <f t="shared" si="96"/>
        <v>0</v>
      </c>
      <c r="AU70" s="476">
        <v>0</v>
      </c>
      <c r="AV70" s="433">
        <f t="shared" si="97"/>
        <v>0</v>
      </c>
      <c r="AW70" s="490">
        <v>0</v>
      </c>
      <c r="AX70" s="433">
        <f t="shared" si="98"/>
        <v>0</v>
      </c>
      <c r="AY70" s="338">
        <v>0</v>
      </c>
      <c r="AZ70" s="433">
        <f t="shared" si="99"/>
        <v>0</v>
      </c>
      <c r="BA70" s="352">
        <v>0</v>
      </c>
      <c r="BB70" s="433">
        <f t="shared" si="100"/>
        <v>0</v>
      </c>
      <c r="BC70" s="476">
        <v>0</v>
      </c>
      <c r="BD70" s="433">
        <f t="shared" si="101"/>
        <v>0</v>
      </c>
      <c r="BE70" s="392">
        <v>0</v>
      </c>
      <c r="BF70" s="433">
        <f t="shared" si="102"/>
        <v>0</v>
      </c>
      <c r="BG70" s="476">
        <v>0</v>
      </c>
      <c r="BH70" s="433">
        <f t="shared" si="103"/>
        <v>0</v>
      </c>
      <c r="BI70" s="392"/>
      <c r="BJ70" s="433">
        <f t="shared" si="104"/>
        <v>0</v>
      </c>
      <c r="BK70" s="433">
        <f t="shared" si="112"/>
        <v>0</v>
      </c>
      <c r="BL70" s="433">
        <f t="shared" si="113"/>
        <v>0</v>
      </c>
      <c r="BM70" s="480" t="s">
        <v>215</v>
      </c>
      <c r="BN70" s="361"/>
      <c r="BO70" s="475"/>
      <c r="BP70" s="252"/>
      <c r="BQ70" s="251">
        <f t="shared" si="114"/>
        <v>0</v>
      </c>
      <c r="BR70" s="252"/>
      <c r="BS70" s="340">
        <f t="shared" si="115"/>
        <v>0</v>
      </c>
      <c r="BT70" s="252"/>
      <c r="BU70" s="252"/>
      <c r="BV70" s="340"/>
      <c r="BW70" s="478">
        <f>BS70+BV70</f>
        <v>0</v>
      </c>
    </row>
    <row r="71" spans="1:75" s="263" customFormat="1" ht="20.25" customHeight="1" x14ac:dyDescent="0.25">
      <c r="A71" s="474"/>
      <c r="B71" s="408"/>
      <c r="C71" s="443" t="s">
        <v>807</v>
      </c>
      <c r="D71" s="479" t="s">
        <v>254</v>
      </c>
      <c r="E71" s="432" t="s">
        <v>75</v>
      </c>
      <c r="F71" s="409">
        <v>50000</v>
      </c>
      <c r="G71" s="395">
        <f t="shared" si="105"/>
        <v>0</v>
      </c>
      <c r="H71" s="475">
        <f t="shared" si="117"/>
        <v>0</v>
      </c>
      <c r="I71" s="475">
        <f t="shared" si="106"/>
        <v>0</v>
      </c>
      <c r="J71" s="475">
        <f t="shared" si="107"/>
        <v>0</v>
      </c>
      <c r="K71" s="475"/>
      <c r="L71" s="475"/>
      <c r="M71" s="475"/>
      <c r="N71" s="475"/>
      <c r="O71" s="475"/>
      <c r="P71" s="475"/>
      <c r="Q71" s="475">
        <f t="shared" si="116"/>
        <v>0</v>
      </c>
      <c r="R71" s="475"/>
      <c r="S71" s="468">
        <f>G71*0.65</f>
        <v>0</v>
      </c>
      <c r="T71" s="468">
        <f>G71*0.35</f>
        <v>0</v>
      </c>
      <c r="U71" s="392"/>
      <c r="V71" s="392"/>
      <c r="W71" s="465">
        <f t="shared" si="108"/>
        <v>0</v>
      </c>
      <c r="X71" s="465">
        <f t="shared" si="109"/>
        <v>0</v>
      </c>
      <c r="Y71" s="465">
        <f t="shared" si="110"/>
        <v>0</v>
      </c>
      <c r="Z71" s="465">
        <f t="shared" si="111"/>
        <v>0</v>
      </c>
      <c r="AA71" s="492">
        <v>0</v>
      </c>
      <c r="AB71" s="433">
        <f t="shared" si="87"/>
        <v>0</v>
      </c>
      <c r="AC71" s="476">
        <v>0</v>
      </c>
      <c r="AD71" s="433">
        <f t="shared" si="88"/>
        <v>0</v>
      </c>
      <c r="AE71" s="476">
        <v>0</v>
      </c>
      <c r="AF71" s="433">
        <f t="shared" si="89"/>
        <v>0</v>
      </c>
      <c r="AG71" s="392">
        <v>0</v>
      </c>
      <c r="AH71" s="433">
        <f t="shared" si="90"/>
        <v>0</v>
      </c>
      <c r="AI71" s="392">
        <v>0</v>
      </c>
      <c r="AJ71" s="433">
        <f t="shared" si="91"/>
        <v>0</v>
      </c>
      <c r="AK71" s="476">
        <v>0</v>
      </c>
      <c r="AL71" s="433">
        <f t="shared" si="92"/>
        <v>0</v>
      </c>
      <c r="AM71" s="476">
        <v>0</v>
      </c>
      <c r="AN71" s="433">
        <f t="shared" si="93"/>
        <v>0</v>
      </c>
      <c r="AO71" s="476">
        <v>0</v>
      </c>
      <c r="AP71" s="433">
        <f t="shared" si="94"/>
        <v>0</v>
      </c>
      <c r="AQ71" s="476">
        <v>0</v>
      </c>
      <c r="AR71" s="433">
        <f t="shared" si="95"/>
        <v>0</v>
      </c>
      <c r="AS71" s="476">
        <v>0</v>
      </c>
      <c r="AT71" s="433">
        <f t="shared" si="96"/>
        <v>0</v>
      </c>
      <c r="AU71" s="476">
        <v>0</v>
      </c>
      <c r="AV71" s="433">
        <f t="shared" si="97"/>
        <v>0</v>
      </c>
      <c r="AW71" s="490">
        <v>0</v>
      </c>
      <c r="AX71" s="433">
        <f t="shared" si="98"/>
        <v>0</v>
      </c>
      <c r="AY71" s="338">
        <v>0</v>
      </c>
      <c r="AZ71" s="433">
        <f t="shared" si="99"/>
        <v>0</v>
      </c>
      <c r="BA71" s="352">
        <v>0</v>
      </c>
      <c r="BB71" s="433">
        <f t="shared" si="100"/>
        <v>0</v>
      </c>
      <c r="BC71" s="476">
        <v>0</v>
      </c>
      <c r="BD71" s="433">
        <f t="shared" si="101"/>
        <v>0</v>
      </c>
      <c r="BE71" s="392">
        <v>0</v>
      </c>
      <c r="BF71" s="433">
        <f t="shared" si="102"/>
        <v>0</v>
      </c>
      <c r="BG71" s="476">
        <v>0</v>
      </c>
      <c r="BH71" s="433">
        <f t="shared" si="103"/>
        <v>0</v>
      </c>
      <c r="BI71" s="392"/>
      <c r="BJ71" s="433">
        <f t="shared" si="104"/>
        <v>0</v>
      </c>
      <c r="BK71" s="433">
        <f t="shared" si="112"/>
        <v>0</v>
      </c>
      <c r="BL71" s="433">
        <f t="shared" si="113"/>
        <v>0</v>
      </c>
      <c r="BM71" s="480" t="s">
        <v>215</v>
      </c>
      <c r="BN71" s="361"/>
      <c r="BO71" s="475"/>
      <c r="BP71" s="252"/>
      <c r="BQ71" s="251">
        <f t="shared" si="114"/>
        <v>0</v>
      </c>
      <c r="BR71" s="252"/>
      <c r="BS71" s="340">
        <f t="shared" si="115"/>
        <v>0</v>
      </c>
      <c r="BT71" s="252"/>
      <c r="BU71" s="252"/>
      <c r="BV71" s="340"/>
      <c r="BW71" s="478">
        <f t="shared" ref="BW71:BW80" si="118">BS71+BV71</f>
        <v>0</v>
      </c>
    </row>
    <row r="72" spans="1:75" s="263" customFormat="1" ht="20.25" customHeight="1" x14ac:dyDescent="0.25">
      <c r="A72" s="474"/>
      <c r="B72" s="408"/>
      <c r="C72" s="443" t="s">
        <v>808</v>
      </c>
      <c r="D72" s="479" t="s">
        <v>255</v>
      </c>
      <c r="E72" s="432" t="s">
        <v>75</v>
      </c>
      <c r="F72" s="409">
        <v>36000</v>
      </c>
      <c r="G72" s="395">
        <f t="shared" si="105"/>
        <v>0</v>
      </c>
      <c r="H72" s="475">
        <f t="shared" si="117"/>
        <v>0</v>
      </c>
      <c r="I72" s="475">
        <f t="shared" si="106"/>
        <v>0</v>
      </c>
      <c r="J72" s="475">
        <f t="shared" si="107"/>
        <v>0</v>
      </c>
      <c r="K72" s="475"/>
      <c r="L72" s="475"/>
      <c r="M72" s="475"/>
      <c r="N72" s="475"/>
      <c r="O72" s="475"/>
      <c r="P72" s="475"/>
      <c r="Q72" s="475">
        <f t="shared" si="116"/>
        <v>0</v>
      </c>
      <c r="R72" s="475"/>
      <c r="S72" s="392"/>
      <c r="T72" s="392"/>
      <c r="U72" s="392">
        <f>G72</f>
        <v>0</v>
      </c>
      <c r="V72" s="392"/>
      <c r="W72" s="465">
        <f t="shared" si="108"/>
        <v>0</v>
      </c>
      <c r="X72" s="465">
        <f t="shared" si="109"/>
        <v>0</v>
      </c>
      <c r="Y72" s="465">
        <f t="shared" si="110"/>
        <v>0</v>
      </c>
      <c r="Z72" s="465">
        <f t="shared" si="111"/>
        <v>0</v>
      </c>
      <c r="AA72" s="492">
        <v>0</v>
      </c>
      <c r="AB72" s="433">
        <f t="shared" si="87"/>
        <v>0</v>
      </c>
      <c r="AC72" s="476">
        <v>0</v>
      </c>
      <c r="AD72" s="433">
        <f t="shared" si="88"/>
        <v>0</v>
      </c>
      <c r="AE72" s="476">
        <v>0</v>
      </c>
      <c r="AF72" s="433">
        <f t="shared" si="89"/>
        <v>0</v>
      </c>
      <c r="AG72" s="392">
        <v>0</v>
      </c>
      <c r="AH72" s="433">
        <f t="shared" si="90"/>
        <v>0</v>
      </c>
      <c r="AI72" s="392">
        <v>0</v>
      </c>
      <c r="AJ72" s="433">
        <f t="shared" si="91"/>
        <v>0</v>
      </c>
      <c r="AK72" s="476">
        <v>0</v>
      </c>
      <c r="AL72" s="433">
        <f t="shared" si="92"/>
        <v>0</v>
      </c>
      <c r="AM72" s="476">
        <v>0</v>
      </c>
      <c r="AN72" s="433">
        <f t="shared" si="93"/>
        <v>0</v>
      </c>
      <c r="AO72" s="476">
        <v>0</v>
      </c>
      <c r="AP72" s="433">
        <f t="shared" si="94"/>
        <v>0</v>
      </c>
      <c r="AQ72" s="476">
        <v>0</v>
      </c>
      <c r="AR72" s="433">
        <f t="shared" si="95"/>
        <v>0</v>
      </c>
      <c r="AS72" s="476">
        <v>0</v>
      </c>
      <c r="AT72" s="433">
        <f t="shared" si="96"/>
        <v>0</v>
      </c>
      <c r="AU72" s="476">
        <v>0</v>
      </c>
      <c r="AV72" s="433">
        <f t="shared" si="97"/>
        <v>0</v>
      </c>
      <c r="AW72" s="490">
        <v>0</v>
      </c>
      <c r="AX72" s="433">
        <f t="shared" si="98"/>
        <v>0</v>
      </c>
      <c r="AY72" s="338">
        <v>0</v>
      </c>
      <c r="AZ72" s="433">
        <f t="shared" si="99"/>
        <v>0</v>
      </c>
      <c r="BA72" s="352">
        <v>0</v>
      </c>
      <c r="BB72" s="433">
        <f t="shared" si="100"/>
        <v>0</v>
      </c>
      <c r="BC72" s="476">
        <v>0</v>
      </c>
      <c r="BD72" s="433">
        <f t="shared" si="101"/>
        <v>0</v>
      </c>
      <c r="BE72" s="392">
        <v>0</v>
      </c>
      <c r="BF72" s="433">
        <f t="shared" si="102"/>
        <v>0</v>
      </c>
      <c r="BG72" s="476">
        <v>0</v>
      </c>
      <c r="BH72" s="433">
        <f t="shared" si="103"/>
        <v>0</v>
      </c>
      <c r="BI72" s="392"/>
      <c r="BJ72" s="433">
        <f t="shared" si="104"/>
        <v>0</v>
      </c>
      <c r="BK72" s="433">
        <f t="shared" si="112"/>
        <v>0</v>
      </c>
      <c r="BL72" s="433">
        <f t="shared" si="113"/>
        <v>0</v>
      </c>
      <c r="BM72" s="480" t="s">
        <v>215</v>
      </c>
      <c r="BN72" s="361"/>
      <c r="BO72" s="475"/>
      <c r="BP72" s="252"/>
      <c r="BQ72" s="251">
        <f t="shared" si="114"/>
        <v>0</v>
      </c>
      <c r="BR72" s="252"/>
      <c r="BS72" s="340">
        <f t="shared" si="115"/>
        <v>0</v>
      </c>
      <c r="BT72" s="252"/>
      <c r="BU72" s="252"/>
      <c r="BV72" s="340"/>
      <c r="BW72" s="478">
        <f t="shared" si="118"/>
        <v>0</v>
      </c>
    </row>
    <row r="73" spans="1:75" s="263" customFormat="1" ht="20.25" customHeight="1" x14ac:dyDescent="0.25">
      <c r="A73" s="474"/>
      <c r="B73" s="408"/>
      <c r="C73" s="443" t="s">
        <v>809</v>
      </c>
      <c r="D73" s="479" t="s">
        <v>256</v>
      </c>
      <c r="E73" s="432" t="s">
        <v>75</v>
      </c>
      <c r="F73" s="409">
        <v>62500</v>
      </c>
      <c r="G73" s="395">
        <f t="shared" si="105"/>
        <v>0</v>
      </c>
      <c r="H73" s="475">
        <f t="shared" si="117"/>
        <v>0</v>
      </c>
      <c r="I73" s="475">
        <f t="shared" si="106"/>
        <v>0</v>
      </c>
      <c r="J73" s="475">
        <f t="shared" si="107"/>
        <v>0</v>
      </c>
      <c r="K73" s="475"/>
      <c r="L73" s="475"/>
      <c r="M73" s="475"/>
      <c r="N73" s="475"/>
      <c r="O73" s="475"/>
      <c r="P73" s="475"/>
      <c r="Q73" s="475">
        <f t="shared" si="116"/>
        <v>0</v>
      </c>
      <c r="R73" s="475"/>
      <c r="S73" s="392"/>
      <c r="T73" s="392"/>
      <c r="U73" s="392">
        <f>G73</f>
        <v>0</v>
      </c>
      <c r="V73" s="392"/>
      <c r="W73" s="465">
        <f t="shared" si="108"/>
        <v>0</v>
      </c>
      <c r="X73" s="465">
        <f t="shared" si="109"/>
        <v>0</v>
      </c>
      <c r="Y73" s="465">
        <f t="shared" si="110"/>
        <v>0</v>
      </c>
      <c r="Z73" s="465">
        <f t="shared" si="111"/>
        <v>0</v>
      </c>
      <c r="AA73" s="492">
        <v>0</v>
      </c>
      <c r="AB73" s="433">
        <f t="shared" si="87"/>
        <v>0</v>
      </c>
      <c r="AC73" s="476">
        <v>0</v>
      </c>
      <c r="AD73" s="433">
        <f t="shared" si="88"/>
        <v>0</v>
      </c>
      <c r="AE73" s="476">
        <v>0</v>
      </c>
      <c r="AF73" s="433">
        <f t="shared" si="89"/>
        <v>0</v>
      </c>
      <c r="AG73" s="392">
        <v>0</v>
      </c>
      <c r="AH73" s="433">
        <f t="shared" si="90"/>
        <v>0</v>
      </c>
      <c r="AI73" s="392">
        <v>0</v>
      </c>
      <c r="AJ73" s="433">
        <f t="shared" si="91"/>
        <v>0</v>
      </c>
      <c r="AK73" s="476">
        <v>0</v>
      </c>
      <c r="AL73" s="433">
        <f t="shared" si="92"/>
        <v>0</v>
      </c>
      <c r="AM73" s="476">
        <v>0</v>
      </c>
      <c r="AN73" s="433">
        <f t="shared" si="93"/>
        <v>0</v>
      </c>
      <c r="AO73" s="476">
        <v>0</v>
      </c>
      <c r="AP73" s="433">
        <f t="shared" si="94"/>
        <v>0</v>
      </c>
      <c r="AQ73" s="476">
        <v>0</v>
      </c>
      <c r="AR73" s="433">
        <f t="shared" si="95"/>
        <v>0</v>
      </c>
      <c r="AS73" s="476">
        <v>0</v>
      </c>
      <c r="AT73" s="433">
        <f t="shared" si="96"/>
        <v>0</v>
      </c>
      <c r="AU73" s="476">
        <v>0</v>
      </c>
      <c r="AV73" s="433">
        <f t="shared" si="97"/>
        <v>0</v>
      </c>
      <c r="AW73" s="490">
        <v>0</v>
      </c>
      <c r="AX73" s="433">
        <f t="shared" si="98"/>
        <v>0</v>
      </c>
      <c r="AY73" s="338">
        <v>0</v>
      </c>
      <c r="AZ73" s="433">
        <f t="shared" si="99"/>
        <v>0</v>
      </c>
      <c r="BA73" s="352">
        <v>0</v>
      </c>
      <c r="BB73" s="433">
        <f t="shared" si="100"/>
        <v>0</v>
      </c>
      <c r="BC73" s="476">
        <v>0</v>
      </c>
      <c r="BD73" s="433">
        <f t="shared" si="101"/>
        <v>0</v>
      </c>
      <c r="BE73" s="392">
        <v>0</v>
      </c>
      <c r="BF73" s="433">
        <f t="shared" si="102"/>
        <v>0</v>
      </c>
      <c r="BG73" s="476">
        <v>0</v>
      </c>
      <c r="BH73" s="433">
        <f t="shared" si="103"/>
        <v>0</v>
      </c>
      <c r="BI73" s="392"/>
      <c r="BJ73" s="433">
        <f t="shared" si="104"/>
        <v>0</v>
      </c>
      <c r="BK73" s="433">
        <f t="shared" si="112"/>
        <v>0</v>
      </c>
      <c r="BL73" s="433">
        <f t="shared" si="113"/>
        <v>0</v>
      </c>
      <c r="BM73" s="480" t="s">
        <v>215</v>
      </c>
      <c r="BN73" s="361"/>
      <c r="BO73" s="475"/>
      <c r="BP73" s="252"/>
      <c r="BQ73" s="251">
        <f t="shared" si="114"/>
        <v>0</v>
      </c>
      <c r="BR73" s="252"/>
      <c r="BS73" s="340">
        <f t="shared" si="115"/>
        <v>0</v>
      </c>
      <c r="BT73" s="252"/>
      <c r="BU73" s="252"/>
      <c r="BV73" s="340"/>
      <c r="BW73" s="478">
        <f t="shared" si="118"/>
        <v>0</v>
      </c>
    </row>
    <row r="74" spans="1:75" s="263" customFormat="1" ht="20.25" customHeight="1" x14ac:dyDescent="0.25">
      <c r="A74" s="474"/>
      <c r="B74" s="408"/>
      <c r="C74" s="443" t="s">
        <v>810</v>
      </c>
      <c r="D74" s="479" t="s">
        <v>259</v>
      </c>
      <c r="E74" s="432" t="s">
        <v>75</v>
      </c>
      <c r="F74" s="409">
        <v>30000</v>
      </c>
      <c r="G74" s="395">
        <f t="shared" si="105"/>
        <v>0</v>
      </c>
      <c r="H74" s="475">
        <f t="shared" si="117"/>
        <v>0</v>
      </c>
      <c r="I74" s="475">
        <f t="shared" si="106"/>
        <v>0</v>
      </c>
      <c r="J74" s="475">
        <f t="shared" si="107"/>
        <v>0</v>
      </c>
      <c r="K74" s="475"/>
      <c r="L74" s="475"/>
      <c r="M74" s="475"/>
      <c r="N74" s="475"/>
      <c r="O74" s="475"/>
      <c r="P74" s="475"/>
      <c r="Q74" s="475">
        <f t="shared" si="116"/>
        <v>0</v>
      </c>
      <c r="R74" s="475"/>
      <c r="S74" s="392"/>
      <c r="T74" s="392"/>
      <c r="U74" s="392">
        <f>G74</f>
        <v>0</v>
      </c>
      <c r="V74" s="392"/>
      <c r="W74" s="465">
        <f t="shared" si="108"/>
        <v>0</v>
      </c>
      <c r="X74" s="465">
        <f t="shared" si="109"/>
        <v>0</v>
      </c>
      <c r="Y74" s="465">
        <f t="shared" si="110"/>
        <v>0</v>
      </c>
      <c r="Z74" s="465">
        <f t="shared" si="111"/>
        <v>0</v>
      </c>
      <c r="AA74" s="492">
        <v>0</v>
      </c>
      <c r="AB74" s="433">
        <f t="shared" si="87"/>
        <v>0</v>
      </c>
      <c r="AC74" s="476">
        <v>0</v>
      </c>
      <c r="AD74" s="433">
        <f t="shared" si="88"/>
        <v>0</v>
      </c>
      <c r="AE74" s="476">
        <v>0</v>
      </c>
      <c r="AF74" s="433">
        <f t="shared" si="89"/>
        <v>0</v>
      </c>
      <c r="AG74" s="392">
        <v>0</v>
      </c>
      <c r="AH74" s="433">
        <f t="shared" si="90"/>
        <v>0</v>
      </c>
      <c r="AI74" s="392">
        <v>0</v>
      </c>
      <c r="AJ74" s="433">
        <f t="shared" si="91"/>
        <v>0</v>
      </c>
      <c r="AK74" s="476">
        <v>0</v>
      </c>
      <c r="AL74" s="433">
        <f t="shared" si="92"/>
        <v>0</v>
      </c>
      <c r="AM74" s="476">
        <v>0</v>
      </c>
      <c r="AN74" s="433">
        <f t="shared" si="93"/>
        <v>0</v>
      </c>
      <c r="AO74" s="476">
        <v>0</v>
      </c>
      <c r="AP74" s="433">
        <f t="shared" si="94"/>
        <v>0</v>
      </c>
      <c r="AQ74" s="476">
        <v>0</v>
      </c>
      <c r="AR74" s="433">
        <f t="shared" si="95"/>
        <v>0</v>
      </c>
      <c r="AS74" s="476">
        <v>0</v>
      </c>
      <c r="AT74" s="433">
        <f t="shared" si="96"/>
        <v>0</v>
      </c>
      <c r="AU74" s="476">
        <v>0</v>
      </c>
      <c r="AV74" s="433">
        <f t="shared" si="97"/>
        <v>0</v>
      </c>
      <c r="AW74" s="490">
        <v>0</v>
      </c>
      <c r="AX74" s="433">
        <f t="shared" si="98"/>
        <v>0</v>
      </c>
      <c r="AY74" s="338">
        <v>0</v>
      </c>
      <c r="AZ74" s="433">
        <f t="shared" si="99"/>
        <v>0</v>
      </c>
      <c r="BA74" s="352">
        <v>0</v>
      </c>
      <c r="BB74" s="433">
        <f t="shared" si="100"/>
        <v>0</v>
      </c>
      <c r="BC74" s="476">
        <v>0</v>
      </c>
      <c r="BD74" s="433">
        <f t="shared" si="101"/>
        <v>0</v>
      </c>
      <c r="BE74" s="392">
        <v>0</v>
      </c>
      <c r="BF74" s="433">
        <f t="shared" si="102"/>
        <v>0</v>
      </c>
      <c r="BG74" s="476">
        <v>0</v>
      </c>
      <c r="BH74" s="433">
        <f t="shared" si="103"/>
        <v>0</v>
      </c>
      <c r="BI74" s="392"/>
      <c r="BJ74" s="433">
        <f t="shared" si="104"/>
        <v>0</v>
      </c>
      <c r="BK74" s="433">
        <f t="shared" si="112"/>
        <v>0</v>
      </c>
      <c r="BL74" s="433">
        <f t="shared" si="113"/>
        <v>0</v>
      </c>
      <c r="BM74" s="480" t="s">
        <v>215</v>
      </c>
      <c r="BN74" s="361"/>
      <c r="BO74" s="475"/>
      <c r="BP74" s="252"/>
      <c r="BQ74" s="251">
        <f t="shared" si="114"/>
        <v>0</v>
      </c>
      <c r="BR74" s="252"/>
      <c r="BS74" s="340">
        <f t="shared" si="115"/>
        <v>0</v>
      </c>
      <c r="BT74" s="252"/>
      <c r="BU74" s="252"/>
      <c r="BV74" s="340"/>
      <c r="BW74" s="478">
        <f t="shared" si="118"/>
        <v>0</v>
      </c>
    </row>
    <row r="75" spans="1:75" s="263" customFormat="1" ht="20.25" customHeight="1" x14ac:dyDescent="0.25">
      <c r="A75" s="474"/>
      <c r="B75" s="408"/>
      <c r="C75" s="443" t="s">
        <v>811</v>
      </c>
      <c r="D75" s="479" t="s">
        <v>288</v>
      </c>
      <c r="E75" s="432" t="s">
        <v>75</v>
      </c>
      <c r="F75" s="409">
        <v>50000</v>
      </c>
      <c r="G75" s="395">
        <f>BK75</f>
        <v>0</v>
      </c>
      <c r="H75" s="475">
        <f t="shared" si="117"/>
        <v>0</v>
      </c>
      <c r="I75" s="475">
        <f t="shared" si="106"/>
        <v>0</v>
      </c>
      <c r="J75" s="475">
        <f t="shared" si="107"/>
        <v>0</v>
      </c>
      <c r="K75" s="475"/>
      <c r="L75" s="475"/>
      <c r="M75" s="475"/>
      <c r="N75" s="475"/>
      <c r="O75" s="475"/>
      <c r="P75" s="475"/>
      <c r="Q75" s="475">
        <f t="shared" si="116"/>
        <v>0</v>
      </c>
      <c r="R75" s="475"/>
      <c r="S75" s="392"/>
      <c r="T75" s="392">
        <f>G75*0.5</f>
        <v>0</v>
      </c>
      <c r="U75" s="392"/>
      <c r="V75" s="392">
        <f>G75*0.5</f>
        <v>0</v>
      </c>
      <c r="W75" s="465">
        <f t="shared" si="108"/>
        <v>0</v>
      </c>
      <c r="X75" s="465">
        <f t="shared" si="109"/>
        <v>0</v>
      </c>
      <c r="Y75" s="465">
        <f t="shared" si="110"/>
        <v>0</v>
      </c>
      <c r="Z75" s="465">
        <f t="shared" si="111"/>
        <v>0</v>
      </c>
      <c r="AA75" s="492">
        <v>0</v>
      </c>
      <c r="AB75" s="433">
        <f t="shared" si="87"/>
        <v>0</v>
      </c>
      <c r="AC75" s="476">
        <v>0</v>
      </c>
      <c r="AD75" s="433">
        <f t="shared" si="88"/>
        <v>0</v>
      </c>
      <c r="AE75" s="476">
        <v>0</v>
      </c>
      <c r="AF75" s="433">
        <f t="shared" si="89"/>
        <v>0</v>
      </c>
      <c r="AG75" s="392">
        <v>0</v>
      </c>
      <c r="AH75" s="433">
        <f t="shared" si="90"/>
        <v>0</v>
      </c>
      <c r="AI75" s="392">
        <v>0</v>
      </c>
      <c r="AJ75" s="433">
        <f t="shared" si="91"/>
        <v>0</v>
      </c>
      <c r="AK75" s="476">
        <v>0</v>
      </c>
      <c r="AL75" s="433">
        <f t="shared" si="92"/>
        <v>0</v>
      </c>
      <c r="AM75" s="476">
        <v>0</v>
      </c>
      <c r="AN75" s="433">
        <f t="shared" si="93"/>
        <v>0</v>
      </c>
      <c r="AO75" s="476">
        <v>0</v>
      </c>
      <c r="AP75" s="433">
        <f t="shared" si="94"/>
        <v>0</v>
      </c>
      <c r="AQ75" s="476">
        <v>0</v>
      </c>
      <c r="AR75" s="433">
        <f t="shared" si="95"/>
        <v>0</v>
      </c>
      <c r="AS75" s="476">
        <v>0</v>
      </c>
      <c r="AT75" s="433">
        <f t="shared" si="96"/>
        <v>0</v>
      </c>
      <c r="AU75" s="476">
        <v>0</v>
      </c>
      <c r="AV75" s="433">
        <f t="shared" si="97"/>
        <v>0</v>
      </c>
      <c r="AW75" s="490">
        <v>0</v>
      </c>
      <c r="AX75" s="433">
        <f t="shared" si="98"/>
        <v>0</v>
      </c>
      <c r="AY75" s="338">
        <v>0</v>
      </c>
      <c r="AZ75" s="433">
        <f t="shared" si="99"/>
        <v>0</v>
      </c>
      <c r="BA75" s="352">
        <v>0</v>
      </c>
      <c r="BB75" s="433">
        <f t="shared" si="100"/>
        <v>0</v>
      </c>
      <c r="BC75" s="476">
        <v>0</v>
      </c>
      <c r="BD75" s="433">
        <f t="shared" si="101"/>
        <v>0</v>
      </c>
      <c r="BE75" s="392">
        <v>0</v>
      </c>
      <c r="BF75" s="433">
        <f t="shared" si="102"/>
        <v>0</v>
      </c>
      <c r="BG75" s="476">
        <v>0</v>
      </c>
      <c r="BH75" s="433">
        <f t="shared" si="103"/>
        <v>0</v>
      </c>
      <c r="BI75" s="392"/>
      <c r="BJ75" s="433">
        <f t="shared" si="104"/>
        <v>0</v>
      </c>
      <c r="BK75" s="433">
        <f t="shared" si="112"/>
        <v>0</v>
      </c>
      <c r="BL75" s="433">
        <f t="shared" si="113"/>
        <v>0</v>
      </c>
      <c r="BM75" s="480" t="s">
        <v>215</v>
      </c>
      <c r="BN75" s="361"/>
      <c r="BO75" s="475"/>
      <c r="BP75" s="252"/>
      <c r="BQ75" s="251">
        <f t="shared" si="114"/>
        <v>0</v>
      </c>
      <c r="BR75" s="252"/>
      <c r="BS75" s="340">
        <f t="shared" si="115"/>
        <v>0</v>
      </c>
      <c r="BT75" s="252"/>
      <c r="BU75" s="252"/>
      <c r="BV75" s="340"/>
      <c r="BW75" s="478">
        <f t="shared" si="118"/>
        <v>0</v>
      </c>
    </row>
    <row r="76" spans="1:75" s="263" customFormat="1" ht="20.25" customHeight="1" x14ac:dyDescent="0.25">
      <c r="A76" s="474"/>
      <c r="B76" s="408"/>
      <c r="C76" s="443" t="s">
        <v>812</v>
      </c>
      <c r="D76" s="479" t="s">
        <v>268</v>
      </c>
      <c r="E76" s="432" t="s">
        <v>75</v>
      </c>
      <c r="F76" s="409">
        <v>25000</v>
      </c>
      <c r="G76" s="395">
        <f>BK76</f>
        <v>0</v>
      </c>
      <c r="H76" s="475">
        <f t="shared" si="117"/>
        <v>0</v>
      </c>
      <c r="I76" s="475">
        <f t="shared" si="106"/>
        <v>0</v>
      </c>
      <c r="J76" s="475">
        <f t="shared" si="107"/>
        <v>0</v>
      </c>
      <c r="K76" s="475"/>
      <c r="L76" s="475"/>
      <c r="M76" s="475"/>
      <c r="N76" s="475"/>
      <c r="O76" s="475"/>
      <c r="P76" s="475"/>
      <c r="Q76" s="475">
        <f t="shared" si="116"/>
        <v>0</v>
      </c>
      <c r="R76" s="475"/>
      <c r="S76" s="392"/>
      <c r="T76" s="392"/>
      <c r="U76" s="392">
        <f>G76</f>
        <v>0</v>
      </c>
      <c r="V76" s="392"/>
      <c r="W76" s="465">
        <f t="shared" si="108"/>
        <v>0</v>
      </c>
      <c r="X76" s="465">
        <f t="shared" si="109"/>
        <v>0</v>
      </c>
      <c r="Y76" s="465">
        <f t="shared" si="110"/>
        <v>0</v>
      </c>
      <c r="Z76" s="465">
        <f t="shared" si="111"/>
        <v>0</v>
      </c>
      <c r="AA76" s="492">
        <v>0</v>
      </c>
      <c r="AB76" s="433">
        <f t="shared" si="87"/>
        <v>0</v>
      </c>
      <c r="AC76" s="476">
        <v>0</v>
      </c>
      <c r="AD76" s="433">
        <f t="shared" si="88"/>
        <v>0</v>
      </c>
      <c r="AE76" s="476">
        <v>0</v>
      </c>
      <c r="AF76" s="433">
        <f t="shared" si="89"/>
        <v>0</v>
      </c>
      <c r="AG76" s="392">
        <v>0</v>
      </c>
      <c r="AH76" s="433">
        <f t="shared" si="90"/>
        <v>0</v>
      </c>
      <c r="AI76" s="392">
        <v>0</v>
      </c>
      <c r="AJ76" s="433">
        <f t="shared" si="91"/>
        <v>0</v>
      </c>
      <c r="AK76" s="476">
        <v>0</v>
      </c>
      <c r="AL76" s="433">
        <f t="shared" si="92"/>
        <v>0</v>
      </c>
      <c r="AM76" s="476">
        <v>0</v>
      </c>
      <c r="AN76" s="433">
        <f t="shared" si="93"/>
        <v>0</v>
      </c>
      <c r="AO76" s="476">
        <v>0</v>
      </c>
      <c r="AP76" s="433">
        <f t="shared" si="94"/>
        <v>0</v>
      </c>
      <c r="AQ76" s="476">
        <v>0</v>
      </c>
      <c r="AR76" s="433">
        <f t="shared" si="95"/>
        <v>0</v>
      </c>
      <c r="AS76" s="476">
        <v>0</v>
      </c>
      <c r="AT76" s="433">
        <f t="shared" si="96"/>
        <v>0</v>
      </c>
      <c r="AU76" s="476">
        <v>0</v>
      </c>
      <c r="AV76" s="433">
        <f t="shared" si="97"/>
        <v>0</v>
      </c>
      <c r="AW76" s="490">
        <v>0</v>
      </c>
      <c r="AX76" s="433">
        <f t="shared" si="98"/>
        <v>0</v>
      </c>
      <c r="AY76" s="338">
        <v>0</v>
      </c>
      <c r="AZ76" s="433">
        <f t="shared" si="99"/>
        <v>0</v>
      </c>
      <c r="BA76" s="352">
        <v>0</v>
      </c>
      <c r="BB76" s="433">
        <f t="shared" si="100"/>
        <v>0</v>
      </c>
      <c r="BC76" s="476">
        <v>0</v>
      </c>
      <c r="BD76" s="433">
        <f t="shared" si="101"/>
        <v>0</v>
      </c>
      <c r="BE76" s="392">
        <v>0</v>
      </c>
      <c r="BF76" s="433">
        <f t="shared" si="102"/>
        <v>0</v>
      </c>
      <c r="BG76" s="476">
        <v>0</v>
      </c>
      <c r="BH76" s="433">
        <f t="shared" si="103"/>
        <v>0</v>
      </c>
      <c r="BI76" s="392"/>
      <c r="BJ76" s="433">
        <f t="shared" si="104"/>
        <v>0</v>
      </c>
      <c r="BK76" s="433">
        <f t="shared" si="112"/>
        <v>0</v>
      </c>
      <c r="BL76" s="433">
        <f t="shared" si="113"/>
        <v>0</v>
      </c>
      <c r="BM76" s="480" t="s">
        <v>215</v>
      </c>
      <c r="BN76" s="361"/>
      <c r="BO76" s="475"/>
      <c r="BP76" s="252"/>
      <c r="BQ76" s="251">
        <f t="shared" si="114"/>
        <v>0</v>
      </c>
      <c r="BR76" s="252"/>
      <c r="BS76" s="340">
        <f t="shared" si="115"/>
        <v>0</v>
      </c>
      <c r="BT76" s="252"/>
      <c r="BU76" s="252"/>
      <c r="BV76" s="340"/>
      <c r="BW76" s="478">
        <f t="shared" si="118"/>
        <v>0</v>
      </c>
    </row>
    <row r="77" spans="1:75" s="263" customFormat="1" ht="19.5" customHeight="1" x14ac:dyDescent="0.25">
      <c r="A77" s="474"/>
      <c r="B77" s="408"/>
      <c r="C77" s="443" t="s">
        <v>813</v>
      </c>
      <c r="D77" s="479" t="s">
        <v>269</v>
      </c>
      <c r="E77" s="432" t="s">
        <v>75</v>
      </c>
      <c r="F77" s="409">
        <v>30000</v>
      </c>
      <c r="G77" s="395">
        <f t="shared" si="105"/>
        <v>0</v>
      </c>
      <c r="H77" s="475">
        <f t="shared" si="117"/>
        <v>0</v>
      </c>
      <c r="I77" s="475">
        <f t="shared" si="106"/>
        <v>0</v>
      </c>
      <c r="J77" s="475">
        <f t="shared" si="107"/>
        <v>0</v>
      </c>
      <c r="K77" s="475"/>
      <c r="L77" s="475"/>
      <c r="M77" s="475"/>
      <c r="N77" s="475"/>
      <c r="O77" s="475"/>
      <c r="P77" s="475"/>
      <c r="Q77" s="475">
        <f t="shared" si="116"/>
        <v>0</v>
      </c>
      <c r="R77" s="475"/>
      <c r="S77" s="392"/>
      <c r="T77" s="392"/>
      <c r="U77" s="392">
        <f>G77</f>
        <v>0</v>
      </c>
      <c r="V77" s="392"/>
      <c r="W77" s="465">
        <f t="shared" si="108"/>
        <v>0</v>
      </c>
      <c r="X77" s="465">
        <f t="shared" si="109"/>
        <v>0</v>
      </c>
      <c r="Y77" s="465">
        <f t="shared" si="110"/>
        <v>0</v>
      </c>
      <c r="Z77" s="465">
        <f t="shared" si="111"/>
        <v>0</v>
      </c>
      <c r="AA77" s="492">
        <v>0</v>
      </c>
      <c r="AB77" s="433">
        <f t="shared" si="87"/>
        <v>0</v>
      </c>
      <c r="AC77" s="476">
        <v>0</v>
      </c>
      <c r="AD77" s="433">
        <f t="shared" si="88"/>
        <v>0</v>
      </c>
      <c r="AE77" s="476">
        <v>0</v>
      </c>
      <c r="AF77" s="433">
        <f t="shared" si="89"/>
        <v>0</v>
      </c>
      <c r="AG77" s="392">
        <v>0</v>
      </c>
      <c r="AH77" s="433">
        <f t="shared" si="90"/>
        <v>0</v>
      </c>
      <c r="AI77" s="392">
        <v>0</v>
      </c>
      <c r="AJ77" s="433">
        <f t="shared" si="91"/>
        <v>0</v>
      </c>
      <c r="AK77" s="476">
        <v>0</v>
      </c>
      <c r="AL77" s="433">
        <f t="shared" si="92"/>
        <v>0</v>
      </c>
      <c r="AM77" s="476">
        <v>0</v>
      </c>
      <c r="AN77" s="433">
        <f t="shared" si="93"/>
        <v>0</v>
      </c>
      <c r="AO77" s="476">
        <v>0</v>
      </c>
      <c r="AP77" s="433">
        <f t="shared" si="94"/>
        <v>0</v>
      </c>
      <c r="AQ77" s="476">
        <v>0</v>
      </c>
      <c r="AR77" s="433">
        <f t="shared" si="95"/>
        <v>0</v>
      </c>
      <c r="AS77" s="476">
        <v>0</v>
      </c>
      <c r="AT77" s="433">
        <f t="shared" si="96"/>
        <v>0</v>
      </c>
      <c r="AU77" s="476">
        <v>0</v>
      </c>
      <c r="AV77" s="433">
        <f t="shared" si="97"/>
        <v>0</v>
      </c>
      <c r="AW77" s="490">
        <v>0</v>
      </c>
      <c r="AX77" s="433">
        <f t="shared" si="98"/>
        <v>0</v>
      </c>
      <c r="AY77" s="338">
        <v>0</v>
      </c>
      <c r="AZ77" s="433">
        <f t="shared" si="99"/>
        <v>0</v>
      </c>
      <c r="BA77" s="352">
        <v>0</v>
      </c>
      <c r="BB77" s="433">
        <f t="shared" si="100"/>
        <v>0</v>
      </c>
      <c r="BC77" s="476">
        <v>0</v>
      </c>
      <c r="BD77" s="433">
        <f t="shared" si="101"/>
        <v>0</v>
      </c>
      <c r="BE77" s="392">
        <v>0</v>
      </c>
      <c r="BF77" s="433">
        <f t="shared" si="102"/>
        <v>0</v>
      </c>
      <c r="BG77" s="476">
        <v>0</v>
      </c>
      <c r="BH77" s="433">
        <f t="shared" si="103"/>
        <v>0</v>
      </c>
      <c r="BI77" s="392"/>
      <c r="BJ77" s="433">
        <f t="shared" si="104"/>
        <v>0</v>
      </c>
      <c r="BK77" s="433">
        <f t="shared" si="112"/>
        <v>0</v>
      </c>
      <c r="BL77" s="433">
        <f t="shared" si="113"/>
        <v>0</v>
      </c>
      <c r="BM77" s="480" t="s">
        <v>215</v>
      </c>
      <c r="BN77" s="361"/>
      <c r="BO77" s="475"/>
      <c r="BP77" s="252"/>
      <c r="BQ77" s="251">
        <f t="shared" si="114"/>
        <v>0</v>
      </c>
      <c r="BR77" s="252"/>
      <c r="BS77" s="340">
        <f t="shared" si="115"/>
        <v>0</v>
      </c>
      <c r="BT77" s="252"/>
      <c r="BU77" s="252"/>
      <c r="BV77" s="340"/>
      <c r="BW77" s="478">
        <f t="shared" si="118"/>
        <v>0</v>
      </c>
    </row>
    <row r="78" spans="1:75" s="263" customFormat="1" ht="20.25" customHeight="1" x14ac:dyDescent="0.25">
      <c r="A78" s="474"/>
      <c r="B78" s="408"/>
      <c r="C78" s="443" t="s">
        <v>814</v>
      </c>
      <c r="D78" s="479" t="s">
        <v>270</v>
      </c>
      <c r="E78" s="432" t="s">
        <v>75</v>
      </c>
      <c r="F78" s="409">
        <v>31000</v>
      </c>
      <c r="G78" s="395">
        <f t="shared" si="105"/>
        <v>0</v>
      </c>
      <c r="H78" s="475">
        <f t="shared" si="117"/>
        <v>0</v>
      </c>
      <c r="I78" s="475">
        <f t="shared" si="106"/>
        <v>0</v>
      </c>
      <c r="J78" s="475">
        <f t="shared" si="107"/>
        <v>0</v>
      </c>
      <c r="K78" s="475"/>
      <c r="L78" s="475"/>
      <c r="M78" s="475"/>
      <c r="N78" s="475"/>
      <c r="O78" s="475"/>
      <c r="P78" s="475"/>
      <c r="Q78" s="475">
        <f t="shared" si="116"/>
        <v>0</v>
      </c>
      <c r="R78" s="475"/>
      <c r="S78" s="392"/>
      <c r="T78" s="392">
        <f>G78*0.8</f>
        <v>0</v>
      </c>
      <c r="U78" s="392">
        <f>G78*0.2</f>
        <v>0</v>
      </c>
      <c r="V78" s="392"/>
      <c r="W78" s="465">
        <f t="shared" si="108"/>
        <v>0</v>
      </c>
      <c r="X78" s="465">
        <f t="shared" si="109"/>
        <v>0</v>
      </c>
      <c r="Y78" s="465">
        <f t="shared" si="110"/>
        <v>0</v>
      </c>
      <c r="Z78" s="465">
        <f t="shared" si="111"/>
        <v>0</v>
      </c>
      <c r="AA78" s="492">
        <v>0</v>
      </c>
      <c r="AB78" s="433">
        <f t="shared" si="87"/>
        <v>0</v>
      </c>
      <c r="AC78" s="476">
        <v>0</v>
      </c>
      <c r="AD78" s="433">
        <f t="shared" si="88"/>
        <v>0</v>
      </c>
      <c r="AE78" s="476">
        <v>0</v>
      </c>
      <c r="AF78" s="433">
        <f t="shared" si="89"/>
        <v>0</v>
      </c>
      <c r="AG78" s="392">
        <v>0</v>
      </c>
      <c r="AH78" s="433">
        <f t="shared" si="90"/>
        <v>0</v>
      </c>
      <c r="AI78" s="392">
        <v>0</v>
      </c>
      <c r="AJ78" s="433">
        <f t="shared" si="91"/>
        <v>0</v>
      </c>
      <c r="AK78" s="476">
        <v>0</v>
      </c>
      <c r="AL78" s="433">
        <f t="shared" si="92"/>
        <v>0</v>
      </c>
      <c r="AM78" s="476">
        <v>0</v>
      </c>
      <c r="AN78" s="433">
        <f t="shared" si="93"/>
        <v>0</v>
      </c>
      <c r="AO78" s="476">
        <v>0</v>
      </c>
      <c r="AP78" s="433">
        <f t="shared" si="94"/>
        <v>0</v>
      </c>
      <c r="AQ78" s="476">
        <v>0</v>
      </c>
      <c r="AR78" s="433">
        <f t="shared" si="95"/>
        <v>0</v>
      </c>
      <c r="AS78" s="476">
        <v>0</v>
      </c>
      <c r="AT78" s="433">
        <f t="shared" si="96"/>
        <v>0</v>
      </c>
      <c r="AU78" s="476">
        <v>0</v>
      </c>
      <c r="AV78" s="433">
        <f t="shared" si="97"/>
        <v>0</v>
      </c>
      <c r="AW78" s="490">
        <v>0</v>
      </c>
      <c r="AX78" s="433">
        <f t="shared" si="98"/>
        <v>0</v>
      </c>
      <c r="AY78" s="338">
        <v>0</v>
      </c>
      <c r="AZ78" s="433">
        <f t="shared" si="99"/>
        <v>0</v>
      </c>
      <c r="BA78" s="352">
        <v>0</v>
      </c>
      <c r="BB78" s="433">
        <f t="shared" si="100"/>
        <v>0</v>
      </c>
      <c r="BC78" s="476">
        <v>0</v>
      </c>
      <c r="BD78" s="433">
        <f t="shared" si="101"/>
        <v>0</v>
      </c>
      <c r="BE78" s="392">
        <v>0</v>
      </c>
      <c r="BF78" s="433">
        <f t="shared" si="102"/>
        <v>0</v>
      </c>
      <c r="BG78" s="476">
        <v>0</v>
      </c>
      <c r="BH78" s="433">
        <f t="shared" si="103"/>
        <v>0</v>
      </c>
      <c r="BI78" s="392"/>
      <c r="BJ78" s="433">
        <f t="shared" si="104"/>
        <v>0</v>
      </c>
      <c r="BK78" s="433">
        <f t="shared" si="112"/>
        <v>0</v>
      </c>
      <c r="BL78" s="433">
        <f t="shared" si="113"/>
        <v>0</v>
      </c>
      <c r="BM78" s="480" t="s">
        <v>215</v>
      </c>
      <c r="BN78" s="361"/>
      <c r="BO78" s="475"/>
      <c r="BP78" s="252"/>
      <c r="BQ78" s="251">
        <f t="shared" si="114"/>
        <v>0</v>
      </c>
      <c r="BR78" s="252"/>
      <c r="BS78" s="340">
        <f t="shared" si="115"/>
        <v>0</v>
      </c>
      <c r="BT78" s="252"/>
      <c r="BU78" s="252"/>
      <c r="BV78" s="340"/>
      <c r="BW78" s="478">
        <f t="shared" si="118"/>
        <v>0</v>
      </c>
    </row>
    <row r="79" spans="1:75" s="263" customFormat="1" ht="20.25" customHeight="1" x14ac:dyDescent="0.25">
      <c r="A79" s="474"/>
      <c r="B79" s="408"/>
      <c r="C79" s="443" t="s">
        <v>815</v>
      </c>
      <c r="D79" s="479" t="s">
        <v>301</v>
      </c>
      <c r="E79" s="432" t="s">
        <v>75</v>
      </c>
      <c r="F79" s="409">
        <v>30000</v>
      </c>
      <c r="G79" s="395">
        <f t="shared" si="105"/>
        <v>0</v>
      </c>
      <c r="H79" s="475">
        <f t="shared" si="117"/>
        <v>0</v>
      </c>
      <c r="I79" s="475">
        <f t="shared" si="106"/>
        <v>0</v>
      </c>
      <c r="J79" s="475">
        <f t="shared" si="107"/>
        <v>0</v>
      </c>
      <c r="K79" s="475"/>
      <c r="L79" s="475"/>
      <c r="M79" s="475"/>
      <c r="N79" s="475"/>
      <c r="O79" s="475"/>
      <c r="P79" s="475"/>
      <c r="Q79" s="475">
        <f t="shared" si="116"/>
        <v>0</v>
      </c>
      <c r="R79" s="475"/>
      <c r="S79" s="392"/>
      <c r="T79" s="392"/>
      <c r="U79" s="392">
        <v>50</v>
      </c>
      <c r="V79" s="392">
        <v>14</v>
      </c>
      <c r="W79" s="465">
        <f t="shared" si="108"/>
        <v>0</v>
      </c>
      <c r="X79" s="465">
        <f t="shared" si="109"/>
        <v>0</v>
      </c>
      <c r="Y79" s="465">
        <f>H79*0.7</f>
        <v>0</v>
      </c>
      <c r="Z79" s="465">
        <f>H79*0.3</f>
        <v>0</v>
      </c>
      <c r="AA79" s="492">
        <v>0</v>
      </c>
      <c r="AB79" s="433">
        <f t="shared" si="87"/>
        <v>0</v>
      </c>
      <c r="AC79" s="476">
        <v>0</v>
      </c>
      <c r="AD79" s="433">
        <f t="shared" si="88"/>
        <v>0</v>
      </c>
      <c r="AE79" s="476">
        <v>0</v>
      </c>
      <c r="AF79" s="433">
        <f t="shared" si="89"/>
        <v>0</v>
      </c>
      <c r="AG79" s="392">
        <v>0</v>
      </c>
      <c r="AH79" s="433">
        <f t="shared" si="90"/>
        <v>0</v>
      </c>
      <c r="AI79" s="392">
        <v>0</v>
      </c>
      <c r="AJ79" s="433">
        <f t="shared" si="91"/>
        <v>0</v>
      </c>
      <c r="AK79" s="476">
        <v>0</v>
      </c>
      <c r="AL79" s="433">
        <f t="shared" si="92"/>
        <v>0</v>
      </c>
      <c r="AM79" s="476">
        <v>0</v>
      </c>
      <c r="AN79" s="433">
        <f t="shared" si="93"/>
        <v>0</v>
      </c>
      <c r="AO79" s="476">
        <v>0</v>
      </c>
      <c r="AP79" s="433">
        <f t="shared" si="94"/>
        <v>0</v>
      </c>
      <c r="AQ79" s="476">
        <v>0</v>
      </c>
      <c r="AR79" s="433">
        <f t="shared" si="95"/>
        <v>0</v>
      </c>
      <c r="AS79" s="476">
        <v>0</v>
      </c>
      <c r="AT79" s="433">
        <f t="shared" si="96"/>
        <v>0</v>
      </c>
      <c r="AU79" s="476">
        <v>0</v>
      </c>
      <c r="AV79" s="433">
        <f t="shared" si="97"/>
        <v>0</v>
      </c>
      <c r="AW79" s="490">
        <v>0</v>
      </c>
      <c r="AX79" s="433">
        <f t="shared" si="98"/>
        <v>0</v>
      </c>
      <c r="AY79" s="338">
        <v>0</v>
      </c>
      <c r="AZ79" s="433">
        <f t="shared" si="99"/>
        <v>0</v>
      </c>
      <c r="BA79" s="352">
        <v>0</v>
      </c>
      <c r="BB79" s="433">
        <f t="shared" si="100"/>
        <v>0</v>
      </c>
      <c r="BC79" s="476">
        <v>0</v>
      </c>
      <c r="BD79" s="433">
        <f t="shared" si="101"/>
        <v>0</v>
      </c>
      <c r="BE79" s="392">
        <v>0</v>
      </c>
      <c r="BF79" s="433">
        <f t="shared" si="102"/>
        <v>0</v>
      </c>
      <c r="BG79" s="476">
        <v>0</v>
      </c>
      <c r="BH79" s="433">
        <f t="shared" si="103"/>
        <v>0</v>
      </c>
      <c r="BI79" s="392"/>
      <c r="BJ79" s="433">
        <f t="shared" si="104"/>
        <v>0</v>
      </c>
      <c r="BK79" s="433">
        <f t="shared" si="112"/>
        <v>0</v>
      </c>
      <c r="BL79" s="433">
        <f t="shared" si="113"/>
        <v>0</v>
      </c>
      <c r="BM79" s="480" t="s">
        <v>215</v>
      </c>
      <c r="BN79" s="361"/>
      <c r="BO79" s="475"/>
      <c r="BP79" s="252"/>
      <c r="BQ79" s="251">
        <f t="shared" si="114"/>
        <v>0</v>
      </c>
      <c r="BR79" s="252"/>
      <c r="BS79" s="340">
        <f t="shared" si="115"/>
        <v>0</v>
      </c>
      <c r="BT79" s="252"/>
      <c r="BU79" s="252"/>
      <c r="BV79" s="340"/>
      <c r="BW79" s="478">
        <f t="shared" si="118"/>
        <v>0</v>
      </c>
    </row>
    <row r="80" spans="1:75" s="263" customFormat="1" ht="20.25" customHeight="1" x14ac:dyDescent="0.25">
      <c r="A80" s="474"/>
      <c r="B80" s="408"/>
      <c r="C80" s="443" t="s">
        <v>816</v>
      </c>
      <c r="D80" s="479" t="s">
        <v>480</v>
      </c>
      <c r="E80" s="432" t="s">
        <v>75</v>
      </c>
      <c r="F80" s="409">
        <v>37500</v>
      </c>
      <c r="G80" s="395">
        <f t="shared" si="105"/>
        <v>0</v>
      </c>
      <c r="H80" s="475">
        <f t="shared" si="117"/>
        <v>0</v>
      </c>
      <c r="I80" s="475">
        <f t="shared" si="106"/>
        <v>0</v>
      </c>
      <c r="J80" s="475">
        <f t="shared" si="107"/>
        <v>0</v>
      </c>
      <c r="K80" s="475"/>
      <c r="L80" s="475"/>
      <c r="M80" s="475"/>
      <c r="N80" s="475"/>
      <c r="O80" s="475"/>
      <c r="P80" s="475"/>
      <c r="Q80" s="475">
        <f t="shared" si="116"/>
        <v>0</v>
      </c>
      <c r="R80" s="475"/>
      <c r="S80" s="392"/>
      <c r="T80" s="392"/>
      <c r="U80" s="392">
        <v>10</v>
      </c>
      <c r="V80" s="392">
        <v>4</v>
      </c>
      <c r="W80" s="465">
        <f t="shared" si="108"/>
        <v>0</v>
      </c>
      <c r="X80" s="465">
        <f t="shared" si="109"/>
        <v>0</v>
      </c>
      <c r="Y80" s="465">
        <f>H80*0.7</f>
        <v>0</v>
      </c>
      <c r="Z80" s="465">
        <f>H80*0.3</f>
        <v>0</v>
      </c>
      <c r="AA80" s="492">
        <v>0</v>
      </c>
      <c r="AB80" s="433">
        <f t="shared" si="87"/>
        <v>0</v>
      </c>
      <c r="AC80" s="476">
        <v>0</v>
      </c>
      <c r="AD80" s="433">
        <f t="shared" si="88"/>
        <v>0</v>
      </c>
      <c r="AE80" s="476">
        <v>0</v>
      </c>
      <c r="AF80" s="433">
        <f t="shared" si="89"/>
        <v>0</v>
      </c>
      <c r="AG80" s="392">
        <v>0</v>
      </c>
      <c r="AH80" s="433">
        <f t="shared" si="90"/>
        <v>0</v>
      </c>
      <c r="AI80" s="392">
        <v>0</v>
      </c>
      <c r="AJ80" s="433">
        <f t="shared" si="91"/>
        <v>0</v>
      </c>
      <c r="AK80" s="476">
        <v>0</v>
      </c>
      <c r="AL80" s="433">
        <f t="shared" si="92"/>
        <v>0</v>
      </c>
      <c r="AM80" s="476">
        <v>0</v>
      </c>
      <c r="AN80" s="433">
        <f t="shared" si="93"/>
        <v>0</v>
      </c>
      <c r="AO80" s="476">
        <v>0</v>
      </c>
      <c r="AP80" s="433">
        <f t="shared" si="94"/>
        <v>0</v>
      </c>
      <c r="AQ80" s="476">
        <v>0</v>
      </c>
      <c r="AR80" s="433">
        <f t="shared" si="95"/>
        <v>0</v>
      </c>
      <c r="AS80" s="476">
        <v>0</v>
      </c>
      <c r="AT80" s="433">
        <f t="shared" si="96"/>
        <v>0</v>
      </c>
      <c r="AU80" s="476">
        <v>0</v>
      </c>
      <c r="AV80" s="433">
        <f t="shared" si="97"/>
        <v>0</v>
      </c>
      <c r="AW80" s="490">
        <v>0</v>
      </c>
      <c r="AX80" s="433">
        <f t="shared" si="98"/>
        <v>0</v>
      </c>
      <c r="AY80" s="338">
        <v>0</v>
      </c>
      <c r="AZ80" s="433">
        <f t="shared" si="99"/>
        <v>0</v>
      </c>
      <c r="BA80" s="352">
        <v>0</v>
      </c>
      <c r="BB80" s="433">
        <f t="shared" si="100"/>
        <v>0</v>
      </c>
      <c r="BC80" s="476">
        <v>0</v>
      </c>
      <c r="BD80" s="433">
        <f t="shared" si="101"/>
        <v>0</v>
      </c>
      <c r="BE80" s="392">
        <v>0</v>
      </c>
      <c r="BF80" s="433">
        <f t="shared" si="102"/>
        <v>0</v>
      </c>
      <c r="BG80" s="476">
        <v>0</v>
      </c>
      <c r="BH80" s="433">
        <f t="shared" si="103"/>
        <v>0</v>
      </c>
      <c r="BI80" s="392"/>
      <c r="BJ80" s="433">
        <f t="shared" si="104"/>
        <v>0</v>
      </c>
      <c r="BK80" s="433">
        <f t="shared" si="112"/>
        <v>0</v>
      </c>
      <c r="BL80" s="433">
        <f t="shared" si="113"/>
        <v>0</v>
      </c>
      <c r="BM80" s="480" t="s">
        <v>215</v>
      </c>
      <c r="BN80" s="361"/>
      <c r="BO80" s="475"/>
      <c r="BP80" s="252"/>
      <c r="BQ80" s="251">
        <f t="shared" si="114"/>
        <v>0</v>
      </c>
      <c r="BR80" s="252"/>
      <c r="BS80" s="340">
        <f t="shared" si="115"/>
        <v>0</v>
      </c>
      <c r="BT80" s="252"/>
      <c r="BU80" s="252"/>
      <c r="BV80" s="340"/>
      <c r="BW80" s="478">
        <f t="shared" si="118"/>
        <v>0</v>
      </c>
    </row>
    <row r="81" spans="1:75" s="263" customFormat="1" ht="20.25" customHeight="1" x14ac:dyDescent="0.25">
      <c r="A81" s="474"/>
      <c r="B81" s="408"/>
      <c r="C81" s="443" t="s">
        <v>817</v>
      </c>
      <c r="D81" s="479" t="s">
        <v>549</v>
      </c>
      <c r="E81" s="432" t="s">
        <v>75</v>
      </c>
      <c r="F81" s="409">
        <v>50000</v>
      </c>
      <c r="G81" s="395">
        <f>BK81</f>
        <v>0</v>
      </c>
      <c r="H81" s="475">
        <f>BL81</f>
        <v>0</v>
      </c>
      <c r="I81" s="475">
        <f t="shared" si="106"/>
        <v>0</v>
      </c>
      <c r="J81" s="475">
        <f t="shared" si="107"/>
        <v>0</v>
      </c>
      <c r="K81" s="475"/>
      <c r="L81" s="475"/>
      <c r="M81" s="475"/>
      <c r="N81" s="475"/>
      <c r="O81" s="475"/>
      <c r="P81" s="475"/>
      <c r="Q81" s="475">
        <f t="shared" si="116"/>
        <v>0</v>
      </c>
      <c r="R81" s="475"/>
      <c r="S81" s="392"/>
      <c r="T81" s="392">
        <f>G81*0.6</f>
        <v>0</v>
      </c>
      <c r="U81" s="392">
        <f>G81*0.4</f>
        <v>0</v>
      </c>
      <c r="V81" s="392"/>
      <c r="W81" s="465">
        <f t="shared" si="108"/>
        <v>0</v>
      </c>
      <c r="X81" s="465">
        <f t="shared" si="109"/>
        <v>0</v>
      </c>
      <c r="Y81" s="465">
        <f t="shared" si="110"/>
        <v>0</v>
      </c>
      <c r="Z81" s="465">
        <f t="shared" si="111"/>
        <v>0</v>
      </c>
      <c r="AA81" s="492">
        <v>0</v>
      </c>
      <c r="AB81" s="433">
        <f t="shared" si="87"/>
        <v>0</v>
      </c>
      <c r="AC81" s="476">
        <v>0</v>
      </c>
      <c r="AD81" s="433">
        <f t="shared" si="88"/>
        <v>0</v>
      </c>
      <c r="AE81" s="476">
        <v>0</v>
      </c>
      <c r="AF81" s="433">
        <f t="shared" si="89"/>
        <v>0</v>
      </c>
      <c r="AG81" s="392">
        <v>0</v>
      </c>
      <c r="AH81" s="433">
        <f t="shared" si="90"/>
        <v>0</v>
      </c>
      <c r="AI81" s="392">
        <v>0</v>
      </c>
      <c r="AJ81" s="433">
        <f t="shared" si="91"/>
        <v>0</v>
      </c>
      <c r="AK81" s="476">
        <v>0</v>
      </c>
      <c r="AL81" s="433">
        <f t="shared" si="92"/>
        <v>0</v>
      </c>
      <c r="AM81" s="476">
        <v>0</v>
      </c>
      <c r="AN81" s="433">
        <f t="shared" si="93"/>
        <v>0</v>
      </c>
      <c r="AO81" s="476">
        <v>0</v>
      </c>
      <c r="AP81" s="433">
        <f t="shared" si="94"/>
        <v>0</v>
      </c>
      <c r="AQ81" s="476">
        <v>0</v>
      </c>
      <c r="AR81" s="433">
        <f t="shared" si="95"/>
        <v>0</v>
      </c>
      <c r="AS81" s="476">
        <v>0</v>
      </c>
      <c r="AT81" s="433">
        <f t="shared" si="96"/>
        <v>0</v>
      </c>
      <c r="AU81" s="476">
        <v>0</v>
      </c>
      <c r="AV81" s="433">
        <f t="shared" si="97"/>
        <v>0</v>
      </c>
      <c r="AW81" s="490">
        <v>0</v>
      </c>
      <c r="AX81" s="433">
        <f t="shared" si="98"/>
        <v>0</v>
      </c>
      <c r="AY81" s="338">
        <v>0</v>
      </c>
      <c r="AZ81" s="433">
        <f t="shared" si="99"/>
        <v>0</v>
      </c>
      <c r="BA81" s="352">
        <v>0</v>
      </c>
      <c r="BB81" s="433">
        <f t="shared" si="100"/>
        <v>0</v>
      </c>
      <c r="BC81" s="476">
        <v>0</v>
      </c>
      <c r="BD81" s="433">
        <f t="shared" si="101"/>
        <v>0</v>
      </c>
      <c r="BE81" s="392">
        <v>0</v>
      </c>
      <c r="BF81" s="433">
        <f t="shared" si="102"/>
        <v>0</v>
      </c>
      <c r="BG81" s="476">
        <v>0</v>
      </c>
      <c r="BH81" s="433">
        <f t="shared" si="103"/>
        <v>0</v>
      </c>
      <c r="BI81" s="392"/>
      <c r="BJ81" s="433">
        <f t="shared" si="104"/>
        <v>0</v>
      </c>
      <c r="BK81" s="433">
        <f t="shared" si="112"/>
        <v>0</v>
      </c>
      <c r="BL81" s="433">
        <f t="shared" si="113"/>
        <v>0</v>
      </c>
      <c r="BM81" s="480" t="s">
        <v>215</v>
      </c>
      <c r="BN81" s="361"/>
      <c r="BO81" s="475"/>
      <c r="BP81" s="252"/>
      <c r="BQ81" s="251">
        <f>H81</f>
        <v>0</v>
      </c>
      <c r="BR81" s="252"/>
      <c r="BS81" s="340">
        <f t="shared" ref="BS81:BS88" si="119">BO81+BP81+BQ81+BR81</f>
        <v>0</v>
      </c>
      <c r="BT81" s="252"/>
      <c r="BU81" s="252"/>
      <c r="BV81" s="340"/>
      <c r="BW81" s="478">
        <f t="shared" ref="BW81:BW88" si="120">BS81+BV81</f>
        <v>0</v>
      </c>
    </row>
    <row r="82" spans="1:75" s="158" customFormat="1" ht="20.25" customHeight="1" x14ac:dyDescent="0.25">
      <c r="A82" s="486"/>
      <c r="B82" s="382"/>
      <c r="C82" s="375"/>
      <c r="D82" s="487" t="s">
        <v>3</v>
      </c>
      <c r="E82" s="414"/>
      <c r="F82" s="413"/>
      <c r="G82" s="380">
        <f t="shared" ref="G82:AL82" si="121">SUM(G66:G81)</f>
        <v>0</v>
      </c>
      <c r="H82" s="380">
        <f>SUM(H66:H81)</f>
        <v>0</v>
      </c>
      <c r="I82" s="380">
        <f t="shared" si="121"/>
        <v>0</v>
      </c>
      <c r="J82" s="380">
        <f t="shared" si="121"/>
        <v>0</v>
      </c>
      <c r="K82" s="380">
        <f t="shared" si="121"/>
        <v>0</v>
      </c>
      <c r="L82" s="380">
        <f t="shared" si="121"/>
        <v>0</v>
      </c>
      <c r="M82" s="380">
        <f t="shared" si="121"/>
        <v>0</v>
      </c>
      <c r="N82" s="380">
        <f t="shared" si="121"/>
        <v>0</v>
      </c>
      <c r="O82" s="380">
        <f t="shared" si="121"/>
        <v>0</v>
      </c>
      <c r="P82" s="380">
        <f t="shared" si="121"/>
        <v>0</v>
      </c>
      <c r="Q82" s="380">
        <f t="shared" si="121"/>
        <v>0</v>
      </c>
      <c r="R82" s="380">
        <f t="shared" si="121"/>
        <v>0</v>
      </c>
      <c r="S82" s="380">
        <f t="shared" si="121"/>
        <v>0</v>
      </c>
      <c r="T82" s="380">
        <f t="shared" si="121"/>
        <v>0</v>
      </c>
      <c r="U82" s="380">
        <f t="shared" si="121"/>
        <v>60</v>
      </c>
      <c r="V82" s="380">
        <f t="shared" si="121"/>
        <v>18</v>
      </c>
      <c r="W82" s="380">
        <f t="shared" si="121"/>
        <v>0</v>
      </c>
      <c r="X82" s="380">
        <f t="shared" si="121"/>
        <v>0</v>
      </c>
      <c r="Y82" s="380">
        <f t="shared" si="121"/>
        <v>0</v>
      </c>
      <c r="Z82" s="380">
        <f t="shared" si="121"/>
        <v>0</v>
      </c>
      <c r="AA82" s="380">
        <f t="shared" si="121"/>
        <v>0</v>
      </c>
      <c r="AB82" s="380">
        <f t="shared" si="121"/>
        <v>0</v>
      </c>
      <c r="AC82" s="380">
        <f t="shared" si="121"/>
        <v>0</v>
      </c>
      <c r="AD82" s="380">
        <f t="shared" si="121"/>
        <v>0</v>
      </c>
      <c r="AE82" s="380">
        <f t="shared" si="121"/>
        <v>0</v>
      </c>
      <c r="AF82" s="380">
        <f t="shared" si="121"/>
        <v>0</v>
      </c>
      <c r="AG82" s="380">
        <f t="shared" si="121"/>
        <v>0</v>
      </c>
      <c r="AH82" s="380">
        <f t="shared" si="121"/>
        <v>0</v>
      </c>
      <c r="AI82" s="380">
        <f t="shared" si="121"/>
        <v>0</v>
      </c>
      <c r="AJ82" s="380">
        <f t="shared" si="121"/>
        <v>0</v>
      </c>
      <c r="AK82" s="380">
        <f t="shared" si="121"/>
        <v>0</v>
      </c>
      <c r="AL82" s="380">
        <f t="shared" si="121"/>
        <v>0</v>
      </c>
      <c r="AM82" s="380">
        <f t="shared" ref="AM82:AX82" si="122">SUM(AM66:AM81)</f>
        <v>0</v>
      </c>
      <c r="AN82" s="380">
        <f t="shared" si="122"/>
        <v>0</v>
      </c>
      <c r="AO82" s="380">
        <f t="shared" si="122"/>
        <v>0</v>
      </c>
      <c r="AP82" s="380">
        <f t="shared" si="122"/>
        <v>0</v>
      </c>
      <c r="AQ82" s="380">
        <f t="shared" si="122"/>
        <v>0</v>
      </c>
      <c r="AR82" s="380">
        <f t="shared" si="122"/>
        <v>0</v>
      </c>
      <c r="AS82" s="380">
        <f t="shared" si="122"/>
        <v>0</v>
      </c>
      <c r="AT82" s="380">
        <f t="shared" si="122"/>
        <v>0</v>
      </c>
      <c r="AU82" s="380">
        <f t="shared" si="122"/>
        <v>0</v>
      </c>
      <c r="AV82" s="380">
        <f t="shared" si="122"/>
        <v>0</v>
      </c>
      <c r="AW82" s="380">
        <f t="shared" si="122"/>
        <v>0</v>
      </c>
      <c r="AX82" s="380">
        <f t="shared" si="122"/>
        <v>0</v>
      </c>
      <c r="AY82" s="488">
        <f t="shared" ref="AY82:BL82" si="123">SUM(AY66:AY81)</f>
        <v>0</v>
      </c>
      <c r="AZ82" s="380">
        <f t="shared" si="123"/>
        <v>0</v>
      </c>
      <c r="BA82" s="488">
        <f t="shared" si="123"/>
        <v>0</v>
      </c>
      <c r="BB82" s="380">
        <f t="shared" si="123"/>
        <v>0</v>
      </c>
      <c r="BC82" s="380">
        <f t="shared" si="123"/>
        <v>0</v>
      </c>
      <c r="BD82" s="380">
        <f t="shared" si="123"/>
        <v>0</v>
      </c>
      <c r="BE82" s="380">
        <f t="shared" si="123"/>
        <v>0</v>
      </c>
      <c r="BF82" s="380">
        <f t="shared" si="123"/>
        <v>0</v>
      </c>
      <c r="BG82" s="380">
        <f t="shared" si="123"/>
        <v>0</v>
      </c>
      <c r="BH82" s="380">
        <f t="shared" si="123"/>
        <v>0</v>
      </c>
      <c r="BI82" s="380">
        <f t="shared" si="123"/>
        <v>0</v>
      </c>
      <c r="BJ82" s="380">
        <f t="shared" si="123"/>
        <v>0</v>
      </c>
      <c r="BK82" s="380">
        <f t="shared" si="123"/>
        <v>0</v>
      </c>
      <c r="BL82" s="380">
        <f t="shared" si="123"/>
        <v>0</v>
      </c>
      <c r="BM82" s="380"/>
      <c r="BN82" s="380"/>
      <c r="BO82" s="380">
        <f t="shared" ref="BO82:BW82" si="124">SUM(BO66:BO81)</f>
        <v>0</v>
      </c>
      <c r="BP82" s="380">
        <f t="shared" si="124"/>
        <v>0</v>
      </c>
      <c r="BQ82" s="380">
        <f t="shared" si="124"/>
        <v>0</v>
      </c>
      <c r="BR82" s="380">
        <f t="shared" si="124"/>
        <v>0</v>
      </c>
      <c r="BS82" s="380">
        <f t="shared" si="124"/>
        <v>0</v>
      </c>
      <c r="BT82" s="380">
        <f t="shared" si="124"/>
        <v>0</v>
      </c>
      <c r="BU82" s="380">
        <f t="shared" si="124"/>
        <v>0</v>
      </c>
      <c r="BV82" s="380">
        <f t="shared" si="124"/>
        <v>0</v>
      </c>
      <c r="BW82" s="380">
        <f t="shared" si="124"/>
        <v>0</v>
      </c>
    </row>
    <row r="83" spans="1:75" s="158" customFormat="1" ht="35.25" customHeight="1" x14ac:dyDescent="0.25">
      <c r="A83" s="474"/>
      <c r="B83" s="496">
        <v>21370</v>
      </c>
      <c r="C83" s="377"/>
      <c r="D83" s="374" t="s">
        <v>274</v>
      </c>
      <c r="E83" s="432"/>
      <c r="F83" s="409"/>
      <c r="G83" s="395"/>
      <c r="H83" s="475"/>
      <c r="I83" s="475"/>
      <c r="J83" s="475"/>
      <c r="K83" s="475"/>
      <c r="L83" s="475"/>
      <c r="M83" s="475"/>
      <c r="N83" s="475"/>
      <c r="O83" s="475"/>
      <c r="P83" s="475"/>
      <c r="Q83" s="475"/>
      <c r="R83" s="475"/>
      <c r="S83" s="392"/>
      <c r="T83" s="392"/>
      <c r="U83" s="392"/>
      <c r="V83" s="392"/>
      <c r="W83" s="391"/>
      <c r="X83" s="391"/>
      <c r="Y83" s="391"/>
      <c r="Z83" s="391"/>
      <c r="AA83" s="392"/>
      <c r="AB83" s="433">
        <f>AA83*F83</f>
        <v>0</v>
      </c>
      <c r="AC83" s="392"/>
      <c r="AD83" s="433">
        <f t="shared" ref="AD83:AD88" si="125">AC83*F83</f>
        <v>0</v>
      </c>
      <c r="AE83" s="392"/>
      <c r="AF83" s="433">
        <f>AE83*F83</f>
        <v>0</v>
      </c>
      <c r="AG83" s="392"/>
      <c r="AH83" s="433">
        <f>AG83*F83</f>
        <v>0</v>
      </c>
      <c r="AI83" s="392"/>
      <c r="AJ83" s="433">
        <f>AI83*F83</f>
        <v>0</v>
      </c>
      <c r="AK83" s="392"/>
      <c r="AL83" s="433">
        <f t="shared" ref="AL83:AL88" si="126">AK83*F83</f>
        <v>0</v>
      </c>
      <c r="AM83" s="392"/>
      <c r="AN83" s="433">
        <f>AM83*F83</f>
        <v>0</v>
      </c>
      <c r="AO83" s="392"/>
      <c r="AP83" s="433">
        <f>AO83*F83</f>
        <v>0</v>
      </c>
      <c r="AQ83" s="392"/>
      <c r="AR83" s="433">
        <f>AQ83*F83</f>
        <v>0</v>
      </c>
      <c r="AS83" s="392"/>
      <c r="AT83" s="433">
        <f>AS83*F83</f>
        <v>0</v>
      </c>
      <c r="AU83" s="392"/>
      <c r="AV83" s="433">
        <f>AU83*F83</f>
        <v>0</v>
      </c>
      <c r="AW83" s="392"/>
      <c r="AX83" s="433">
        <f t="shared" ref="AX83:AX88" si="127">AW83*F83</f>
        <v>0</v>
      </c>
      <c r="AY83" s="435"/>
      <c r="AZ83" s="433">
        <f>AY83*F83</f>
        <v>0</v>
      </c>
      <c r="BA83" s="490"/>
      <c r="BB83" s="433">
        <f t="shared" ref="BB83:BB88" si="128">BA83*F83</f>
        <v>0</v>
      </c>
      <c r="BC83" s="392"/>
      <c r="BD83" s="433">
        <f t="shared" ref="BD83:BD88" si="129">BC83*F83</f>
        <v>0</v>
      </c>
      <c r="BE83" s="392"/>
      <c r="BF83" s="433">
        <f t="shared" ref="BF83:BF88" si="130">BE83*F83</f>
        <v>0</v>
      </c>
      <c r="BG83" s="392"/>
      <c r="BH83" s="433">
        <f>BG83*F83</f>
        <v>0</v>
      </c>
      <c r="BI83" s="392"/>
      <c r="BJ83" s="433">
        <f t="shared" ref="BJ83:BJ88" si="131">BI83*F83</f>
        <v>0</v>
      </c>
      <c r="BK83" s="476">
        <f>BI83+BG83+BE83+BC83+BA83+AY83+AW83+AU83+AS83+AQ83+AO83+AM83+AK83+AI83+AG83+AE83+AC83+AA83</f>
        <v>0</v>
      </c>
      <c r="BL83" s="433"/>
      <c r="BM83" s="480"/>
      <c r="BN83" s="361"/>
      <c r="BO83" s="475"/>
      <c r="BP83" s="252"/>
      <c r="BQ83" s="252"/>
      <c r="BR83" s="252"/>
      <c r="BS83" s="340"/>
      <c r="BT83" s="252"/>
      <c r="BU83" s="252"/>
      <c r="BV83" s="340"/>
      <c r="BW83" s="478"/>
    </row>
    <row r="84" spans="1:75" s="158" customFormat="1" ht="20.25" customHeight="1" x14ac:dyDescent="0.25">
      <c r="A84" s="474"/>
      <c r="B84" s="408"/>
      <c r="C84" s="443" t="s">
        <v>818</v>
      </c>
      <c r="D84" s="479" t="s">
        <v>260</v>
      </c>
      <c r="E84" s="432" t="s">
        <v>75</v>
      </c>
      <c r="F84" s="409">
        <v>120000</v>
      </c>
      <c r="G84" s="395">
        <f>BK84</f>
        <v>0</v>
      </c>
      <c r="H84" s="475">
        <f>G84*F84</f>
        <v>0</v>
      </c>
      <c r="I84" s="475">
        <f>H84*0.1</f>
        <v>0</v>
      </c>
      <c r="J84" s="475">
        <f>H84*0.8</f>
        <v>0</v>
      </c>
      <c r="K84" s="475"/>
      <c r="L84" s="475"/>
      <c r="M84" s="475"/>
      <c r="N84" s="475"/>
      <c r="O84" s="475"/>
      <c r="P84" s="475"/>
      <c r="Q84" s="475">
        <f>H84*0.1</f>
        <v>0</v>
      </c>
      <c r="R84" s="475"/>
      <c r="S84" s="392"/>
      <c r="T84" s="392"/>
      <c r="U84" s="392">
        <f>G84*1</f>
        <v>0</v>
      </c>
      <c r="V84" s="392"/>
      <c r="W84" s="465">
        <f>S84*F84</f>
        <v>0</v>
      </c>
      <c r="X84" s="465">
        <f>T84*F84</f>
        <v>0</v>
      </c>
      <c r="Y84" s="465">
        <f>U84*F84</f>
        <v>0</v>
      </c>
      <c r="Z84" s="465">
        <f>V84*F84</f>
        <v>0</v>
      </c>
      <c r="AA84" s="392"/>
      <c r="AB84" s="433">
        <f>AA84*F84</f>
        <v>0</v>
      </c>
      <c r="AC84" s="392">
        <v>0</v>
      </c>
      <c r="AD84" s="433">
        <f t="shared" si="125"/>
        <v>0</v>
      </c>
      <c r="AE84" s="392">
        <v>0</v>
      </c>
      <c r="AF84" s="433">
        <f>AE84*F84</f>
        <v>0</v>
      </c>
      <c r="AG84" s="392">
        <v>0</v>
      </c>
      <c r="AH84" s="433">
        <f>AG84*F84</f>
        <v>0</v>
      </c>
      <c r="AI84" s="392">
        <v>0</v>
      </c>
      <c r="AJ84" s="433">
        <f>AI84*F84</f>
        <v>0</v>
      </c>
      <c r="AK84" s="392">
        <v>0</v>
      </c>
      <c r="AL84" s="433">
        <f t="shared" si="126"/>
        <v>0</v>
      </c>
      <c r="AM84" s="392">
        <v>0</v>
      </c>
      <c r="AN84" s="433">
        <f>AM84*F84</f>
        <v>0</v>
      </c>
      <c r="AO84" s="392">
        <v>0</v>
      </c>
      <c r="AP84" s="433">
        <f>AO84*F84</f>
        <v>0</v>
      </c>
      <c r="AQ84" s="392">
        <v>0</v>
      </c>
      <c r="AR84" s="433">
        <f>AQ84*F84</f>
        <v>0</v>
      </c>
      <c r="AS84" s="392">
        <v>0</v>
      </c>
      <c r="AT84" s="433">
        <f>AS84*F84</f>
        <v>0</v>
      </c>
      <c r="AU84" s="392">
        <v>0</v>
      </c>
      <c r="AV84" s="433">
        <f>AU84*F84</f>
        <v>0</v>
      </c>
      <c r="AW84" s="392"/>
      <c r="AX84" s="433">
        <f t="shared" si="127"/>
        <v>0</v>
      </c>
      <c r="AY84" s="435">
        <v>0</v>
      </c>
      <c r="AZ84" s="433">
        <f>AY84*F84</f>
        <v>0</v>
      </c>
      <c r="BA84" s="490">
        <v>0</v>
      </c>
      <c r="BB84" s="433">
        <f t="shared" si="128"/>
        <v>0</v>
      </c>
      <c r="BC84" s="392">
        <v>0</v>
      </c>
      <c r="BD84" s="433">
        <f t="shared" si="129"/>
        <v>0</v>
      </c>
      <c r="BE84" s="392">
        <v>0</v>
      </c>
      <c r="BF84" s="433">
        <f t="shared" si="130"/>
        <v>0</v>
      </c>
      <c r="BG84" s="392">
        <v>0</v>
      </c>
      <c r="BH84" s="433">
        <f>BG84*F84</f>
        <v>0</v>
      </c>
      <c r="BI84" s="392"/>
      <c r="BJ84" s="433">
        <f t="shared" si="131"/>
        <v>0</v>
      </c>
      <c r="BK84" s="433">
        <f t="shared" ref="BK84:BL88" si="132">AA84+AC84+AE84+AG84+AI84+AK84+AM84+AO84+AQ84+AS84+AU84+AW84+AY84+BA84+BC84+BE84+BG84+BI84</f>
        <v>0</v>
      </c>
      <c r="BL84" s="433">
        <f t="shared" si="132"/>
        <v>0</v>
      </c>
      <c r="BM84" s="480" t="s">
        <v>215</v>
      </c>
      <c r="BN84" s="361"/>
      <c r="BO84" s="475"/>
      <c r="BP84" s="252"/>
      <c r="BQ84" s="251">
        <f>H84</f>
        <v>0</v>
      </c>
      <c r="BR84" s="252"/>
      <c r="BS84" s="340">
        <f t="shared" si="119"/>
        <v>0</v>
      </c>
      <c r="BT84" s="252"/>
      <c r="BU84" s="252"/>
      <c r="BV84" s="340"/>
      <c r="BW84" s="478">
        <f t="shared" si="120"/>
        <v>0</v>
      </c>
    </row>
    <row r="85" spans="1:75" s="158" customFormat="1" ht="20.25" customHeight="1" x14ac:dyDescent="0.25">
      <c r="A85" s="474"/>
      <c r="B85" s="408"/>
      <c r="C85" s="443" t="s">
        <v>819</v>
      </c>
      <c r="D85" s="717" t="s">
        <v>649</v>
      </c>
      <c r="E85" s="432" t="s">
        <v>14</v>
      </c>
      <c r="F85" s="409">
        <v>30000</v>
      </c>
      <c r="G85" s="395">
        <f>BK85</f>
        <v>0</v>
      </c>
      <c r="H85" s="395">
        <f>BL85</f>
        <v>0</v>
      </c>
      <c r="I85" s="475">
        <f>H85*0.1</f>
        <v>0</v>
      </c>
      <c r="J85" s="475">
        <f>H85*0.8</f>
        <v>0</v>
      </c>
      <c r="K85" s="475"/>
      <c r="L85" s="475"/>
      <c r="M85" s="475"/>
      <c r="N85" s="475"/>
      <c r="O85" s="475"/>
      <c r="P85" s="475"/>
      <c r="Q85" s="475">
        <f>H85*0.1</f>
        <v>0</v>
      </c>
      <c r="R85" s="475"/>
      <c r="S85" s="392"/>
      <c r="T85" s="392">
        <f>G85*0.6</f>
        <v>0</v>
      </c>
      <c r="U85" s="392">
        <f>G85*0.2</f>
        <v>0</v>
      </c>
      <c r="V85" s="392">
        <f>G85*0.2</f>
        <v>0</v>
      </c>
      <c r="W85" s="465">
        <f>S85*F85</f>
        <v>0</v>
      </c>
      <c r="X85" s="465">
        <f>H85*0.33</f>
        <v>0</v>
      </c>
      <c r="Y85" s="465">
        <f>H85*0.33</f>
        <v>0</v>
      </c>
      <c r="Z85" s="465">
        <f>H85*0.34</f>
        <v>0</v>
      </c>
      <c r="AA85" s="392">
        <v>0</v>
      </c>
      <c r="AB85" s="433">
        <f>AA85*F85</f>
        <v>0</v>
      </c>
      <c r="AC85" s="392">
        <v>0</v>
      </c>
      <c r="AD85" s="433">
        <f t="shared" si="125"/>
        <v>0</v>
      </c>
      <c r="AE85" s="392">
        <v>0</v>
      </c>
      <c r="AF85" s="433">
        <f>AE85*F85</f>
        <v>0</v>
      </c>
      <c r="AG85" s="392">
        <v>0</v>
      </c>
      <c r="AH85" s="433">
        <f>AG85*F85</f>
        <v>0</v>
      </c>
      <c r="AI85" s="392">
        <v>0</v>
      </c>
      <c r="AJ85" s="433">
        <f>AI85*F85</f>
        <v>0</v>
      </c>
      <c r="AK85" s="392">
        <v>0</v>
      </c>
      <c r="AL85" s="433">
        <f t="shared" si="126"/>
        <v>0</v>
      </c>
      <c r="AM85" s="392">
        <v>0</v>
      </c>
      <c r="AN85" s="433">
        <f>AM85*F85</f>
        <v>0</v>
      </c>
      <c r="AO85" s="392">
        <v>0</v>
      </c>
      <c r="AP85" s="433">
        <v>0</v>
      </c>
      <c r="AQ85" s="392">
        <v>0</v>
      </c>
      <c r="AR85" s="433">
        <f>AQ85*F85</f>
        <v>0</v>
      </c>
      <c r="AS85" s="392">
        <v>0</v>
      </c>
      <c r="AT85" s="433">
        <v>0</v>
      </c>
      <c r="AU85" s="392">
        <v>0</v>
      </c>
      <c r="AV85" s="433">
        <f>AU85*F85</f>
        <v>0</v>
      </c>
      <c r="AW85" s="392">
        <v>0</v>
      </c>
      <c r="AX85" s="433">
        <f t="shared" si="127"/>
        <v>0</v>
      </c>
      <c r="AY85" s="435">
        <v>0</v>
      </c>
      <c r="AZ85" s="433">
        <f>AY85*F85</f>
        <v>0</v>
      </c>
      <c r="BA85" s="490">
        <v>0</v>
      </c>
      <c r="BB85" s="433">
        <f t="shared" si="128"/>
        <v>0</v>
      </c>
      <c r="BC85" s="392">
        <v>0</v>
      </c>
      <c r="BD85" s="433">
        <f t="shared" si="129"/>
        <v>0</v>
      </c>
      <c r="BE85" s="392">
        <v>0</v>
      </c>
      <c r="BF85" s="433">
        <f t="shared" si="130"/>
        <v>0</v>
      </c>
      <c r="BG85" s="392">
        <v>0</v>
      </c>
      <c r="BH85" s="433">
        <f>BG85*F85</f>
        <v>0</v>
      </c>
      <c r="BI85" s="392"/>
      <c r="BJ85" s="433">
        <f t="shared" si="131"/>
        <v>0</v>
      </c>
      <c r="BK85" s="433">
        <f t="shared" si="132"/>
        <v>0</v>
      </c>
      <c r="BL85" s="433">
        <f>AB85+AD85+AF85+AH85+AJ85+AL85+AN85+AP85+AR85+AT85+AV85+AX85+AZ85+BB85+BD85+BF85+BH85+BJ85</f>
        <v>0</v>
      </c>
      <c r="BM85" s="480" t="s">
        <v>215</v>
      </c>
      <c r="BN85" s="361"/>
      <c r="BO85" s="475"/>
      <c r="BP85" s="252"/>
      <c r="BQ85" s="251">
        <f>H85</f>
        <v>0</v>
      </c>
      <c r="BR85" s="252"/>
      <c r="BS85" s="340">
        <f t="shared" si="119"/>
        <v>0</v>
      </c>
      <c r="BT85" s="252"/>
      <c r="BU85" s="252"/>
      <c r="BV85" s="340"/>
      <c r="BW85" s="478">
        <f t="shared" si="120"/>
        <v>0</v>
      </c>
    </row>
    <row r="86" spans="1:75" s="158" customFormat="1" ht="20.25" customHeight="1" x14ac:dyDescent="0.25">
      <c r="A86" s="474"/>
      <c r="B86" s="408"/>
      <c r="C86" s="443" t="s">
        <v>820</v>
      </c>
      <c r="D86" s="717" t="s">
        <v>1243</v>
      </c>
      <c r="E86" s="432" t="s">
        <v>14</v>
      </c>
      <c r="F86" s="409">
        <v>5000</v>
      </c>
      <c r="G86" s="395">
        <f>BK86</f>
        <v>168</v>
      </c>
      <c r="H86" s="475">
        <f>G86*F86</f>
        <v>840000</v>
      </c>
      <c r="I86" s="475">
        <f>H86*0.1</f>
        <v>84000</v>
      </c>
      <c r="J86" s="475">
        <f>H86*0.8</f>
        <v>672000</v>
      </c>
      <c r="K86" s="475"/>
      <c r="L86" s="475"/>
      <c r="M86" s="475"/>
      <c r="N86" s="475"/>
      <c r="O86" s="475"/>
      <c r="P86" s="475"/>
      <c r="Q86" s="475">
        <f>H86*0.1</f>
        <v>84000</v>
      </c>
      <c r="R86" s="475"/>
      <c r="S86" s="392">
        <f>G86*0.4</f>
        <v>67.2</v>
      </c>
      <c r="T86" s="392">
        <f>G86*0.6</f>
        <v>100.8</v>
      </c>
      <c r="U86" s="392">
        <f>G86*0</f>
        <v>0</v>
      </c>
      <c r="V86" s="392">
        <f>G86*0</f>
        <v>0</v>
      </c>
      <c r="W86" s="465">
        <f>S86*F86</f>
        <v>336000</v>
      </c>
      <c r="X86" s="465">
        <f>T86*F86</f>
        <v>504000</v>
      </c>
      <c r="Y86" s="465">
        <f>U86*F86</f>
        <v>0</v>
      </c>
      <c r="Z86" s="465">
        <f>V86*F86</f>
        <v>0</v>
      </c>
      <c r="AA86" s="392">
        <v>10</v>
      </c>
      <c r="AB86" s="433">
        <f>AA86*F86</f>
        <v>50000</v>
      </c>
      <c r="AC86" s="392">
        <v>10</v>
      </c>
      <c r="AD86" s="433">
        <f t="shared" si="125"/>
        <v>50000</v>
      </c>
      <c r="AE86" s="392">
        <v>10</v>
      </c>
      <c r="AF86" s="433">
        <f>AE86*F86</f>
        <v>50000</v>
      </c>
      <c r="AG86" s="392">
        <v>10</v>
      </c>
      <c r="AH86" s="433">
        <f>AG86*F86</f>
        <v>50000</v>
      </c>
      <c r="AI86" s="392">
        <v>10</v>
      </c>
      <c r="AJ86" s="433">
        <f>AI86*F86</f>
        <v>50000</v>
      </c>
      <c r="AK86" s="392">
        <v>10</v>
      </c>
      <c r="AL86" s="433">
        <f t="shared" si="126"/>
        <v>50000</v>
      </c>
      <c r="AM86" s="392">
        <v>10</v>
      </c>
      <c r="AN86" s="433">
        <f>AM86*F86</f>
        <v>50000</v>
      </c>
      <c r="AO86" s="392">
        <v>10</v>
      </c>
      <c r="AP86" s="433">
        <f>AO86*F86</f>
        <v>50000</v>
      </c>
      <c r="AQ86" s="392">
        <v>8</v>
      </c>
      <c r="AR86" s="433">
        <f>AQ86*F86</f>
        <v>40000</v>
      </c>
      <c r="AS86" s="392">
        <v>10</v>
      </c>
      <c r="AT86" s="433">
        <f>AS86*F86</f>
        <v>50000</v>
      </c>
      <c r="AU86" s="392">
        <v>10</v>
      </c>
      <c r="AV86" s="433">
        <f>AU86*F86</f>
        <v>50000</v>
      </c>
      <c r="AW86" s="392">
        <v>10</v>
      </c>
      <c r="AX86" s="433">
        <f t="shared" si="127"/>
        <v>50000</v>
      </c>
      <c r="AY86" s="435">
        <v>10</v>
      </c>
      <c r="AZ86" s="433">
        <f>AY86*F86</f>
        <v>50000</v>
      </c>
      <c r="BA86" s="490">
        <v>10</v>
      </c>
      <c r="BB86" s="433">
        <f t="shared" si="128"/>
        <v>50000</v>
      </c>
      <c r="BC86" s="392">
        <v>10</v>
      </c>
      <c r="BD86" s="433">
        <f t="shared" si="129"/>
        <v>50000</v>
      </c>
      <c r="BE86" s="392">
        <v>10</v>
      </c>
      <c r="BF86" s="433">
        <f t="shared" si="130"/>
        <v>50000</v>
      </c>
      <c r="BG86" s="392">
        <v>10</v>
      </c>
      <c r="BH86" s="433">
        <f>BG86*F86</f>
        <v>50000</v>
      </c>
      <c r="BI86" s="392"/>
      <c r="BJ86" s="433">
        <f t="shared" si="131"/>
        <v>0</v>
      </c>
      <c r="BK86" s="433">
        <f>AA86+AC86+AE86+AG86+AI86+AK86+AM86+AO86+AQ86+AS86+AU86+AW86+AY86+BA86+BC86+BE86+BG86+BI86</f>
        <v>168</v>
      </c>
      <c r="BL86" s="433">
        <f>AB86+AD86+AF86+AH86+AJ86+AL86+AN86+AP86+AR86+AT86+AV86+AX86+AZ86+BB86+BD86+BF86+BH86+BJ86</f>
        <v>840000</v>
      </c>
      <c r="BM86" s="480" t="s">
        <v>215</v>
      </c>
      <c r="BN86" s="361"/>
      <c r="BO86" s="475"/>
      <c r="BP86" s="252"/>
      <c r="BQ86" s="251">
        <f>H86</f>
        <v>840000</v>
      </c>
      <c r="BR86" s="252"/>
      <c r="BS86" s="340">
        <f t="shared" si="119"/>
        <v>840000</v>
      </c>
      <c r="BT86" s="252"/>
      <c r="BU86" s="252"/>
      <c r="BV86" s="340"/>
      <c r="BW86" s="478">
        <f t="shared" si="120"/>
        <v>840000</v>
      </c>
    </row>
    <row r="87" spans="1:75" s="263" customFormat="1" ht="20.25" customHeight="1" x14ac:dyDescent="0.25">
      <c r="A87" s="474"/>
      <c r="B87" s="408"/>
      <c r="C87" s="443" t="s">
        <v>821</v>
      </c>
      <c r="D87" s="494" t="s">
        <v>610</v>
      </c>
      <c r="E87" s="432" t="s">
        <v>75</v>
      </c>
      <c r="F87" s="409">
        <v>100000</v>
      </c>
      <c r="G87" s="395">
        <f>BK87</f>
        <v>0</v>
      </c>
      <c r="H87" s="475">
        <f>G87*F87</f>
        <v>0</v>
      </c>
      <c r="I87" s="475">
        <f>H87*0.1</f>
        <v>0</v>
      </c>
      <c r="J87" s="475">
        <f>H87*0.8</f>
        <v>0</v>
      </c>
      <c r="K87" s="475"/>
      <c r="L87" s="475"/>
      <c r="M87" s="475"/>
      <c r="N87" s="475"/>
      <c r="O87" s="475"/>
      <c r="P87" s="475"/>
      <c r="Q87" s="475">
        <f>H87*0.1</f>
        <v>0</v>
      </c>
      <c r="R87" s="475"/>
      <c r="S87" s="392"/>
      <c r="T87" s="392"/>
      <c r="U87" s="392"/>
      <c r="V87" s="392"/>
      <c r="W87" s="465"/>
      <c r="X87" s="465"/>
      <c r="Y87" s="465"/>
      <c r="Z87" s="465"/>
      <c r="AA87" s="392"/>
      <c r="AB87" s="433"/>
      <c r="AC87" s="392">
        <v>0</v>
      </c>
      <c r="AD87" s="433">
        <f t="shared" si="125"/>
        <v>0</v>
      </c>
      <c r="AE87" s="392">
        <v>0</v>
      </c>
      <c r="AF87" s="433">
        <f>AE87*F87</f>
        <v>0</v>
      </c>
      <c r="AG87" s="392">
        <v>0</v>
      </c>
      <c r="AH87" s="433">
        <f>AG87*F87</f>
        <v>0</v>
      </c>
      <c r="AI87" s="392"/>
      <c r="AJ87" s="433"/>
      <c r="AK87" s="392">
        <v>0</v>
      </c>
      <c r="AL87" s="433">
        <f t="shared" si="126"/>
        <v>0</v>
      </c>
      <c r="AM87" s="392"/>
      <c r="AN87" s="433"/>
      <c r="AO87" s="392"/>
      <c r="AP87" s="433"/>
      <c r="AQ87" s="392"/>
      <c r="AR87" s="433"/>
      <c r="AS87" s="392"/>
      <c r="AT87" s="433"/>
      <c r="AU87" s="392"/>
      <c r="AV87" s="433"/>
      <c r="AW87" s="392">
        <v>0</v>
      </c>
      <c r="AX87" s="433">
        <f t="shared" si="127"/>
        <v>0</v>
      </c>
      <c r="AY87" s="435"/>
      <c r="AZ87" s="433"/>
      <c r="BA87" s="490">
        <v>0</v>
      </c>
      <c r="BB87" s="433">
        <f t="shared" si="128"/>
        <v>0</v>
      </c>
      <c r="BC87" s="392">
        <v>0</v>
      </c>
      <c r="BD87" s="433">
        <f t="shared" si="129"/>
        <v>0</v>
      </c>
      <c r="BE87" s="392">
        <v>0</v>
      </c>
      <c r="BF87" s="433">
        <f t="shared" si="130"/>
        <v>0</v>
      </c>
      <c r="BG87" s="392"/>
      <c r="BH87" s="433"/>
      <c r="BI87" s="392"/>
      <c r="BJ87" s="433">
        <f t="shared" si="131"/>
        <v>0</v>
      </c>
      <c r="BK87" s="433">
        <f>AA87+AC87+AE87+AG87+AI87+AK87+AM87+AO87+AQ87+AS87+AU87+AW87+AY87+BA87+BC87+BE87+BG87+BI87</f>
        <v>0</v>
      </c>
      <c r="BL87" s="433">
        <f>AB87+AD87+AF87+AH87+AJ87+AL87+AN87+AP87+AR87+AT87+AV87+AX87+AZ87+BB87+BD87+BF87+BH87+BJ87</f>
        <v>0</v>
      </c>
      <c r="BM87" s="480" t="s">
        <v>215</v>
      </c>
      <c r="BN87" s="361"/>
      <c r="BO87" s="475"/>
      <c r="BP87" s="252"/>
      <c r="BQ87" s="251"/>
      <c r="BR87" s="252"/>
      <c r="BS87" s="340"/>
      <c r="BT87" s="252"/>
      <c r="BU87" s="252"/>
      <c r="BV87" s="340"/>
      <c r="BW87" s="478">
        <f t="shared" si="120"/>
        <v>0</v>
      </c>
    </row>
    <row r="88" spans="1:75" s="263" customFormat="1" ht="20.25" customHeight="1" x14ac:dyDescent="0.25">
      <c r="A88" s="474"/>
      <c r="B88" s="408"/>
      <c r="C88" s="443" t="s">
        <v>822</v>
      </c>
      <c r="D88" s="494" t="s">
        <v>547</v>
      </c>
      <c r="E88" s="432" t="s">
        <v>75</v>
      </c>
      <c r="F88" s="409">
        <v>100000</v>
      </c>
      <c r="G88" s="395">
        <f>BK88</f>
        <v>0</v>
      </c>
      <c r="H88" s="475">
        <f>G88*F88</f>
        <v>0</v>
      </c>
      <c r="I88" s="475">
        <f>H88*0.1</f>
        <v>0</v>
      </c>
      <c r="J88" s="475">
        <f>H88*0.8</f>
        <v>0</v>
      </c>
      <c r="K88" s="475"/>
      <c r="L88" s="475"/>
      <c r="M88" s="475"/>
      <c r="N88" s="475"/>
      <c r="O88" s="475"/>
      <c r="P88" s="475"/>
      <c r="Q88" s="475">
        <f>H88*0.1</f>
        <v>0</v>
      </c>
      <c r="R88" s="475"/>
      <c r="S88" s="392"/>
      <c r="T88" s="392">
        <f>G88*0.6</f>
        <v>0</v>
      </c>
      <c r="U88" s="392">
        <f>G88*0.2</f>
        <v>0</v>
      </c>
      <c r="V88" s="392">
        <f>G88*0.2</f>
        <v>0</v>
      </c>
      <c r="W88" s="465">
        <f>S88*F88</f>
        <v>0</v>
      </c>
      <c r="X88" s="465">
        <f>T88*F88</f>
        <v>0</v>
      </c>
      <c r="Y88" s="465">
        <f>U88*F88</f>
        <v>0</v>
      </c>
      <c r="Z88" s="465">
        <f>V88*F88</f>
        <v>0</v>
      </c>
      <c r="AA88" s="392"/>
      <c r="AB88" s="433"/>
      <c r="AC88" s="392">
        <v>0</v>
      </c>
      <c r="AD88" s="433">
        <f t="shared" si="125"/>
        <v>0</v>
      </c>
      <c r="AE88" s="392">
        <v>0</v>
      </c>
      <c r="AF88" s="433"/>
      <c r="AG88" s="392">
        <v>0</v>
      </c>
      <c r="AH88" s="433"/>
      <c r="AI88" s="392"/>
      <c r="AJ88" s="433"/>
      <c r="AK88" s="392">
        <v>0</v>
      </c>
      <c r="AL88" s="433">
        <f t="shared" si="126"/>
        <v>0</v>
      </c>
      <c r="AM88" s="392"/>
      <c r="AN88" s="433"/>
      <c r="AO88" s="392">
        <v>0</v>
      </c>
      <c r="AP88" s="433"/>
      <c r="AQ88" s="392"/>
      <c r="AR88" s="433"/>
      <c r="AS88" s="392"/>
      <c r="AT88" s="433"/>
      <c r="AU88" s="392"/>
      <c r="AV88" s="433"/>
      <c r="AW88" s="392">
        <v>0</v>
      </c>
      <c r="AX88" s="433">
        <f t="shared" si="127"/>
        <v>0</v>
      </c>
      <c r="AY88" s="435"/>
      <c r="AZ88" s="433"/>
      <c r="BA88" s="490">
        <v>0</v>
      </c>
      <c r="BB88" s="433">
        <f t="shared" si="128"/>
        <v>0</v>
      </c>
      <c r="BC88" s="392">
        <v>0</v>
      </c>
      <c r="BD88" s="433">
        <f t="shared" si="129"/>
        <v>0</v>
      </c>
      <c r="BE88" s="392">
        <v>0</v>
      </c>
      <c r="BF88" s="433">
        <f t="shared" si="130"/>
        <v>0</v>
      </c>
      <c r="BG88" s="392"/>
      <c r="BH88" s="433"/>
      <c r="BI88" s="392"/>
      <c r="BJ88" s="433">
        <f t="shared" si="131"/>
        <v>0</v>
      </c>
      <c r="BK88" s="433">
        <f t="shared" si="132"/>
        <v>0</v>
      </c>
      <c r="BL88" s="433">
        <f t="shared" si="132"/>
        <v>0</v>
      </c>
      <c r="BM88" s="480" t="s">
        <v>215</v>
      </c>
      <c r="BN88" s="361"/>
      <c r="BO88" s="475"/>
      <c r="BP88" s="252"/>
      <c r="BQ88" s="251">
        <f>H88</f>
        <v>0</v>
      </c>
      <c r="BR88" s="252"/>
      <c r="BS88" s="340">
        <f t="shared" si="119"/>
        <v>0</v>
      </c>
      <c r="BT88" s="252"/>
      <c r="BU88" s="252"/>
      <c r="BV88" s="340"/>
      <c r="BW88" s="478">
        <f t="shared" si="120"/>
        <v>0</v>
      </c>
    </row>
    <row r="89" spans="1:75" s="139" customFormat="1" x14ac:dyDescent="0.25">
      <c r="A89" s="486"/>
      <c r="B89" s="382"/>
      <c r="C89" s="375"/>
      <c r="D89" s="358" t="s">
        <v>486</v>
      </c>
      <c r="E89" s="354" t="s">
        <v>111</v>
      </c>
      <c r="F89" s="358"/>
      <c r="G89" s="380">
        <f t="shared" ref="G89:AL89" si="133">SUM(G84:G88)</f>
        <v>168</v>
      </c>
      <c r="H89" s="380">
        <f t="shared" si="133"/>
        <v>840000</v>
      </c>
      <c r="I89" s="380">
        <f t="shared" si="133"/>
        <v>84000</v>
      </c>
      <c r="J89" s="380">
        <f t="shared" si="133"/>
        <v>672000</v>
      </c>
      <c r="K89" s="380">
        <f t="shared" si="133"/>
        <v>0</v>
      </c>
      <c r="L89" s="380">
        <f t="shared" si="133"/>
        <v>0</v>
      </c>
      <c r="M89" s="380">
        <f t="shared" si="133"/>
        <v>0</v>
      </c>
      <c r="N89" s="380">
        <f t="shared" si="133"/>
        <v>0</v>
      </c>
      <c r="O89" s="380">
        <f t="shared" si="133"/>
        <v>0</v>
      </c>
      <c r="P89" s="380">
        <f t="shared" si="133"/>
        <v>0</v>
      </c>
      <c r="Q89" s="380">
        <f t="shared" si="133"/>
        <v>84000</v>
      </c>
      <c r="R89" s="380">
        <f t="shared" si="133"/>
        <v>0</v>
      </c>
      <c r="S89" s="380">
        <f t="shared" si="133"/>
        <v>67.2</v>
      </c>
      <c r="T89" s="380">
        <f t="shared" si="133"/>
        <v>100.8</v>
      </c>
      <c r="U89" s="380">
        <f t="shared" si="133"/>
        <v>0</v>
      </c>
      <c r="V89" s="380">
        <f t="shared" si="133"/>
        <v>0</v>
      </c>
      <c r="W89" s="380">
        <f t="shared" si="133"/>
        <v>336000</v>
      </c>
      <c r="X89" s="380">
        <f t="shared" si="133"/>
        <v>504000</v>
      </c>
      <c r="Y89" s="380">
        <f t="shared" si="133"/>
        <v>0</v>
      </c>
      <c r="Z89" s="380">
        <f t="shared" si="133"/>
        <v>0</v>
      </c>
      <c r="AA89" s="380">
        <f t="shared" si="133"/>
        <v>10</v>
      </c>
      <c r="AB89" s="380">
        <f t="shared" si="133"/>
        <v>50000</v>
      </c>
      <c r="AC89" s="380">
        <f t="shared" si="133"/>
        <v>10</v>
      </c>
      <c r="AD89" s="380">
        <f t="shared" si="133"/>
        <v>50000</v>
      </c>
      <c r="AE89" s="380">
        <f t="shared" si="133"/>
        <v>10</v>
      </c>
      <c r="AF89" s="380">
        <f t="shared" si="133"/>
        <v>50000</v>
      </c>
      <c r="AG89" s="380">
        <f t="shared" si="133"/>
        <v>10</v>
      </c>
      <c r="AH89" s="380">
        <f t="shared" si="133"/>
        <v>50000</v>
      </c>
      <c r="AI89" s="380">
        <f t="shared" si="133"/>
        <v>10</v>
      </c>
      <c r="AJ89" s="380">
        <f t="shared" si="133"/>
        <v>50000</v>
      </c>
      <c r="AK89" s="380">
        <f t="shared" si="133"/>
        <v>10</v>
      </c>
      <c r="AL89" s="380">
        <f t="shared" si="133"/>
        <v>50000</v>
      </c>
      <c r="AM89" s="380">
        <f t="shared" ref="AM89:BL89" si="134">SUM(AM84:AM88)</f>
        <v>10</v>
      </c>
      <c r="AN89" s="380">
        <f t="shared" si="134"/>
        <v>50000</v>
      </c>
      <c r="AO89" s="380">
        <f t="shared" si="134"/>
        <v>10</v>
      </c>
      <c r="AP89" s="380">
        <f t="shared" si="134"/>
        <v>50000</v>
      </c>
      <c r="AQ89" s="380">
        <f t="shared" si="134"/>
        <v>8</v>
      </c>
      <c r="AR89" s="380">
        <f t="shared" si="134"/>
        <v>40000</v>
      </c>
      <c r="AS89" s="380">
        <f t="shared" si="134"/>
        <v>10</v>
      </c>
      <c r="AT89" s="380">
        <f t="shared" si="134"/>
        <v>50000</v>
      </c>
      <c r="AU89" s="380">
        <f t="shared" si="134"/>
        <v>10</v>
      </c>
      <c r="AV89" s="380">
        <f t="shared" si="134"/>
        <v>50000</v>
      </c>
      <c r="AW89" s="380">
        <f t="shared" si="134"/>
        <v>10</v>
      </c>
      <c r="AX89" s="380">
        <f t="shared" si="134"/>
        <v>50000</v>
      </c>
      <c r="AY89" s="488">
        <f t="shared" si="134"/>
        <v>10</v>
      </c>
      <c r="AZ89" s="380">
        <f t="shared" si="134"/>
        <v>50000</v>
      </c>
      <c r="BA89" s="488">
        <f t="shared" si="134"/>
        <v>10</v>
      </c>
      <c r="BB89" s="380">
        <f t="shared" si="134"/>
        <v>50000</v>
      </c>
      <c r="BC89" s="380">
        <f t="shared" si="134"/>
        <v>10</v>
      </c>
      <c r="BD89" s="380">
        <f t="shared" si="134"/>
        <v>50000</v>
      </c>
      <c r="BE89" s="380">
        <f t="shared" si="134"/>
        <v>10</v>
      </c>
      <c r="BF89" s="380">
        <f t="shared" si="134"/>
        <v>50000</v>
      </c>
      <c r="BG89" s="380">
        <f t="shared" si="134"/>
        <v>10</v>
      </c>
      <c r="BH89" s="380">
        <f t="shared" si="134"/>
        <v>50000</v>
      </c>
      <c r="BI89" s="380">
        <f t="shared" si="134"/>
        <v>0</v>
      </c>
      <c r="BJ89" s="380">
        <f t="shared" si="134"/>
        <v>0</v>
      </c>
      <c r="BK89" s="380">
        <f t="shared" si="134"/>
        <v>168</v>
      </c>
      <c r="BL89" s="380">
        <f t="shared" si="134"/>
        <v>840000</v>
      </c>
      <c r="BM89" s="346" t="s">
        <v>111</v>
      </c>
      <c r="BN89" s="357"/>
      <c r="BO89" s="380">
        <f t="shared" ref="BO89:BW89" si="135">SUM(BO84:BO88)</f>
        <v>0</v>
      </c>
      <c r="BP89" s="380">
        <f t="shared" si="135"/>
        <v>0</v>
      </c>
      <c r="BQ89" s="380">
        <f t="shared" si="135"/>
        <v>840000</v>
      </c>
      <c r="BR89" s="380">
        <f t="shared" si="135"/>
        <v>0</v>
      </c>
      <c r="BS89" s="380">
        <f t="shared" si="135"/>
        <v>840000</v>
      </c>
      <c r="BT89" s="380">
        <f t="shared" si="135"/>
        <v>0</v>
      </c>
      <c r="BU89" s="380">
        <f t="shared" si="135"/>
        <v>0</v>
      </c>
      <c r="BV89" s="380">
        <f t="shared" si="135"/>
        <v>0</v>
      </c>
      <c r="BW89" s="380">
        <f t="shared" si="135"/>
        <v>840000</v>
      </c>
    </row>
    <row r="90" spans="1:75" s="158" customFormat="1" x14ac:dyDescent="0.25">
      <c r="A90" s="394"/>
      <c r="B90" s="370"/>
      <c r="C90" s="367"/>
      <c r="D90" s="358" t="s">
        <v>493</v>
      </c>
      <c r="E90" s="343" t="s">
        <v>111</v>
      </c>
      <c r="F90" s="343" t="s">
        <v>111</v>
      </c>
      <c r="G90" s="497">
        <f t="shared" ref="G90:AL90" si="136">G89+G82+G64+G40+G33</f>
        <v>9850</v>
      </c>
      <c r="H90" s="497">
        <f t="shared" si="136"/>
        <v>44006250</v>
      </c>
      <c r="I90" s="497">
        <f t="shared" si="136"/>
        <v>4400625</v>
      </c>
      <c r="J90" s="497">
        <f t="shared" si="136"/>
        <v>35205000</v>
      </c>
      <c r="K90" s="497">
        <f t="shared" si="136"/>
        <v>0</v>
      </c>
      <c r="L90" s="497">
        <f t="shared" si="136"/>
        <v>0</v>
      </c>
      <c r="M90" s="497">
        <f t="shared" si="136"/>
        <v>0</v>
      </c>
      <c r="N90" s="497">
        <f t="shared" si="136"/>
        <v>0</v>
      </c>
      <c r="O90" s="497">
        <f t="shared" si="136"/>
        <v>0</v>
      </c>
      <c r="P90" s="497">
        <f t="shared" si="136"/>
        <v>0</v>
      </c>
      <c r="Q90" s="497">
        <f t="shared" si="136"/>
        <v>4400625</v>
      </c>
      <c r="R90" s="497">
        <f t="shared" si="136"/>
        <v>0</v>
      </c>
      <c r="S90" s="497">
        <f t="shared" si="136"/>
        <v>2121.6999999999998</v>
      </c>
      <c r="T90" s="497">
        <f t="shared" si="136"/>
        <v>3235.05</v>
      </c>
      <c r="U90" s="497">
        <f t="shared" si="136"/>
        <v>2327.75</v>
      </c>
      <c r="V90" s="497">
        <f t="shared" si="136"/>
        <v>2128.5</v>
      </c>
      <c r="W90" s="497">
        <f t="shared" si="136"/>
        <v>16500937.5</v>
      </c>
      <c r="X90" s="497">
        <f t="shared" si="136"/>
        <v>18541125</v>
      </c>
      <c r="Y90" s="497">
        <f t="shared" si="136"/>
        <v>8964187.5</v>
      </c>
      <c r="Z90" s="497">
        <f t="shared" si="136"/>
        <v>0</v>
      </c>
      <c r="AA90" s="497">
        <f t="shared" si="136"/>
        <v>1249</v>
      </c>
      <c r="AB90" s="497">
        <f t="shared" si="136"/>
        <v>5960000</v>
      </c>
      <c r="AC90" s="497">
        <f t="shared" si="136"/>
        <v>639</v>
      </c>
      <c r="AD90" s="497">
        <f t="shared" si="136"/>
        <v>3177500</v>
      </c>
      <c r="AE90" s="497">
        <f t="shared" si="136"/>
        <v>845</v>
      </c>
      <c r="AF90" s="497">
        <f t="shared" si="136"/>
        <v>3920000</v>
      </c>
      <c r="AG90" s="497">
        <f t="shared" si="136"/>
        <v>579</v>
      </c>
      <c r="AH90" s="497">
        <f t="shared" si="136"/>
        <v>2847500</v>
      </c>
      <c r="AI90" s="497">
        <f t="shared" si="136"/>
        <v>114</v>
      </c>
      <c r="AJ90" s="497">
        <f t="shared" si="136"/>
        <v>50000</v>
      </c>
      <c r="AK90" s="497">
        <f t="shared" si="136"/>
        <v>705</v>
      </c>
      <c r="AL90" s="497">
        <f t="shared" si="136"/>
        <v>3740000</v>
      </c>
      <c r="AM90" s="497">
        <f t="shared" ref="AM90:BL90" si="137">AM89+AM82+AM64+AM40+AM33</f>
        <v>753</v>
      </c>
      <c r="AN90" s="497">
        <f t="shared" si="137"/>
        <v>3425000</v>
      </c>
      <c r="AO90" s="497">
        <f t="shared" si="137"/>
        <v>547</v>
      </c>
      <c r="AP90" s="497">
        <f t="shared" si="137"/>
        <v>2592500</v>
      </c>
      <c r="AQ90" s="497">
        <f t="shared" si="137"/>
        <v>582</v>
      </c>
      <c r="AR90" s="497">
        <f t="shared" si="137"/>
        <v>3137500</v>
      </c>
      <c r="AS90" s="497">
        <f t="shared" si="137"/>
        <v>595</v>
      </c>
      <c r="AT90" s="497">
        <f t="shared" si="137"/>
        <v>2705000</v>
      </c>
      <c r="AU90" s="497">
        <f t="shared" si="137"/>
        <v>467</v>
      </c>
      <c r="AV90" s="497">
        <f t="shared" si="137"/>
        <v>1952000</v>
      </c>
      <c r="AW90" s="497">
        <f t="shared" si="137"/>
        <v>410</v>
      </c>
      <c r="AX90" s="497">
        <f t="shared" si="137"/>
        <v>2033750</v>
      </c>
      <c r="AY90" s="497">
        <f t="shared" si="137"/>
        <v>487</v>
      </c>
      <c r="AZ90" s="497">
        <f t="shared" si="137"/>
        <v>1790000</v>
      </c>
      <c r="BA90" s="497">
        <f t="shared" si="137"/>
        <v>753</v>
      </c>
      <c r="BB90" s="497">
        <f t="shared" si="137"/>
        <v>2645000</v>
      </c>
      <c r="BC90" s="497">
        <f t="shared" si="137"/>
        <v>312</v>
      </c>
      <c r="BD90" s="497">
        <f t="shared" si="137"/>
        <v>1167500</v>
      </c>
      <c r="BE90" s="497">
        <f t="shared" si="137"/>
        <v>390</v>
      </c>
      <c r="BF90" s="497">
        <f t="shared" si="137"/>
        <v>1167500</v>
      </c>
      <c r="BG90" s="497">
        <f t="shared" si="137"/>
        <v>383</v>
      </c>
      <c r="BH90" s="497">
        <f t="shared" si="137"/>
        <v>1695500</v>
      </c>
      <c r="BI90" s="497">
        <f t="shared" si="137"/>
        <v>0</v>
      </c>
      <c r="BJ90" s="497">
        <f t="shared" si="137"/>
        <v>0</v>
      </c>
      <c r="BK90" s="497">
        <f t="shared" si="137"/>
        <v>9850</v>
      </c>
      <c r="BL90" s="497">
        <f t="shared" si="137"/>
        <v>44006250</v>
      </c>
      <c r="BM90" s="497"/>
      <c r="BN90" s="497"/>
      <c r="BO90" s="497">
        <f t="shared" ref="BO90:BW90" si="138">BO89+BO82+BO64+BO40+BO33</f>
        <v>0</v>
      </c>
      <c r="BP90" s="497">
        <f t="shared" si="138"/>
        <v>0</v>
      </c>
      <c r="BQ90" s="497">
        <f t="shared" si="138"/>
        <v>44006250</v>
      </c>
      <c r="BR90" s="497">
        <f t="shared" si="138"/>
        <v>0</v>
      </c>
      <c r="BS90" s="497">
        <f t="shared" si="138"/>
        <v>44006250</v>
      </c>
      <c r="BT90" s="497">
        <f t="shared" si="138"/>
        <v>0</v>
      </c>
      <c r="BU90" s="497">
        <f t="shared" si="138"/>
        <v>0</v>
      </c>
      <c r="BV90" s="497">
        <f t="shared" si="138"/>
        <v>0</v>
      </c>
      <c r="BW90" s="497">
        <f t="shared" si="138"/>
        <v>44006250</v>
      </c>
    </row>
    <row r="91" spans="1:75" ht="31.5" x14ac:dyDescent="0.25">
      <c r="A91" s="394"/>
      <c r="B91" s="408"/>
      <c r="C91" s="326" t="s">
        <v>823</v>
      </c>
      <c r="D91" s="462" t="s">
        <v>962</v>
      </c>
      <c r="E91" s="343" t="s">
        <v>79</v>
      </c>
      <c r="F91" s="709">
        <v>0</v>
      </c>
      <c r="G91" s="395">
        <f>BK91</f>
        <v>0</v>
      </c>
      <c r="H91" s="395">
        <f>BL91</f>
        <v>0</v>
      </c>
      <c r="I91" s="410">
        <f>0.2*H91</f>
        <v>0</v>
      </c>
      <c r="J91" s="409">
        <f>0.8*H91</f>
        <v>0</v>
      </c>
      <c r="K91" s="409"/>
      <c r="L91" s="409"/>
      <c r="M91" s="409"/>
      <c r="N91" s="409"/>
      <c r="O91" s="409"/>
      <c r="P91" s="434"/>
      <c r="Q91" s="434"/>
      <c r="R91" s="434"/>
      <c r="S91" s="392"/>
      <c r="T91" s="392"/>
      <c r="U91" s="392">
        <v>27</v>
      </c>
      <c r="V91" s="392">
        <v>60</v>
      </c>
      <c r="W91" s="392">
        <f>S91*F91</f>
        <v>0</v>
      </c>
      <c r="X91" s="392">
        <f>T91*F91</f>
        <v>0</v>
      </c>
      <c r="Y91" s="392">
        <f>H91*0.4</f>
        <v>0</v>
      </c>
      <c r="Z91" s="392">
        <f>H91*0.6</f>
        <v>0</v>
      </c>
      <c r="AA91" s="453">
        <v>0</v>
      </c>
      <c r="AB91" s="391">
        <f>AA91*F91</f>
        <v>0</v>
      </c>
      <c r="AC91" s="453">
        <v>0</v>
      </c>
      <c r="AD91" s="391">
        <f>AC91*F91</f>
        <v>0</v>
      </c>
      <c r="AE91" s="453">
        <v>0</v>
      </c>
      <c r="AF91" s="391">
        <f>AE91*F91</f>
        <v>0</v>
      </c>
      <c r="AG91" s="453">
        <v>0</v>
      </c>
      <c r="AH91" s="391">
        <f>AG91*F91</f>
        <v>0</v>
      </c>
      <c r="AI91" s="453">
        <v>0</v>
      </c>
      <c r="AJ91" s="391">
        <f>AI91*F91</f>
        <v>0</v>
      </c>
      <c r="AK91" s="429">
        <v>0</v>
      </c>
      <c r="AL91" s="391">
        <f>AK91*F91</f>
        <v>0</v>
      </c>
      <c r="AM91" s="453">
        <v>0</v>
      </c>
      <c r="AN91" s="391">
        <f>AM91*F91</f>
        <v>0</v>
      </c>
      <c r="AO91" s="429">
        <v>0</v>
      </c>
      <c r="AP91" s="391">
        <v>0</v>
      </c>
      <c r="AQ91" s="453">
        <v>0</v>
      </c>
      <c r="AR91" s="391">
        <f>AQ91*F91</f>
        <v>0</v>
      </c>
      <c r="AS91" s="453">
        <v>0</v>
      </c>
      <c r="AT91" s="391">
        <f>AS91*F91</f>
        <v>0</v>
      </c>
      <c r="AU91" s="429">
        <v>0</v>
      </c>
      <c r="AV91" s="391">
        <f>AU91*F91</f>
        <v>0</v>
      </c>
      <c r="AW91" s="429">
        <v>0</v>
      </c>
      <c r="AX91" s="391">
        <f>AW91*F91</f>
        <v>0</v>
      </c>
      <c r="AY91" s="410">
        <v>0</v>
      </c>
      <c r="AZ91" s="391">
        <f>AY91*F91</f>
        <v>0</v>
      </c>
      <c r="BA91" s="454">
        <v>0</v>
      </c>
      <c r="BB91" s="391">
        <f>BA91*F91</f>
        <v>0</v>
      </c>
      <c r="BC91" s="453">
        <v>0</v>
      </c>
      <c r="BD91" s="391">
        <v>0</v>
      </c>
      <c r="BE91" s="453">
        <v>0</v>
      </c>
      <c r="BF91" s="391">
        <f>BE91*F91</f>
        <v>0</v>
      </c>
      <c r="BG91" s="453">
        <v>0</v>
      </c>
      <c r="BH91" s="391">
        <f>BG91*F91</f>
        <v>0</v>
      </c>
      <c r="BI91" s="453"/>
      <c r="BJ91" s="391">
        <f>BI91*F91</f>
        <v>0</v>
      </c>
      <c r="BK91" s="433">
        <f>AA91+AC91+AE91+AG91+AI91+AK91+AM91+AO91+AQ91+AS91+AU91+AW91+AY91+BA91+BC91+BE91+BG91+BI91</f>
        <v>0</v>
      </c>
      <c r="BL91" s="433">
        <f>AB91+AD91+AF91+AH91+AJ91+AL91+AN91+AP91+AR91+AT91+AV91+AX91+AZ91+BB91+BD91+BF91+BH91+BJ91</f>
        <v>0</v>
      </c>
      <c r="BM91" s="336" t="s">
        <v>209</v>
      </c>
      <c r="BN91" s="359"/>
      <c r="BO91" s="251"/>
      <c r="BP91" s="251">
        <f>H91</f>
        <v>0</v>
      </c>
      <c r="BQ91" s="251"/>
      <c r="BR91" s="251"/>
      <c r="BS91" s="251">
        <f>BO91+BP91+BQ91+BR91</f>
        <v>0</v>
      </c>
      <c r="BT91" s="251"/>
      <c r="BU91" s="251"/>
      <c r="BV91" s="251">
        <f>BT91+BU91</f>
        <v>0</v>
      </c>
      <c r="BW91" s="431">
        <f>BS91+BV91</f>
        <v>0</v>
      </c>
    </row>
    <row r="92" spans="1:75" s="158" customFormat="1" x14ac:dyDescent="0.25">
      <c r="A92" s="436"/>
      <c r="B92" s="370"/>
      <c r="C92" s="367"/>
      <c r="D92" s="358" t="s">
        <v>17</v>
      </c>
      <c r="E92" s="354" t="s">
        <v>111</v>
      </c>
      <c r="F92" s="358"/>
      <c r="G92" s="437">
        <f t="shared" ref="G92:AL92" si="139">G91+G90+G16</f>
        <v>9935</v>
      </c>
      <c r="H92" s="437">
        <f t="shared" si="139"/>
        <v>44856250</v>
      </c>
      <c r="I92" s="437">
        <f t="shared" si="139"/>
        <v>4400625</v>
      </c>
      <c r="J92" s="437">
        <f t="shared" si="139"/>
        <v>35885000</v>
      </c>
      <c r="K92" s="437">
        <f t="shared" si="139"/>
        <v>0</v>
      </c>
      <c r="L92" s="437">
        <f t="shared" si="139"/>
        <v>0</v>
      </c>
      <c r="M92" s="437">
        <f t="shared" si="139"/>
        <v>0</v>
      </c>
      <c r="N92" s="437">
        <f t="shared" si="139"/>
        <v>0</v>
      </c>
      <c r="O92" s="437">
        <f t="shared" si="139"/>
        <v>0</v>
      </c>
      <c r="P92" s="437">
        <f t="shared" si="139"/>
        <v>0</v>
      </c>
      <c r="Q92" s="437">
        <f t="shared" si="139"/>
        <v>4570625</v>
      </c>
      <c r="R92" s="437">
        <f t="shared" si="139"/>
        <v>0</v>
      </c>
      <c r="S92" s="437">
        <f t="shared" si="139"/>
        <v>2121.6999999999998</v>
      </c>
      <c r="T92" s="437">
        <f t="shared" si="139"/>
        <v>3320.05</v>
      </c>
      <c r="U92" s="437">
        <f t="shared" si="139"/>
        <v>2354.75</v>
      </c>
      <c r="V92" s="437">
        <f t="shared" si="139"/>
        <v>2188.5</v>
      </c>
      <c r="W92" s="437">
        <f t="shared" si="139"/>
        <v>16500937.5</v>
      </c>
      <c r="X92" s="437">
        <f t="shared" si="139"/>
        <v>19391125</v>
      </c>
      <c r="Y92" s="437">
        <f t="shared" si="139"/>
        <v>8964187.5</v>
      </c>
      <c r="Z92" s="437">
        <f t="shared" si="139"/>
        <v>0</v>
      </c>
      <c r="AA92" s="437">
        <f t="shared" si="139"/>
        <v>1254</v>
      </c>
      <c r="AB92" s="437">
        <f t="shared" si="139"/>
        <v>6010000</v>
      </c>
      <c r="AC92" s="437">
        <f t="shared" si="139"/>
        <v>644</v>
      </c>
      <c r="AD92" s="437">
        <f t="shared" si="139"/>
        <v>3227500</v>
      </c>
      <c r="AE92" s="437">
        <f t="shared" si="139"/>
        <v>850</v>
      </c>
      <c r="AF92" s="437">
        <f t="shared" si="139"/>
        <v>3970000</v>
      </c>
      <c r="AG92" s="437">
        <f t="shared" si="139"/>
        <v>584</v>
      </c>
      <c r="AH92" s="437">
        <f t="shared" si="139"/>
        <v>2897500</v>
      </c>
      <c r="AI92" s="437">
        <f t="shared" si="139"/>
        <v>119</v>
      </c>
      <c r="AJ92" s="437">
        <f t="shared" si="139"/>
        <v>100000</v>
      </c>
      <c r="AK92" s="437">
        <f t="shared" si="139"/>
        <v>710</v>
      </c>
      <c r="AL92" s="437">
        <f t="shared" si="139"/>
        <v>3790000</v>
      </c>
      <c r="AM92" s="437">
        <f t="shared" ref="AM92:BL92" si="140">AM91+AM90+AM16</f>
        <v>758</v>
      </c>
      <c r="AN92" s="437">
        <f t="shared" si="140"/>
        <v>3475000</v>
      </c>
      <c r="AO92" s="437">
        <f t="shared" si="140"/>
        <v>552</v>
      </c>
      <c r="AP92" s="437">
        <f t="shared" si="140"/>
        <v>2642500</v>
      </c>
      <c r="AQ92" s="437">
        <f t="shared" si="140"/>
        <v>587</v>
      </c>
      <c r="AR92" s="437">
        <f t="shared" si="140"/>
        <v>3187500</v>
      </c>
      <c r="AS92" s="437">
        <f t="shared" si="140"/>
        <v>600</v>
      </c>
      <c r="AT92" s="437">
        <f t="shared" si="140"/>
        <v>2755000</v>
      </c>
      <c r="AU92" s="437">
        <f t="shared" si="140"/>
        <v>472</v>
      </c>
      <c r="AV92" s="437">
        <f t="shared" si="140"/>
        <v>2002000</v>
      </c>
      <c r="AW92" s="437">
        <f t="shared" si="140"/>
        <v>415</v>
      </c>
      <c r="AX92" s="437">
        <f t="shared" si="140"/>
        <v>2083750</v>
      </c>
      <c r="AY92" s="438">
        <f t="shared" si="140"/>
        <v>492</v>
      </c>
      <c r="AZ92" s="437">
        <f t="shared" si="140"/>
        <v>1840000</v>
      </c>
      <c r="BA92" s="438">
        <f t="shared" si="140"/>
        <v>758</v>
      </c>
      <c r="BB92" s="437">
        <f t="shared" si="140"/>
        <v>2695000</v>
      </c>
      <c r="BC92" s="437">
        <f t="shared" si="140"/>
        <v>317</v>
      </c>
      <c r="BD92" s="437">
        <f t="shared" si="140"/>
        <v>1217500</v>
      </c>
      <c r="BE92" s="437">
        <f t="shared" si="140"/>
        <v>395</v>
      </c>
      <c r="BF92" s="437">
        <f t="shared" si="140"/>
        <v>1217500</v>
      </c>
      <c r="BG92" s="437">
        <f t="shared" si="140"/>
        <v>388</v>
      </c>
      <c r="BH92" s="437">
        <f t="shared" si="140"/>
        <v>1745500</v>
      </c>
      <c r="BI92" s="437">
        <f t="shared" si="140"/>
        <v>0</v>
      </c>
      <c r="BJ92" s="437">
        <f t="shared" si="140"/>
        <v>0</v>
      </c>
      <c r="BK92" s="437">
        <f t="shared" si="140"/>
        <v>9935</v>
      </c>
      <c r="BL92" s="437">
        <f t="shared" si="140"/>
        <v>44856250</v>
      </c>
      <c r="BM92" s="437"/>
      <c r="BN92" s="437"/>
      <c r="BO92" s="437">
        <f t="shared" ref="BO92:BW92" si="141">BO91+BO90+BO16</f>
        <v>0</v>
      </c>
      <c r="BP92" s="437">
        <f t="shared" si="141"/>
        <v>850000</v>
      </c>
      <c r="BQ92" s="437">
        <f t="shared" si="141"/>
        <v>44006250</v>
      </c>
      <c r="BR92" s="437">
        <f t="shared" si="141"/>
        <v>0</v>
      </c>
      <c r="BS92" s="437">
        <f t="shared" si="141"/>
        <v>44856250</v>
      </c>
      <c r="BT92" s="437">
        <f t="shared" si="141"/>
        <v>0</v>
      </c>
      <c r="BU92" s="437">
        <f t="shared" si="141"/>
        <v>0</v>
      </c>
      <c r="BV92" s="437">
        <f t="shared" si="141"/>
        <v>0</v>
      </c>
      <c r="BW92" s="437">
        <f t="shared" si="141"/>
        <v>44856250</v>
      </c>
    </row>
    <row r="94" spans="1:75" x14ac:dyDescent="0.25">
      <c r="W94" s="150">
        <f>SUM(W92:Z92)</f>
        <v>44856250</v>
      </c>
    </row>
    <row r="95" spans="1:75" x14ac:dyDescent="0.25">
      <c r="H95" s="150">
        <f>H92-BL92</f>
        <v>0</v>
      </c>
    </row>
    <row r="96" spans="1:75" x14ac:dyDescent="0.25">
      <c r="H96" s="150"/>
      <c r="W96" s="150">
        <f>H92-W94</f>
        <v>0</v>
      </c>
    </row>
  </sheetData>
  <autoFilter ref="A8:BW92" xr:uid="{00000000-0009-0000-0000-00000B000000}"/>
  <mergeCells count="35">
    <mergeCell ref="BW7:BW8"/>
    <mergeCell ref="BG6:BH7"/>
    <mergeCell ref="BI6:BJ7"/>
    <mergeCell ref="BK6:BL7"/>
    <mergeCell ref="BM6:BM8"/>
    <mergeCell ref="C7:C8"/>
    <mergeCell ref="BO7:BS7"/>
    <mergeCell ref="BT7:BV7"/>
    <mergeCell ref="D7:D8"/>
    <mergeCell ref="H7:H8"/>
    <mergeCell ref="BC6:BD7"/>
    <mergeCell ref="BE6:BF7"/>
    <mergeCell ref="AS6:AT7"/>
    <mergeCell ref="S6:V7"/>
    <mergeCell ref="W6:Z7"/>
    <mergeCell ref="AA6:AB7"/>
    <mergeCell ref="AC6:AD7"/>
    <mergeCell ref="AE6:AF7"/>
    <mergeCell ref="AG6:AH7"/>
    <mergeCell ref="AI6:AJ7"/>
    <mergeCell ref="AU6:AV7"/>
    <mergeCell ref="AW6:AX7"/>
    <mergeCell ref="AY6:AZ7"/>
    <mergeCell ref="BA6:BB7"/>
    <mergeCell ref="AK6:AL7"/>
    <mergeCell ref="AM6:AN7"/>
    <mergeCell ref="AO6:AP7"/>
    <mergeCell ref="AQ6:AR7"/>
    <mergeCell ref="A6:E6"/>
    <mergeCell ref="F6:H6"/>
    <mergeCell ref="I6:R6"/>
    <mergeCell ref="A1:B1"/>
    <mergeCell ref="D1:R1"/>
    <mergeCell ref="A2:B2"/>
    <mergeCell ref="D2:R2"/>
  </mergeCells>
  <phoneticPr fontId="3" type="noConversion"/>
  <pageMargins left="0.27" right="0.38" top="0.75" bottom="0.75" header="0.3" footer="0.3"/>
  <pageSetup paperSize="9" scale="1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rgb="FFFF0000"/>
    <pageSetUpPr fitToPage="1"/>
  </sheetPr>
  <dimension ref="A1:BW76"/>
  <sheetViews>
    <sheetView zoomScale="80" zoomScaleNormal="80" workbookViewId="0">
      <pane xSplit="8" ySplit="9" topLeftCell="Q61" activePane="bottomRight" state="frozen"/>
      <selection pane="topRight" activeCell="I1" sqref="I1"/>
      <selection pane="bottomLeft" activeCell="A10" sqref="A10"/>
      <selection pane="bottomRight" activeCell="F87" sqref="F87"/>
    </sheetView>
  </sheetViews>
  <sheetFormatPr defaultColWidth="8.7109375" defaultRowHeight="12.75" x14ac:dyDescent="0.25"/>
  <cols>
    <col min="1" max="1" width="9.28515625" style="279" customWidth="1"/>
    <col min="2" max="2" width="8.85546875" style="279" bestFit="1" customWidth="1"/>
    <col min="3" max="3" width="7.28515625" style="279" customWidth="1"/>
    <col min="4" max="4" width="51.42578125" style="279" bestFit="1" customWidth="1"/>
    <col min="5" max="5" width="15.5703125" style="279" bestFit="1" customWidth="1"/>
    <col min="6" max="6" width="14.42578125" style="279" bestFit="1" customWidth="1"/>
    <col min="7" max="7" width="15.5703125" style="279" bestFit="1" customWidth="1"/>
    <col min="8" max="8" width="15.5703125" style="501" bestFit="1" customWidth="1"/>
    <col min="9" max="9" width="14.42578125" style="501" bestFit="1" customWidth="1"/>
    <col min="10" max="10" width="15.5703125" style="501" bestFit="1" customWidth="1"/>
    <col min="11" max="11" width="14.42578125" style="501" customWidth="1"/>
    <col min="12" max="12" width="11.42578125" style="501" customWidth="1"/>
    <col min="13" max="13" width="14.42578125" style="501" customWidth="1"/>
    <col min="14" max="14" width="11.140625" style="501" customWidth="1"/>
    <col min="15" max="15" width="15.85546875" style="501" customWidth="1"/>
    <col min="16" max="16" width="7.140625" style="501" customWidth="1"/>
    <col min="17" max="17" width="14.42578125" style="501" bestFit="1" customWidth="1"/>
    <col min="18" max="18" width="7.42578125" style="501" customWidth="1"/>
    <col min="19" max="19" width="11.85546875" style="279" customWidth="1"/>
    <col min="20" max="20" width="10.85546875" style="279" customWidth="1"/>
    <col min="21" max="21" width="11.28515625" style="279" customWidth="1"/>
    <col min="22" max="22" width="9.7109375" style="279" customWidth="1"/>
    <col min="23" max="24" width="15.5703125" style="279" bestFit="1" customWidth="1"/>
    <col min="25" max="25" width="14.85546875" style="279" bestFit="1" customWidth="1"/>
    <col min="26" max="26" width="14.42578125" style="279" customWidth="1"/>
    <col min="27" max="27" width="9.42578125" style="279" bestFit="1" customWidth="1"/>
    <col min="28" max="28" width="16" style="500" customWidth="1"/>
    <col min="29" max="29" width="9.42578125" style="279" bestFit="1" customWidth="1"/>
    <col min="30" max="30" width="16" style="279" customWidth="1"/>
    <col min="31" max="31" width="8.140625" style="279" customWidth="1"/>
    <col min="32" max="32" width="16" style="279" customWidth="1"/>
    <col min="33" max="33" width="8.5703125" style="279" customWidth="1"/>
    <col min="34" max="34" width="16" style="279" customWidth="1"/>
    <col min="35" max="35" width="8" style="279" customWidth="1"/>
    <col min="36" max="36" width="14.28515625" style="279" customWidth="1"/>
    <col min="37" max="37" width="8.5703125" style="279" customWidth="1"/>
    <col min="38" max="38" width="16" style="279" customWidth="1"/>
    <col min="39" max="39" width="8.85546875" style="279" customWidth="1"/>
    <col min="40" max="40" width="16" style="279" customWidth="1"/>
    <col min="41" max="41" width="10.7109375" style="279" customWidth="1"/>
    <col min="42" max="42" width="16" style="279" customWidth="1"/>
    <col min="43" max="43" width="9.42578125" style="279" customWidth="1"/>
    <col min="44" max="44" width="15" style="279" customWidth="1"/>
    <col min="45" max="45" width="10.7109375" style="279" customWidth="1"/>
    <col min="46" max="46" width="16.5703125" style="279" customWidth="1"/>
    <col min="47" max="47" width="9.5703125" style="279" customWidth="1"/>
    <col min="48" max="48" width="14.28515625" style="279" customWidth="1"/>
    <col min="49" max="49" width="10.28515625" style="279" customWidth="1"/>
    <col min="50" max="50" width="14.42578125" style="279" customWidth="1"/>
    <col min="51" max="51" width="11.140625" style="501" customWidth="1"/>
    <col min="52" max="52" width="14.28515625" style="279" customWidth="1"/>
    <col min="53" max="53" width="10" style="501" customWidth="1"/>
    <col min="54" max="54" width="16.5703125" style="279" customWidth="1"/>
    <col min="55" max="55" width="8.5703125" style="279" customWidth="1"/>
    <col min="56" max="56" width="16.5703125" style="279" customWidth="1"/>
    <col min="57" max="57" width="8.5703125" style="279" customWidth="1"/>
    <col min="58" max="58" width="14.28515625" style="279" customWidth="1"/>
    <col min="59" max="59" width="8.7109375" style="279" customWidth="1"/>
    <col min="60" max="60" width="16" style="279" customWidth="1"/>
    <col min="61" max="61" width="10.28515625" style="279" customWidth="1"/>
    <col min="62" max="62" width="15.5703125" style="279" customWidth="1"/>
    <col min="63" max="63" width="13" style="279" customWidth="1"/>
    <col min="64" max="64" width="18.28515625" style="279" customWidth="1"/>
    <col min="65" max="65" width="30.140625" style="502" bestFit="1" customWidth="1"/>
    <col min="66" max="66" width="4.7109375" style="279" customWidth="1"/>
    <col min="67" max="67" width="20.42578125" style="279" customWidth="1"/>
    <col min="68" max="68" width="17.7109375" style="279" bestFit="1" customWidth="1"/>
    <col min="69" max="69" width="19.140625" style="279" bestFit="1" customWidth="1"/>
    <col min="70" max="70" width="18" style="279" customWidth="1"/>
    <col min="71" max="71" width="18.42578125" style="279" customWidth="1"/>
    <col min="72" max="74" width="9.140625" style="279" customWidth="1"/>
    <col min="75" max="75" width="19.85546875" style="279" customWidth="1"/>
    <col min="76" max="16384" width="8.7109375" style="279"/>
  </cols>
  <sheetData>
    <row r="1" spans="1:75" x14ac:dyDescent="0.25">
      <c r="A1" s="864" t="s">
        <v>158</v>
      </c>
      <c r="B1" s="864"/>
      <c r="C1" s="498"/>
      <c r="D1" s="865" t="s">
        <v>152</v>
      </c>
      <c r="E1" s="865"/>
      <c r="F1" s="865"/>
      <c r="G1" s="865"/>
      <c r="H1" s="865"/>
      <c r="I1" s="865"/>
      <c r="J1" s="865"/>
      <c r="K1" s="865"/>
      <c r="L1" s="865"/>
      <c r="M1" s="865"/>
      <c r="N1" s="865"/>
      <c r="O1" s="865"/>
      <c r="P1" s="865"/>
      <c r="Q1" s="865"/>
      <c r="R1" s="865"/>
      <c r="S1" s="499"/>
      <c r="T1" s="499"/>
      <c r="U1" s="499"/>
      <c r="V1" s="499"/>
      <c r="W1" s="499"/>
      <c r="X1" s="499"/>
      <c r="Y1" s="499"/>
      <c r="Z1" s="499"/>
    </row>
    <row r="2" spans="1:75" x14ac:dyDescent="0.25">
      <c r="A2" s="864" t="s">
        <v>154</v>
      </c>
      <c r="B2" s="864"/>
      <c r="C2" s="498"/>
      <c r="D2" s="865" t="s">
        <v>153</v>
      </c>
      <c r="E2" s="865"/>
      <c r="F2" s="865"/>
      <c r="G2" s="865"/>
      <c r="H2" s="865"/>
      <c r="I2" s="865"/>
      <c r="J2" s="865"/>
      <c r="K2" s="865"/>
      <c r="L2" s="865"/>
      <c r="M2" s="865"/>
      <c r="N2" s="865"/>
      <c r="O2" s="865"/>
      <c r="P2" s="865"/>
      <c r="Q2" s="865"/>
      <c r="R2" s="865"/>
      <c r="S2" s="499"/>
      <c r="T2" s="499"/>
      <c r="U2" s="499"/>
      <c r="V2" s="499"/>
      <c r="W2" s="499"/>
      <c r="X2" s="499"/>
      <c r="Y2" s="499"/>
      <c r="Z2" s="499"/>
      <c r="AA2" s="501" t="s">
        <v>287</v>
      </c>
      <c r="AB2" s="501">
        <v>8.34</v>
      </c>
      <c r="AC2" s="501"/>
      <c r="AD2" s="501">
        <v>2.85</v>
      </c>
      <c r="AE2" s="501"/>
      <c r="AF2" s="501">
        <v>8.3800000000000008</v>
      </c>
      <c r="AG2" s="501"/>
      <c r="AH2" s="501">
        <v>7.49</v>
      </c>
      <c r="AI2" s="501"/>
      <c r="AJ2" s="501">
        <v>3.33</v>
      </c>
      <c r="AK2" s="501"/>
      <c r="AL2" s="501">
        <v>6.64</v>
      </c>
      <c r="AM2" s="501"/>
      <c r="AN2" s="501">
        <v>3.67</v>
      </c>
      <c r="AO2" s="501"/>
      <c r="AP2" s="501">
        <v>5.0599999999999996</v>
      </c>
      <c r="AQ2" s="501"/>
      <c r="AR2" s="501">
        <v>5.94</v>
      </c>
      <c r="AS2" s="501"/>
      <c r="AT2" s="501">
        <v>6.85</v>
      </c>
      <c r="AU2" s="501"/>
      <c r="AV2" s="501">
        <v>7.45</v>
      </c>
      <c r="AW2" s="501"/>
      <c r="AX2" s="501">
        <v>5.13</v>
      </c>
      <c r="AZ2" s="501">
        <v>4.8600000000000003</v>
      </c>
      <c r="BB2" s="501">
        <v>5.79</v>
      </c>
      <c r="BC2" s="501"/>
      <c r="BD2" s="501">
        <v>5.3</v>
      </c>
      <c r="BE2" s="501"/>
      <c r="BF2" s="501">
        <v>3.47</v>
      </c>
      <c r="BG2" s="501"/>
      <c r="BH2" s="501">
        <v>9.42</v>
      </c>
      <c r="BI2" s="501"/>
      <c r="BJ2" s="501"/>
      <c r="BK2" s="501"/>
      <c r="BL2" s="501"/>
    </row>
    <row r="3" spans="1:75" x14ac:dyDescent="0.25">
      <c r="A3" s="499" t="s">
        <v>155</v>
      </c>
      <c r="B3" s="499"/>
      <c r="C3" s="498"/>
      <c r="D3" s="499" t="s">
        <v>1174</v>
      </c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501" t="s">
        <v>285</v>
      </c>
      <c r="AB3" s="501">
        <v>48</v>
      </c>
      <c r="AC3" s="501"/>
      <c r="AD3" s="501">
        <v>23</v>
      </c>
      <c r="AE3" s="501"/>
      <c r="AF3" s="501">
        <v>80</v>
      </c>
      <c r="AG3" s="501"/>
      <c r="AH3" s="501">
        <v>105</v>
      </c>
      <c r="AI3" s="501"/>
      <c r="AJ3" s="501">
        <v>43</v>
      </c>
      <c r="AK3" s="501"/>
      <c r="AL3" s="501">
        <v>75</v>
      </c>
      <c r="AM3" s="501"/>
      <c r="AN3" s="501">
        <v>41</v>
      </c>
      <c r="AO3" s="501"/>
      <c r="AP3" s="501">
        <v>101</v>
      </c>
      <c r="AQ3" s="501"/>
      <c r="AR3" s="501">
        <v>8</v>
      </c>
      <c r="AS3" s="501"/>
      <c r="AT3" s="501">
        <v>33</v>
      </c>
      <c r="AU3" s="501"/>
      <c r="AV3" s="501">
        <v>53</v>
      </c>
      <c r="AW3" s="501"/>
      <c r="AX3" s="501">
        <v>52</v>
      </c>
      <c r="AZ3" s="501">
        <v>76</v>
      </c>
      <c r="BB3" s="501">
        <v>82</v>
      </c>
      <c r="BC3" s="501"/>
      <c r="BD3" s="501">
        <v>104</v>
      </c>
      <c r="BE3" s="501"/>
      <c r="BF3" s="501">
        <v>147</v>
      </c>
      <c r="BG3" s="501"/>
      <c r="BH3" s="501">
        <v>54</v>
      </c>
      <c r="BI3" s="501"/>
      <c r="BJ3" s="501"/>
      <c r="BK3" s="501"/>
      <c r="BL3" s="501"/>
    </row>
    <row r="4" spans="1:75" x14ac:dyDescent="0.25">
      <c r="A4" s="499" t="s">
        <v>168</v>
      </c>
      <c r="B4" s="499"/>
      <c r="C4" s="498"/>
      <c r="D4" s="499" t="s">
        <v>89</v>
      </c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  <c r="T4" s="499"/>
      <c r="U4" s="499"/>
      <c r="V4" s="499"/>
      <c r="W4" s="499"/>
      <c r="X4" s="499"/>
      <c r="Y4" s="499"/>
      <c r="Z4" s="499"/>
      <c r="AA4" s="501" t="s">
        <v>286</v>
      </c>
      <c r="AB4" s="503">
        <f>AB3/1125*100</f>
        <v>4.2666666666666666</v>
      </c>
      <c r="AC4" s="503">
        <f t="shared" ref="AC4:BH4" si="0">AC3/1125*100</f>
        <v>0</v>
      </c>
      <c r="AD4" s="503">
        <f t="shared" si="0"/>
        <v>2.0444444444444447</v>
      </c>
      <c r="AE4" s="503">
        <f t="shared" si="0"/>
        <v>0</v>
      </c>
      <c r="AF4" s="503">
        <f t="shared" si="0"/>
        <v>7.1111111111111107</v>
      </c>
      <c r="AG4" s="503">
        <f t="shared" si="0"/>
        <v>0</v>
      </c>
      <c r="AH4" s="503">
        <f t="shared" si="0"/>
        <v>9.3333333333333339</v>
      </c>
      <c r="AI4" s="503">
        <f t="shared" si="0"/>
        <v>0</v>
      </c>
      <c r="AJ4" s="503">
        <f t="shared" si="0"/>
        <v>3.822222222222222</v>
      </c>
      <c r="AK4" s="503">
        <f t="shared" si="0"/>
        <v>0</v>
      </c>
      <c r="AL4" s="503">
        <f t="shared" si="0"/>
        <v>6.666666666666667</v>
      </c>
      <c r="AM4" s="503">
        <f t="shared" si="0"/>
        <v>0</v>
      </c>
      <c r="AN4" s="503">
        <f t="shared" si="0"/>
        <v>3.6444444444444448</v>
      </c>
      <c r="AO4" s="503">
        <f t="shared" si="0"/>
        <v>0</v>
      </c>
      <c r="AP4" s="503">
        <f t="shared" si="0"/>
        <v>8.9777777777777779</v>
      </c>
      <c r="AQ4" s="503">
        <f t="shared" si="0"/>
        <v>0</v>
      </c>
      <c r="AR4" s="503">
        <f t="shared" si="0"/>
        <v>0.71111111111111114</v>
      </c>
      <c r="AS4" s="503">
        <f t="shared" si="0"/>
        <v>0</v>
      </c>
      <c r="AT4" s="503">
        <f t="shared" si="0"/>
        <v>2.9333333333333331</v>
      </c>
      <c r="AU4" s="503">
        <f t="shared" si="0"/>
        <v>0</v>
      </c>
      <c r="AV4" s="503">
        <f t="shared" si="0"/>
        <v>4.7111111111111112</v>
      </c>
      <c r="AW4" s="503">
        <f t="shared" si="0"/>
        <v>0</v>
      </c>
      <c r="AX4" s="503">
        <f t="shared" si="0"/>
        <v>4.6222222222222218</v>
      </c>
      <c r="AY4" s="503">
        <f t="shared" si="0"/>
        <v>0</v>
      </c>
      <c r="AZ4" s="503">
        <f t="shared" si="0"/>
        <v>6.7555555555555546</v>
      </c>
      <c r="BA4" s="503">
        <f t="shared" si="0"/>
        <v>0</v>
      </c>
      <c r="BB4" s="503">
        <f t="shared" si="0"/>
        <v>7.2888888888888896</v>
      </c>
      <c r="BC4" s="503">
        <f t="shared" si="0"/>
        <v>0</v>
      </c>
      <c r="BD4" s="503">
        <f t="shared" si="0"/>
        <v>9.2444444444444436</v>
      </c>
      <c r="BE4" s="503">
        <f t="shared" si="0"/>
        <v>0</v>
      </c>
      <c r="BF4" s="503">
        <f t="shared" si="0"/>
        <v>13.066666666666665</v>
      </c>
      <c r="BG4" s="503">
        <f t="shared" si="0"/>
        <v>0</v>
      </c>
      <c r="BH4" s="503">
        <f t="shared" si="0"/>
        <v>4.8</v>
      </c>
      <c r="BI4" s="501"/>
      <c r="BJ4" s="501"/>
      <c r="BK4" s="501"/>
      <c r="BL4" s="501"/>
    </row>
    <row r="5" spans="1:75" x14ac:dyDescent="0.25">
      <c r="A5" s="499" t="s">
        <v>170</v>
      </c>
      <c r="B5" s="499"/>
      <c r="C5" s="498"/>
      <c r="D5" s="499" t="s">
        <v>169</v>
      </c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501"/>
      <c r="AB5" s="501"/>
      <c r="AC5" s="501"/>
      <c r="AD5" s="501"/>
      <c r="AE5" s="501"/>
      <c r="AF5" s="501"/>
      <c r="AG5" s="501"/>
      <c r="AH5" s="501"/>
      <c r="AI5" s="501"/>
      <c r="AJ5" s="501"/>
      <c r="AK5" s="501"/>
      <c r="AL5" s="501"/>
      <c r="AM5" s="501"/>
      <c r="AN5" s="501"/>
      <c r="AO5" s="501"/>
      <c r="AP5" s="501"/>
      <c r="AQ5" s="501"/>
      <c r="AR5" s="501"/>
      <c r="AS5" s="501"/>
      <c r="AT5" s="501"/>
      <c r="AU5" s="501"/>
      <c r="AV5" s="501"/>
      <c r="AW5" s="501"/>
      <c r="AX5" s="501"/>
      <c r="AZ5" s="501"/>
      <c r="BB5" s="501"/>
      <c r="BC5" s="501"/>
      <c r="BD5" s="501"/>
      <c r="BE5" s="501"/>
      <c r="BF5" s="501"/>
      <c r="BG5" s="501"/>
      <c r="BH5" s="501"/>
      <c r="BI5" s="501"/>
      <c r="BJ5" s="501"/>
      <c r="BK5" s="501"/>
      <c r="BL5" s="501"/>
    </row>
    <row r="6" spans="1:75" ht="21" customHeight="1" x14ac:dyDescent="0.25">
      <c r="A6" s="882"/>
      <c r="B6" s="883"/>
      <c r="C6" s="883"/>
      <c r="D6" s="883"/>
      <c r="E6" s="884"/>
      <c r="F6" s="504"/>
      <c r="G6" s="882" t="s">
        <v>21</v>
      </c>
      <c r="H6" s="884"/>
      <c r="I6" s="885" t="s">
        <v>151</v>
      </c>
      <c r="J6" s="886"/>
      <c r="K6" s="886"/>
      <c r="L6" s="886"/>
      <c r="M6" s="886"/>
      <c r="N6" s="886"/>
      <c r="O6" s="886"/>
      <c r="P6" s="886"/>
      <c r="Q6" s="886"/>
      <c r="R6" s="887"/>
      <c r="S6" s="866" t="s">
        <v>60</v>
      </c>
      <c r="T6" s="867"/>
      <c r="U6" s="867"/>
      <c r="V6" s="868"/>
      <c r="W6" s="872" t="s">
        <v>6</v>
      </c>
      <c r="X6" s="873"/>
      <c r="Y6" s="873"/>
      <c r="Z6" s="874"/>
      <c r="AA6" s="888" t="s">
        <v>179</v>
      </c>
      <c r="AB6" s="888"/>
      <c r="AC6" s="888" t="s">
        <v>180</v>
      </c>
      <c r="AD6" s="888"/>
      <c r="AE6" s="888" t="s">
        <v>181</v>
      </c>
      <c r="AF6" s="888"/>
      <c r="AG6" s="888" t="s">
        <v>182</v>
      </c>
      <c r="AH6" s="888"/>
      <c r="AI6" s="888" t="s">
        <v>183</v>
      </c>
      <c r="AJ6" s="888"/>
      <c r="AK6" s="888" t="s">
        <v>184</v>
      </c>
      <c r="AL6" s="888"/>
      <c r="AM6" s="888" t="s">
        <v>185</v>
      </c>
      <c r="AN6" s="888"/>
      <c r="AO6" s="888" t="s">
        <v>186</v>
      </c>
      <c r="AP6" s="888"/>
      <c r="AQ6" s="888" t="s">
        <v>187</v>
      </c>
      <c r="AR6" s="888"/>
      <c r="AS6" s="888" t="s">
        <v>188</v>
      </c>
      <c r="AT6" s="888"/>
      <c r="AU6" s="888" t="s">
        <v>189</v>
      </c>
      <c r="AV6" s="888"/>
      <c r="AW6" s="888" t="s">
        <v>190</v>
      </c>
      <c r="AX6" s="888"/>
      <c r="AY6" s="888" t="s">
        <v>191</v>
      </c>
      <c r="AZ6" s="888"/>
      <c r="BA6" s="888" t="s">
        <v>192</v>
      </c>
      <c r="BB6" s="888"/>
      <c r="BC6" s="888" t="s">
        <v>193</v>
      </c>
      <c r="BD6" s="888"/>
      <c r="BE6" s="888" t="s">
        <v>194</v>
      </c>
      <c r="BF6" s="888"/>
      <c r="BG6" s="888" t="s">
        <v>195</v>
      </c>
      <c r="BH6" s="888"/>
      <c r="BI6" s="888" t="s">
        <v>196</v>
      </c>
      <c r="BJ6" s="888"/>
      <c r="BK6" s="888" t="s">
        <v>17</v>
      </c>
      <c r="BL6" s="888"/>
      <c r="BM6" s="505"/>
    </row>
    <row r="7" spans="1:75" x14ac:dyDescent="0.25">
      <c r="A7" s="878" t="s">
        <v>13</v>
      </c>
      <c r="B7" s="880" t="s">
        <v>56</v>
      </c>
      <c r="C7" s="506"/>
      <c r="D7" s="878" t="s">
        <v>12</v>
      </c>
      <c r="E7" s="878" t="s">
        <v>14</v>
      </c>
      <c r="F7" s="880" t="s">
        <v>35</v>
      </c>
      <c r="G7" s="880" t="s">
        <v>23</v>
      </c>
      <c r="H7" s="891" t="s">
        <v>207</v>
      </c>
      <c r="I7" s="499" t="s">
        <v>199</v>
      </c>
      <c r="J7" s="499" t="s">
        <v>200</v>
      </c>
      <c r="K7" s="499" t="s">
        <v>201</v>
      </c>
      <c r="L7" s="499" t="s">
        <v>202</v>
      </c>
      <c r="M7" s="499" t="s">
        <v>203</v>
      </c>
      <c r="N7" s="499" t="s">
        <v>204</v>
      </c>
      <c r="O7" s="498" t="s">
        <v>889</v>
      </c>
      <c r="P7" s="499" t="s">
        <v>205</v>
      </c>
      <c r="Q7" s="499" t="s">
        <v>206</v>
      </c>
      <c r="R7" s="499" t="s">
        <v>740</v>
      </c>
      <c r="S7" s="869"/>
      <c r="T7" s="870"/>
      <c r="U7" s="870"/>
      <c r="V7" s="871"/>
      <c r="W7" s="875"/>
      <c r="X7" s="876"/>
      <c r="Y7" s="876"/>
      <c r="Z7" s="877"/>
      <c r="AA7" s="888"/>
      <c r="AB7" s="888"/>
      <c r="AC7" s="888" t="s">
        <v>43</v>
      </c>
      <c r="AD7" s="888"/>
      <c r="AE7" s="888" t="s">
        <v>44</v>
      </c>
      <c r="AF7" s="888"/>
      <c r="AG7" s="888" t="s">
        <v>45</v>
      </c>
      <c r="AH7" s="888"/>
      <c r="AI7" s="888" t="s">
        <v>46</v>
      </c>
      <c r="AJ7" s="888"/>
      <c r="AK7" s="888" t="s">
        <v>47</v>
      </c>
      <c r="AL7" s="888"/>
      <c r="AM7" s="888" t="s">
        <v>48</v>
      </c>
      <c r="AN7" s="888"/>
      <c r="AO7" s="888" t="s">
        <v>49</v>
      </c>
      <c r="AP7" s="888"/>
      <c r="AQ7" s="888" t="s">
        <v>50</v>
      </c>
      <c r="AR7" s="888"/>
      <c r="AS7" s="888" t="s">
        <v>51</v>
      </c>
      <c r="AT7" s="888"/>
      <c r="AU7" s="888" t="s">
        <v>52</v>
      </c>
      <c r="AV7" s="888"/>
      <c r="AW7" s="888" t="s">
        <v>53</v>
      </c>
      <c r="AX7" s="888"/>
      <c r="AY7" s="888" t="s">
        <v>54</v>
      </c>
      <c r="AZ7" s="888"/>
      <c r="BA7" s="888" t="s">
        <v>55</v>
      </c>
      <c r="BB7" s="888"/>
      <c r="BC7" s="888" t="s">
        <v>40</v>
      </c>
      <c r="BD7" s="888"/>
      <c r="BE7" s="888" t="s">
        <v>37</v>
      </c>
      <c r="BF7" s="888"/>
      <c r="BG7" s="888"/>
      <c r="BH7" s="888"/>
      <c r="BI7" s="888"/>
      <c r="BJ7" s="888"/>
      <c r="BK7" s="888"/>
      <c r="BL7" s="888"/>
      <c r="BM7" s="507"/>
      <c r="BO7" s="889" t="s">
        <v>227</v>
      </c>
      <c r="BP7" s="889"/>
      <c r="BQ7" s="889"/>
      <c r="BR7" s="889"/>
      <c r="BS7" s="889"/>
      <c r="BT7" s="889" t="s">
        <v>228</v>
      </c>
      <c r="BU7" s="889"/>
      <c r="BV7" s="889"/>
      <c r="BW7" s="890" t="s">
        <v>17</v>
      </c>
    </row>
    <row r="8" spans="1:75" ht="38.25" x14ac:dyDescent="0.25">
      <c r="A8" s="879"/>
      <c r="B8" s="881"/>
      <c r="C8" s="508" t="s">
        <v>20</v>
      </c>
      <c r="D8" s="879"/>
      <c r="E8" s="879"/>
      <c r="F8" s="881"/>
      <c r="G8" s="881"/>
      <c r="H8" s="892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10" t="s">
        <v>7</v>
      </c>
      <c r="T8" s="510" t="s">
        <v>8</v>
      </c>
      <c r="U8" s="510" t="s">
        <v>9</v>
      </c>
      <c r="V8" s="510" t="s">
        <v>10</v>
      </c>
      <c r="W8" s="510" t="s">
        <v>7</v>
      </c>
      <c r="X8" s="510" t="s">
        <v>8</v>
      </c>
      <c r="Y8" s="510" t="s">
        <v>9</v>
      </c>
      <c r="Z8" s="510" t="s">
        <v>10</v>
      </c>
      <c r="AA8" s="511" t="s">
        <v>14</v>
      </c>
      <c r="AB8" s="512" t="s">
        <v>15</v>
      </c>
      <c r="AC8" s="511" t="s">
        <v>14</v>
      </c>
      <c r="AD8" s="511" t="s">
        <v>15</v>
      </c>
      <c r="AE8" s="511" t="s">
        <v>14</v>
      </c>
      <c r="AF8" s="511" t="s">
        <v>15</v>
      </c>
      <c r="AG8" s="511" t="s">
        <v>14</v>
      </c>
      <c r="AH8" s="511" t="s">
        <v>15</v>
      </c>
      <c r="AI8" s="511" t="s">
        <v>14</v>
      </c>
      <c r="AJ8" s="511" t="s">
        <v>15</v>
      </c>
      <c r="AK8" s="511" t="s">
        <v>14</v>
      </c>
      <c r="AL8" s="511" t="s">
        <v>15</v>
      </c>
      <c r="AM8" s="511" t="s">
        <v>14</v>
      </c>
      <c r="AN8" s="511" t="s">
        <v>15</v>
      </c>
      <c r="AO8" s="511" t="s">
        <v>14</v>
      </c>
      <c r="AP8" s="511" t="s">
        <v>15</v>
      </c>
      <c r="AQ8" s="511" t="s">
        <v>14</v>
      </c>
      <c r="AR8" s="511" t="s">
        <v>15</v>
      </c>
      <c r="AS8" s="511" t="s">
        <v>14</v>
      </c>
      <c r="AT8" s="511" t="s">
        <v>15</v>
      </c>
      <c r="AU8" s="511" t="s">
        <v>14</v>
      </c>
      <c r="AV8" s="511" t="s">
        <v>15</v>
      </c>
      <c r="AW8" s="511" t="s">
        <v>14</v>
      </c>
      <c r="AX8" s="511" t="s">
        <v>15</v>
      </c>
      <c r="AY8" s="513" t="s">
        <v>14</v>
      </c>
      <c r="AZ8" s="511" t="s">
        <v>15</v>
      </c>
      <c r="BA8" s="513" t="s">
        <v>14</v>
      </c>
      <c r="BB8" s="511" t="s">
        <v>15</v>
      </c>
      <c r="BC8" s="511" t="s">
        <v>14</v>
      </c>
      <c r="BD8" s="511" t="s">
        <v>15</v>
      </c>
      <c r="BE8" s="511" t="s">
        <v>14</v>
      </c>
      <c r="BF8" s="511" t="s">
        <v>15</v>
      </c>
      <c r="BG8" s="511" t="s">
        <v>14</v>
      </c>
      <c r="BH8" s="511" t="s">
        <v>15</v>
      </c>
      <c r="BI8" s="511" t="s">
        <v>14</v>
      </c>
      <c r="BJ8" s="511" t="s">
        <v>15</v>
      </c>
      <c r="BK8" s="511" t="s">
        <v>14</v>
      </c>
      <c r="BL8" s="511" t="s">
        <v>15</v>
      </c>
      <c r="BM8" s="507"/>
      <c r="BO8" s="511" t="s">
        <v>218</v>
      </c>
      <c r="BP8" s="514" t="s">
        <v>219</v>
      </c>
      <c r="BQ8" s="514" t="s">
        <v>220</v>
      </c>
      <c r="BR8" s="515" t="s">
        <v>221</v>
      </c>
      <c r="BS8" s="514" t="s">
        <v>222</v>
      </c>
      <c r="BT8" s="514" t="s">
        <v>223</v>
      </c>
      <c r="BU8" s="514" t="s">
        <v>224</v>
      </c>
      <c r="BV8" s="514" t="s">
        <v>225</v>
      </c>
      <c r="BW8" s="890"/>
    </row>
    <row r="9" spans="1:75" ht="35.25" customHeight="1" x14ac:dyDescent="0.25">
      <c r="A9" s="516" t="s">
        <v>89</v>
      </c>
      <c r="B9" s="517">
        <v>23000</v>
      </c>
      <c r="C9" s="517"/>
      <c r="D9" s="518" t="s">
        <v>314</v>
      </c>
      <c r="E9" s="519"/>
      <c r="F9" s="519"/>
      <c r="G9" s="520"/>
      <c r="H9" s="521"/>
      <c r="I9" s="521"/>
      <c r="J9" s="521"/>
      <c r="K9" s="521"/>
      <c r="L9" s="521"/>
      <c r="M9" s="521"/>
      <c r="N9" s="521"/>
      <c r="O9" s="521"/>
      <c r="P9" s="513"/>
      <c r="Q9" s="513"/>
      <c r="R9" s="513"/>
      <c r="S9" s="510"/>
      <c r="T9" s="510"/>
      <c r="U9" s="510"/>
      <c r="V9" s="510"/>
      <c r="W9" s="510"/>
      <c r="X9" s="510"/>
      <c r="Y9" s="510"/>
      <c r="Z9" s="510"/>
      <c r="AA9" s="511"/>
      <c r="AB9" s="512"/>
      <c r="AC9" s="511"/>
      <c r="AD9" s="512"/>
      <c r="AE9" s="511"/>
      <c r="AF9" s="512"/>
      <c r="AG9" s="511"/>
      <c r="AH9" s="512"/>
      <c r="AI9" s="511"/>
      <c r="AJ9" s="512"/>
      <c r="AK9" s="511"/>
      <c r="AL9" s="512"/>
      <c r="AM9" s="511"/>
      <c r="AN9" s="512"/>
      <c r="AO9" s="511"/>
      <c r="AP9" s="512"/>
      <c r="AQ9" s="511"/>
      <c r="AR9" s="512"/>
      <c r="AS9" s="511"/>
      <c r="AT9" s="512"/>
      <c r="AU9" s="511"/>
      <c r="AV9" s="512"/>
      <c r="AW9" s="511"/>
      <c r="AX9" s="512"/>
      <c r="AY9" s="513"/>
      <c r="AZ9" s="512"/>
      <c r="BA9" s="513"/>
      <c r="BB9" s="512"/>
      <c r="BC9" s="511"/>
      <c r="BD9" s="512"/>
      <c r="BE9" s="511"/>
      <c r="BF9" s="512"/>
      <c r="BG9" s="511"/>
      <c r="BH9" s="512"/>
      <c r="BI9" s="511"/>
      <c r="BJ9" s="512"/>
      <c r="BK9" s="511"/>
      <c r="BL9" s="512"/>
      <c r="BM9" s="519"/>
      <c r="BO9" s="520"/>
      <c r="BP9" s="520"/>
      <c r="BQ9" s="520"/>
      <c r="BR9" s="520"/>
      <c r="BS9" s="520"/>
      <c r="BT9" s="520"/>
      <c r="BU9" s="520"/>
      <c r="BV9" s="520"/>
      <c r="BW9" s="520"/>
    </row>
    <row r="10" spans="1:75" ht="26.25" customHeight="1" x14ac:dyDescent="0.25">
      <c r="A10" s="522"/>
      <c r="B10" s="505">
        <v>23100</v>
      </c>
      <c r="C10" s="505"/>
      <c r="D10" s="518" t="s">
        <v>650</v>
      </c>
      <c r="E10" s="519"/>
      <c r="F10" s="519"/>
      <c r="G10" s="520"/>
      <c r="H10" s="521"/>
      <c r="I10" s="521"/>
      <c r="J10" s="521"/>
      <c r="K10" s="521"/>
      <c r="L10" s="521"/>
      <c r="M10" s="521"/>
      <c r="N10" s="521"/>
      <c r="O10" s="521"/>
      <c r="P10" s="513"/>
      <c r="Q10" s="513"/>
      <c r="R10" s="513"/>
      <c r="S10" s="523"/>
      <c r="T10" s="523"/>
      <c r="U10" s="523"/>
      <c r="V10" s="523"/>
      <c r="W10" s="523"/>
      <c r="X10" s="523"/>
      <c r="Y10" s="523"/>
      <c r="Z10" s="523"/>
      <c r="AA10" s="511"/>
      <c r="AB10" s="512"/>
      <c r="AC10" s="511"/>
      <c r="AD10" s="512"/>
      <c r="AE10" s="511"/>
      <c r="AF10" s="512"/>
      <c r="AG10" s="511"/>
      <c r="AH10" s="512"/>
      <c r="AI10" s="511"/>
      <c r="AJ10" s="512"/>
      <c r="AK10" s="511"/>
      <c r="AL10" s="512"/>
      <c r="AM10" s="511"/>
      <c r="AN10" s="512"/>
      <c r="AO10" s="511"/>
      <c r="AP10" s="512"/>
      <c r="AQ10" s="511"/>
      <c r="AR10" s="512"/>
      <c r="AS10" s="511"/>
      <c r="AT10" s="512"/>
      <c r="AU10" s="511"/>
      <c r="AV10" s="512"/>
      <c r="AW10" s="511"/>
      <c r="AX10" s="512"/>
      <c r="AY10" s="513"/>
      <c r="AZ10" s="512"/>
      <c r="BA10" s="513"/>
      <c r="BB10" s="512"/>
      <c r="BC10" s="511"/>
      <c r="BD10" s="512"/>
      <c r="BE10" s="511"/>
      <c r="BF10" s="512"/>
      <c r="BG10" s="511"/>
      <c r="BH10" s="512"/>
      <c r="BI10" s="511"/>
      <c r="BJ10" s="512"/>
      <c r="BK10" s="511"/>
      <c r="BL10" s="512"/>
      <c r="BM10" s="519"/>
      <c r="BO10" s="264"/>
      <c r="BP10" s="264"/>
      <c r="BQ10" s="264"/>
      <c r="BR10" s="264"/>
      <c r="BS10" s="264"/>
      <c r="BT10" s="264"/>
      <c r="BU10" s="264"/>
      <c r="BV10" s="264"/>
      <c r="BW10" s="280">
        <f>BS10+BV10</f>
        <v>0</v>
      </c>
    </row>
    <row r="11" spans="1:75" s="532" customFormat="1" ht="27" customHeight="1" x14ac:dyDescent="0.25">
      <c r="A11" s="522" t="s">
        <v>1141</v>
      </c>
      <c r="B11" s="524"/>
      <c r="C11" s="269" t="s">
        <v>824</v>
      </c>
      <c r="D11" s="525" t="s">
        <v>955</v>
      </c>
      <c r="E11" s="519" t="s">
        <v>16</v>
      </c>
      <c r="F11" s="526">
        <v>30000</v>
      </c>
      <c r="G11" s="527">
        <f>BK11</f>
        <v>0</v>
      </c>
      <c r="H11" s="528">
        <f>F11*G11</f>
        <v>0</v>
      </c>
      <c r="I11" s="528">
        <f>H11*0.2</f>
        <v>0</v>
      </c>
      <c r="J11" s="528">
        <f>H11*0.8</f>
        <v>0</v>
      </c>
      <c r="K11" s="528"/>
      <c r="L11" s="528"/>
      <c r="M11" s="528"/>
      <c r="N11" s="528"/>
      <c r="O11" s="528"/>
      <c r="P11" s="529"/>
      <c r="Q11" s="529"/>
      <c r="R11" s="529"/>
      <c r="S11" s="269">
        <f>G11*0.25</f>
        <v>0</v>
      </c>
      <c r="T11" s="530">
        <f>G11*0.25</f>
        <v>0</v>
      </c>
      <c r="U11" s="269">
        <f>G11*0.25</f>
        <v>0</v>
      </c>
      <c r="V11" s="269">
        <f>G11*0.25</f>
        <v>0</v>
      </c>
      <c r="W11" s="531">
        <f>S11*F11</f>
        <v>0</v>
      </c>
      <c r="X11" s="531">
        <f>T11*F11</f>
        <v>0</v>
      </c>
      <c r="Y11" s="531">
        <f>U11*F11</f>
        <v>0</v>
      </c>
      <c r="Z11" s="531">
        <f>V11*F11</f>
        <v>0</v>
      </c>
      <c r="AA11" s="269">
        <v>0</v>
      </c>
      <c r="AB11" s="529">
        <f t="shared" ref="AB11:AB50" si="1">AA11*F11</f>
        <v>0</v>
      </c>
      <c r="AC11" s="269">
        <v>0</v>
      </c>
      <c r="AD11" s="529">
        <f t="shared" ref="AD11:AD60" si="2">AC11*F11</f>
        <v>0</v>
      </c>
      <c r="AE11" s="269">
        <v>0</v>
      </c>
      <c r="AF11" s="529">
        <f t="shared" ref="AF11:AF60" si="3">AE11*F11</f>
        <v>0</v>
      </c>
      <c r="AG11" s="269">
        <v>0</v>
      </c>
      <c r="AH11" s="529">
        <f t="shared" ref="AH11:AH70" si="4">AG11*F11</f>
        <v>0</v>
      </c>
      <c r="AI11" s="269">
        <v>0</v>
      </c>
      <c r="AJ11" s="529">
        <f t="shared" ref="AJ11:AJ60" si="5">AI11*F11</f>
        <v>0</v>
      </c>
      <c r="AK11" s="269">
        <v>0</v>
      </c>
      <c r="AL11" s="529">
        <f t="shared" ref="AL11:AL60" si="6">AK11*F11</f>
        <v>0</v>
      </c>
      <c r="AM11" s="269">
        <v>0</v>
      </c>
      <c r="AN11" s="529">
        <f>AM11*F11</f>
        <v>0</v>
      </c>
      <c r="AO11" s="269">
        <v>0</v>
      </c>
      <c r="AP11" s="529">
        <f t="shared" ref="AP11:AP70" si="7">AO11*F11</f>
        <v>0</v>
      </c>
      <c r="AQ11" s="269">
        <v>0</v>
      </c>
      <c r="AR11" s="529">
        <f>AQ11*F11</f>
        <v>0</v>
      </c>
      <c r="AS11" s="269">
        <v>0</v>
      </c>
      <c r="AT11" s="529">
        <f>AS11*F11</f>
        <v>0</v>
      </c>
      <c r="AU11" s="269">
        <v>0</v>
      </c>
      <c r="AV11" s="529">
        <f t="shared" ref="AV11:AV60" si="8">AU11*F11</f>
        <v>0</v>
      </c>
      <c r="AW11" s="269">
        <v>0</v>
      </c>
      <c r="AX11" s="529">
        <f t="shared" ref="AX11:AX60" si="9">AW11*F11</f>
        <v>0</v>
      </c>
      <c r="AY11" s="273">
        <v>0</v>
      </c>
      <c r="AZ11" s="529">
        <f t="shared" ref="AZ11:AZ61" si="10">AY11*F11</f>
        <v>0</v>
      </c>
      <c r="BA11" s="273">
        <v>0</v>
      </c>
      <c r="BB11" s="529">
        <f>BA11*F11</f>
        <v>0</v>
      </c>
      <c r="BC11" s="269">
        <v>0</v>
      </c>
      <c r="BD11" s="529">
        <f t="shared" ref="BD11:BD63" si="11">BC11*F11</f>
        <v>0</v>
      </c>
      <c r="BE11" s="269">
        <v>0</v>
      </c>
      <c r="BF11" s="529">
        <f t="shared" ref="BF11:BF63" si="12">BE11*F11</f>
        <v>0</v>
      </c>
      <c r="BG11" s="269">
        <v>0</v>
      </c>
      <c r="BH11" s="529">
        <f t="shared" ref="BH11:BH60" si="13">BG11*F11</f>
        <v>0</v>
      </c>
      <c r="BI11" s="269"/>
      <c r="BJ11" s="529">
        <f t="shared" ref="BJ11:BJ48" si="14">BI11*F11</f>
        <v>0</v>
      </c>
      <c r="BK11" s="527">
        <f t="shared" ref="BK11:BL13" si="15">BI11+BG11+BE11+BC11+BA11+AY11+AW11+AU11+AS11+AQ11+AO11+AM11+AK11+AI11+AG11+AE11+AC11+AA11</f>
        <v>0</v>
      </c>
      <c r="BL11" s="527">
        <f t="shared" si="15"/>
        <v>0</v>
      </c>
      <c r="BM11" s="519" t="s">
        <v>209</v>
      </c>
      <c r="BO11" s="533"/>
      <c r="BP11" s="533">
        <f>H11</f>
        <v>0</v>
      </c>
      <c r="BQ11" s="533"/>
      <c r="BR11" s="533"/>
      <c r="BS11" s="533">
        <f>BO11+BP11+BQ11+BR11</f>
        <v>0</v>
      </c>
      <c r="BT11" s="533"/>
      <c r="BU11" s="533"/>
      <c r="BV11" s="533">
        <f>BT11+BU11</f>
        <v>0</v>
      </c>
      <c r="BW11" s="527">
        <f t="shared" ref="BW11:BW70" si="16">BS11+BV11</f>
        <v>0</v>
      </c>
    </row>
    <row r="12" spans="1:75" s="532" customFormat="1" ht="31.5" customHeight="1" x14ac:dyDescent="0.25">
      <c r="A12" s="522"/>
      <c r="B12" s="524"/>
      <c r="C12" s="269" t="s">
        <v>825</v>
      </c>
      <c r="D12" s="525" t="s">
        <v>939</v>
      </c>
      <c r="E12" s="519" t="s">
        <v>938</v>
      </c>
      <c r="F12" s="526">
        <v>150</v>
      </c>
      <c r="G12" s="527">
        <f>BK12</f>
        <v>0</v>
      </c>
      <c r="H12" s="527">
        <f>BL12</f>
        <v>0</v>
      </c>
      <c r="I12" s="528">
        <f>H12*0.2</f>
        <v>0</v>
      </c>
      <c r="J12" s="528">
        <f>H12*0.8</f>
        <v>0</v>
      </c>
      <c r="K12" s="528"/>
      <c r="L12" s="528"/>
      <c r="M12" s="528"/>
      <c r="N12" s="528"/>
      <c r="O12" s="528"/>
      <c r="P12" s="529"/>
      <c r="Q12" s="529"/>
      <c r="R12" s="529"/>
      <c r="S12" s="523">
        <f>G12*0.25</f>
        <v>0</v>
      </c>
      <c r="T12" s="534">
        <f>G12*0.25</f>
        <v>0</v>
      </c>
      <c r="U12" s="535">
        <f>G12*0.25</f>
        <v>0</v>
      </c>
      <c r="V12" s="523">
        <f>G12*0.25</f>
        <v>0</v>
      </c>
      <c r="W12" s="535">
        <f>H12*0.25</f>
        <v>0</v>
      </c>
      <c r="X12" s="535">
        <f>H12*0.25</f>
        <v>0</v>
      </c>
      <c r="Y12" s="535">
        <f>H12*0.25</f>
        <v>0</v>
      </c>
      <c r="Z12" s="535">
        <f>H12*0.25</f>
        <v>0</v>
      </c>
      <c r="AA12" s="269">
        <v>0</v>
      </c>
      <c r="AB12" s="529">
        <f t="shared" si="1"/>
        <v>0</v>
      </c>
      <c r="AC12" s="269">
        <v>0</v>
      </c>
      <c r="AD12" s="529">
        <f t="shared" si="2"/>
        <v>0</v>
      </c>
      <c r="AE12" s="269">
        <v>0</v>
      </c>
      <c r="AF12" s="529">
        <f t="shared" si="3"/>
        <v>0</v>
      </c>
      <c r="AG12" s="269">
        <v>0</v>
      </c>
      <c r="AH12" s="529">
        <f t="shared" si="4"/>
        <v>0</v>
      </c>
      <c r="AI12" s="269">
        <v>0</v>
      </c>
      <c r="AJ12" s="529">
        <f t="shared" si="5"/>
        <v>0</v>
      </c>
      <c r="AK12" s="269">
        <v>0</v>
      </c>
      <c r="AL12" s="529">
        <f t="shared" si="6"/>
        <v>0</v>
      </c>
      <c r="AM12" s="269">
        <v>0</v>
      </c>
      <c r="AN12" s="529">
        <f>AM12*F12</f>
        <v>0</v>
      </c>
      <c r="AO12" s="269">
        <v>0</v>
      </c>
      <c r="AP12" s="529">
        <f t="shared" si="7"/>
        <v>0</v>
      </c>
      <c r="AQ12" s="269">
        <v>0</v>
      </c>
      <c r="AR12" s="529">
        <f>AQ12*F12</f>
        <v>0</v>
      </c>
      <c r="AS12" s="269">
        <v>0</v>
      </c>
      <c r="AT12" s="529">
        <f>AS12*F12</f>
        <v>0</v>
      </c>
      <c r="AU12" s="269">
        <v>0</v>
      </c>
      <c r="AV12" s="529">
        <f t="shared" si="8"/>
        <v>0</v>
      </c>
      <c r="AW12" s="269">
        <v>0</v>
      </c>
      <c r="AX12" s="529">
        <f t="shared" si="9"/>
        <v>0</v>
      </c>
      <c r="AY12" s="273">
        <v>0</v>
      </c>
      <c r="AZ12" s="529">
        <f t="shared" si="10"/>
        <v>0</v>
      </c>
      <c r="BA12" s="273">
        <v>0</v>
      </c>
      <c r="BB12" s="529">
        <f>BA12*F12</f>
        <v>0</v>
      </c>
      <c r="BC12" s="269">
        <v>0</v>
      </c>
      <c r="BD12" s="529">
        <f t="shared" si="11"/>
        <v>0</v>
      </c>
      <c r="BE12" s="269">
        <v>0</v>
      </c>
      <c r="BF12" s="529">
        <f t="shared" si="12"/>
        <v>0</v>
      </c>
      <c r="BG12" s="269">
        <v>0</v>
      </c>
      <c r="BH12" s="529">
        <f t="shared" si="13"/>
        <v>0</v>
      </c>
      <c r="BI12" s="269"/>
      <c r="BJ12" s="529"/>
      <c r="BK12" s="527">
        <f t="shared" si="15"/>
        <v>0</v>
      </c>
      <c r="BL12" s="527">
        <f t="shared" si="15"/>
        <v>0</v>
      </c>
      <c r="BM12" s="519" t="s">
        <v>209</v>
      </c>
      <c r="BO12" s="533"/>
      <c r="BP12" s="533">
        <f>H12</f>
        <v>0</v>
      </c>
      <c r="BQ12" s="533"/>
      <c r="BR12" s="533"/>
      <c r="BS12" s="533">
        <f>BO12+BP12+BQ12+BR12</f>
        <v>0</v>
      </c>
      <c r="BT12" s="533"/>
      <c r="BU12" s="533"/>
      <c r="BV12" s="533"/>
      <c r="BW12" s="527">
        <f t="shared" si="16"/>
        <v>0</v>
      </c>
    </row>
    <row r="13" spans="1:75" ht="31.5" customHeight="1" x14ac:dyDescent="0.25">
      <c r="A13" s="522"/>
      <c r="B13" s="517"/>
      <c r="C13" s="269" t="s">
        <v>826</v>
      </c>
      <c r="D13" s="536" t="s">
        <v>963</v>
      </c>
      <c r="E13" s="519" t="s">
        <v>81</v>
      </c>
      <c r="F13" s="526">
        <v>1500</v>
      </c>
      <c r="G13" s="527">
        <f>BK13</f>
        <v>0</v>
      </c>
      <c r="H13" s="528">
        <f>BL13</f>
        <v>0</v>
      </c>
      <c r="I13" s="537">
        <f>H13*0.2</f>
        <v>0</v>
      </c>
      <c r="J13" s="537">
        <f>H13*0.8</f>
        <v>0</v>
      </c>
      <c r="K13" s="537"/>
      <c r="L13" s="537"/>
      <c r="M13" s="537"/>
      <c r="N13" s="537"/>
      <c r="O13" s="537"/>
      <c r="P13" s="538"/>
      <c r="Q13" s="538"/>
      <c r="R13" s="538"/>
      <c r="S13" s="523">
        <f>G13*0.25</f>
        <v>0</v>
      </c>
      <c r="T13" s="534">
        <f>G13*0.25</f>
        <v>0</v>
      </c>
      <c r="U13" s="535">
        <f>G13*0.25</f>
        <v>0</v>
      </c>
      <c r="V13" s="523">
        <f>G13*0.25</f>
        <v>0</v>
      </c>
      <c r="W13" s="535">
        <f>H13*0.25</f>
        <v>0</v>
      </c>
      <c r="X13" s="535">
        <f>H13*0.25</f>
        <v>0</v>
      </c>
      <c r="Y13" s="535">
        <f>H13*0.25</f>
        <v>0</v>
      </c>
      <c r="Z13" s="535">
        <f>H13*0.25</f>
        <v>0</v>
      </c>
      <c r="AA13" s="520">
        <v>0</v>
      </c>
      <c r="AB13" s="539">
        <f t="shared" si="1"/>
        <v>0</v>
      </c>
      <c r="AC13" s="520">
        <v>0</v>
      </c>
      <c r="AD13" s="539">
        <f t="shared" si="2"/>
        <v>0</v>
      </c>
      <c r="AE13" s="520">
        <v>0</v>
      </c>
      <c r="AF13" s="539">
        <f t="shared" si="3"/>
        <v>0</v>
      </c>
      <c r="AG13" s="520">
        <v>0</v>
      </c>
      <c r="AH13" s="539">
        <f t="shared" si="4"/>
        <v>0</v>
      </c>
      <c r="AI13" s="520">
        <v>0</v>
      </c>
      <c r="AJ13" s="539">
        <f t="shared" si="5"/>
        <v>0</v>
      </c>
      <c r="AK13" s="520">
        <v>0</v>
      </c>
      <c r="AL13" s="539">
        <f t="shared" si="6"/>
        <v>0</v>
      </c>
      <c r="AM13" s="520">
        <v>0</v>
      </c>
      <c r="AN13" s="539">
        <f>AM13*F13</f>
        <v>0</v>
      </c>
      <c r="AO13" s="520">
        <v>0</v>
      </c>
      <c r="AP13" s="539">
        <f t="shared" si="7"/>
        <v>0</v>
      </c>
      <c r="AQ13" s="520">
        <v>0</v>
      </c>
      <c r="AR13" s="529">
        <v>0</v>
      </c>
      <c r="AS13" s="520">
        <v>0</v>
      </c>
      <c r="AT13" s="539">
        <v>0</v>
      </c>
      <c r="AU13" s="520">
        <v>0</v>
      </c>
      <c r="AV13" s="539">
        <f t="shared" si="8"/>
        <v>0</v>
      </c>
      <c r="AW13" s="520">
        <v>0</v>
      </c>
      <c r="AX13" s="539">
        <f t="shared" si="9"/>
        <v>0</v>
      </c>
      <c r="AY13" s="273">
        <v>0</v>
      </c>
      <c r="AZ13" s="539">
        <f t="shared" si="10"/>
        <v>0</v>
      </c>
      <c r="BA13" s="273">
        <v>0</v>
      </c>
      <c r="BB13" s="529">
        <f>BA13*F13</f>
        <v>0</v>
      </c>
      <c r="BC13" s="520">
        <v>0</v>
      </c>
      <c r="BD13" s="539">
        <f t="shared" si="11"/>
        <v>0</v>
      </c>
      <c r="BE13" s="520">
        <v>0</v>
      </c>
      <c r="BF13" s="539">
        <f t="shared" si="12"/>
        <v>0</v>
      </c>
      <c r="BG13" s="520">
        <v>0</v>
      </c>
      <c r="BH13" s="539">
        <f t="shared" si="13"/>
        <v>0</v>
      </c>
      <c r="BI13" s="520">
        <v>0</v>
      </c>
      <c r="BJ13" s="539">
        <f t="shared" si="14"/>
        <v>0</v>
      </c>
      <c r="BK13" s="280">
        <f t="shared" si="15"/>
        <v>0</v>
      </c>
      <c r="BL13" s="280">
        <f t="shared" si="15"/>
        <v>0</v>
      </c>
      <c r="BM13" s="519" t="s">
        <v>209</v>
      </c>
      <c r="BO13" s="264"/>
      <c r="BP13" s="264">
        <f>H13</f>
        <v>0</v>
      </c>
      <c r="BQ13" s="264"/>
      <c r="BR13" s="264"/>
      <c r="BS13" s="264">
        <f>BO13+BP13+BQ13+BR13</f>
        <v>0</v>
      </c>
      <c r="BT13" s="264"/>
      <c r="BU13" s="264"/>
      <c r="BV13" s="264">
        <f>BT13+BU13</f>
        <v>0</v>
      </c>
      <c r="BW13" s="280">
        <f t="shared" si="16"/>
        <v>0</v>
      </c>
    </row>
    <row r="14" spans="1:75" s="499" customFormat="1" x14ac:dyDescent="0.25">
      <c r="A14" s="522"/>
      <c r="B14" s="513"/>
      <c r="C14" s="513"/>
      <c r="D14" s="518" t="s">
        <v>406</v>
      </c>
      <c r="E14" s="519" t="s">
        <v>111</v>
      </c>
      <c r="F14" s="526"/>
      <c r="G14" s="511">
        <f t="shared" ref="G14:AL14" si="17">SUM(G11:G13)</f>
        <v>0</v>
      </c>
      <c r="H14" s="511">
        <f t="shared" si="17"/>
        <v>0</v>
      </c>
      <c r="I14" s="511">
        <f t="shared" si="17"/>
        <v>0</v>
      </c>
      <c r="J14" s="511">
        <f t="shared" si="17"/>
        <v>0</v>
      </c>
      <c r="K14" s="511">
        <f t="shared" si="17"/>
        <v>0</v>
      </c>
      <c r="L14" s="511">
        <f t="shared" si="17"/>
        <v>0</v>
      </c>
      <c r="M14" s="511">
        <f t="shared" si="17"/>
        <v>0</v>
      </c>
      <c r="N14" s="511">
        <f t="shared" si="17"/>
        <v>0</v>
      </c>
      <c r="O14" s="511">
        <f t="shared" si="17"/>
        <v>0</v>
      </c>
      <c r="P14" s="511">
        <f t="shared" si="17"/>
        <v>0</v>
      </c>
      <c r="Q14" s="511">
        <f t="shared" si="17"/>
        <v>0</v>
      </c>
      <c r="R14" s="511">
        <f t="shared" si="17"/>
        <v>0</v>
      </c>
      <c r="S14" s="511">
        <f t="shared" si="17"/>
        <v>0</v>
      </c>
      <c r="T14" s="511">
        <f t="shared" si="17"/>
        <v>0</v>
      </c>
      <c r="U14" s="511">
        <f t="shared" si="17"/>
        <v>0</v>
      </c>
      <c r="V14" s="511">
        <f t="shared" si="17"/>
        <v>0</v>
      </c>
      <c r="W14" s="511">
        <f t="shared" si="17"/>
        <v>0</v>
      </c>
      <c r="X14" s="511">
        <f t="shared" si="17"/>
        <v>0</v>
      </c>
      <c r="Y14" s="511">
        <f t="shared" si="17"/>
        <v>0</v>
      </c>
      <c r="Z14" s="511">
        <f t="shared" si="17"/>
        <v>0</v>
      </c>
      <c r="AA14" s="511">
        <f t="shared" si="17"/>
        <v>0</v>
      </c>
      <c r="AB14" s="511">
        <f t="shared" si="17"/>
        <v>0</v>
      </c>
      <c r="AC14" s="511">
        <f t="shared" si="17"/>
        <v>0</v>
      </c>
      <c r="AD14" s="511">
        <f t="shared" si="17"/>
        <v>0</v>
      </c>
      <c r="AE14" s="511">
        <f t="shared" si="17"/>
        <v>0</v>
      </c>
      <c r="AF14" s="511">
        <f t="shared" si="17"/>
        <v>0</v>
      </c>
      <c r="AG14" s="511">
        <f t="shared" si="17"/>
        <v>0</v>
      </c>
      <c r="AH14" s="511">
        <f t="shared" si="17"/>
        <v>0</v>
      </c>
      <c r="AI14" s="511">
        <f t="shared" si="17"/>
        <v>0</v>
      </c>
      <c r="AJ14" s="511">
        <f t="shared" si="17"/>
        <v>0</v>
      </c>
      <c r="AK14" s="511">
        <f t="shared" si="17"/>
        <v>0</v>
      </c>
      <c r="AL14" s="511">
        <f t="shared" si="17"/>
        <v>0</v>
      </c>
      <c r="AM14" s="511">
        <f t="shared" ref="AM14:AX14" si="18">SUM(AM11:AM13)</f>
        <v>0</v>
      </c>
      <c r="AN14" s="511">
        <f t="shared" si="18"/>
        <v>0</v>
      </c>
      <c r="AO14" s="511">
        <f t="shared" si="18"/>
        <v>0</v>
      </c>
      <c r="AP14" s="511">
        <f t="shared" si="18"/>
        <v>0</v>
      </c>
      <c r="AQ14" s="511">
        <f t="shared" si="18"/>
        <v>0</v>
      </c>
      <c r="AR14" s="511">
        <f t="shared" si="18"/>
        <v>0</v>
      </c>
      <c r="AS14" s="511">
        <f t="shared" si="18"/>
        <v>0</v>
      </c>
      <c r="AT14" s="511">
        <f t="shared" si="18"/>
        <v>0</v>
      </c>
      <c r="AU14" s="511">
        <f t="shared" si="18"/>
        <v>0</v>
      </c>
      <c r="AV14" s="511">
        <f t="shared" si="18"/>
        <v>0</v>
      </c>
      <c r="AW14" s="511">
        <f t="shared" si="18"/>
        <v>0</v>
      </c>
      <c r="AX14" s="511">
        <f t="shared" si="18"/>
        <v>0</v>
      </c>
      <c r="AY14" s="513">
        <f t="shared" ref="AY14:BR14" si="19">SUM(AY11:AY13)</f>
        <v>0</v>
      </c>
      <c r="AZ14" s="511">
        <f t="shared" si="19"/>
        <v>0</v>
      </c>
      <c r="BA14" s="513">
        <f t="shared" si="19"/>
        <v>0</v>
      </c>
      <c r="BB14" s="511">
        <f t="shared" si="19"/>
        <v>0</v>
      </c>
      <c r="BC14" s="511">
        <f t="shared" si="19"/>
        <v>0</v>
      </c>
      <c r="BD14" s="511">
        <f t="shared" si="19"/>
        <v>0</v>
      </c>
      <c r="BE14" s="511">
        <f t="shared" si="19"/>
        <v>0</v>
      </c>
      <c r="BF14" s="511">
        <f t="shared" si="19"/>
        <v>0</v>
      </c>
      <c r="BG14" s="511">
        <f t="shared" si="19"/>
        <v>0</v>
      </c>
      <c r="BH14" s="511">
        <f t="shared" si="19"/>
        <v>0</v>
      </c>
      <c r="BI14" s="511">
        <f t="shared" si="19"/>
        <v>0</v>
      </c>
      <c r="BJ14" s="511">
        <f t="shared" si="19"/>
        <v>0</v>
      </c>
      <c r="BK14" s="511">
        <f t="shared" si="19"/>
        <v>0</v>
      </c>
      <c r="BL14" s="511">
        <f t="shared" si="19"/>
        <v>0</v>
      </c>
      <c r="BM14" s="511">
        <f t="shared" si="19"/>
        <v>0</v>
      </c>
      <c r="BN14" s="511">
        <f t="shared" si="19"/>
        <v>0</v>
      </c>
      <c r="BO14" s="511">
        <f t="shared" si="19"/>
        <v>0</v>
      </c>
      <c r="BP14" s="511">
        <f t="shared" si="19"/>
        <v>0</v>
      </c>
      <c r="BQ14" s="511">
        <f t="shared" si="19"/>
        <v>0</v>
      </c>
      <c r="BR14" s="511">
        <f t="shared" si="19"/>
        <v>0</v>
      </c>
      <c r="BS14" s="511">
        <f>SUM(BS11:BS13)</f>
        <v>0</v>
      </c>
      <c r="BT14" s="511">
        <f>SUM(BT11:BT13)</f>
        <v>0</v>
      </c>
      <c r="BU14" s="511">
        <f>SUM(BU11:BU13)</f>
        <v>0</v>
      </c>
      <c r="BV14" s="511">
        <f>SUM(BV11:BV13)</f>
        <v>0</v>
      </c>
      <c r="BW14" s="511">
        <f>SUM(BW11:BW13)</f>
        <v>0</v>
      </c>
    </row>
    <row r="15" spans="1:75" x14ac:dyDescent="0.25">
      <c r="A15" s="522"/>
      <c r="B15" s="505">
        <v>23200</v>
      </c>
      <c r="C15" s="505"/>
      <c r="D15" s="518" t="s">
        <v>407</v>
      </c>
      <c r="E15" s="519"/>
      <c r="F15" s="519"/>
      <c r="G15" s="520"/>
      <c r="H15" s="521"/>
      <c r="I15" s="521"/>
      <c r="J15" s="521"/>
      <c r="K15" s="521"/>
      <c r="L15" s="521"/>
      <c r="M15" s="521"/>
      <c r="N15" s="521"/>
      <c r="O15" s="521"/>
      <c r="P15" s="513"/>
      <c r="Q15" s="513"/>
      <c r="R15" s="513"/>
      <c r="S15" s="510"/>
      <c r="T15" s="510"/>
      <c r="U15" s="510"/>
      <c r="V15" s="510"/>
      <c r="W15" s="510"/>
      <c r="X15" s="510"/>
      <c r="Y15" s="510"/>
      <c r="Z15" s="510"/>
      <c r="AA15" s="520"/>
      <c r="AB15" s="539">
        <f t="shared" si="1"/>
        <v>0</v>
      </c>
      <c r="AC15" s="520">
        <v>0</v>
      </c>
      <c r="AD15" s="539">
        <f t="shared" si="2"/>
        <v>0</v>
      </c>
      <c r="AE15" s="520"/>
      <c r="AF15" s="539">
        <f t="shared" si="3"/>
        <v>0</v>
      </c>
      <c r="AG15" s="520"/>
      <c r="AH15" s="539">
        <f t="shared" si="4"/>
        <v>0</v>
      </c>
      <c r="AI15" s="511"/>
      <c r="AJ15" s="539">
        <f t="shared" si="5"/>
        <v>0</v>
      </c>
      <c r="AK15" s="511">
        <v>0</v>
      </c>
      <c r="AL15" s="539">
        <f t="shared" si="6"/>
        <v>0</v>
      </c>
      <c r="AM15" s="511"/>
      <c r="AN15" s="539"/>
      <c r="AO15" s="511"/>
      <c r="AP15" s="539">
        <f t="shared" si="7"/>
        <v>0</v>
      </c>
      <c r="AQ15" s="511"/>
      <c r="AR15" s="539"/>
      <c r="AS15" s="511"/>
      <c r="AT15" s="539"/>
      <c r="AU15" s="511"/>
      <c r="AV15" s="539">
        <f t="shared" si="8"/>
        <v>0</v>
      </c>
      <c r="AW15" s="511"/>
      <c r="AX15" s="539">
        <f t="shared" si="9"/>
        <v>0</v>
      </c>
      <c r="AY15" s="513"/>
      <c r="AZ15" s="539">
        <f t="shared" si="10"/>
        <v>0</v>
      </c>
      <c r="BA15" s="513"/>
      <c r="BB15" s="539"/>
      <c r="BC15" s="511"/>
      <c r="BD15" s="539">
        <f t="shared" si="11"/>
        <v>0</v>
      </c>
      <c r="BE15" s="511"/>
      <c r="BF15" s="539">
        <f t="shared" si="12"/>
        <v>0</v>
      </c>
      <c r="BG15" s="511"/>
      <c r="BH15" s="539">
        <f t="shared" si="13"/>
        <v>0</v>
      </c>
      <c r="BI15" s="511"/>
      <c r="BJ15" s="539">
        <f t="shared" si="14"/>
        <v>0</v>
      </c>
      <c r="BK15" s="280">
        <f>BI15+BG15+BE15+BC15+BA15+AY15+AW15+AU15+AS15+AQ15+AO15+AM15+AK15+AI15+AG15+AE15+AC15+AA15</f>
        <v>0</v>
      </c>
      <c r="BL15" s="280">
        <f>BJ15+BH15+BF15+BD15+BB15+AZ15+AX15+AV15+AT15+AR15+AP15+AN15+AL15+AJ15+AH15+AF15+AD15+AB15</f>
        <v>0</v>
      </c>
      <c r="BM15" s="519"/>
      <c r="BO15" s="264"/>
      <c r="BP15" s="264"/>
      <c r="BQ15" s="264"/>
      <c r="BR15" s="264"/>
      <c r="BS15" s="264"/>
      <c r="BT15" s="264"/>
      <c r="BU15" s="264"/>
      <c r="BV15" s="264"/>
      <c r="BW15" s="280">
        <f t="shared" si="16"/>
        <v>0</v>
      </c>
    </row>
    <row r="16" spans="1:75" x14ac:dyDescent="0.25">
      <c r="A16" s="522"/>
      <c r="B16" s="505">
        <v>23300</v>
      </c>
      <c r="C16" s="505"/>
      <c r="D16" s="518" t="s">
        <v>408</v>
      </c>
      <c r="E16" s="519"/>
      <c r="F16" s="519"/>
      <c r="G16" s="520"/>
      <c r="H16" s="521"/>
      <c r="I16" s="521"/>
      <c r="J16" s="521"/>
      <c r="K16" s="521"/>
      <c r="L16" s="521"/>
      <c r="M16" s="521"/>
      <c r="N16" s="521"/>
      <c r="O16" s="521"/>
      <c r="P16" s="513"/>
      <c r="Q16" s="513"/>
      <c r="R16" s="513"/>
      <c r="S16" s="510"/>
      <c r="T16" s="523"/>
      <c r="U16" s="523"/>
      <c r="V16" s="523"/>
      <c r="W16" s="523"/>
      <c r="X16" s="523"/>
      <c r="Y16" s="523"/>
      <c r="Z16" s="523"/>
      <c r="AA16" s="520"/>
      <c r="AB16" s="539">
        <f t="shared" si="1"/>
        <v>0</v>
      </c>
      <c r="AC16" s="520">
        <v>0</v>
      </c>
      <c r="AD16" s="539">
        <f t="shared" si="2"/>
        <v>0</v>
      </c>
      <c r="AE16" s="520"/>
      <c r="AF16" s="539">
        <f t="shared" si="3"/>
        <v>0</v>
      </c>
      <c r="AG16" s="520"/>
      <c r="AH16" s="539">
        <f t="shared" si="4"/>
        <v>0</v>
      </c>
      <c r="AI16" s="511"/>
      <c r="AJ16" s="539">
        <f t="shared" si="5"/>
        <v>0</v>
      </c>
      <c r="AK16" s="511">
        <v>0</v>
      </c>
      <c r="AL16" s="539">
        <f t="shared" si="6"/>
        <v>0</v>
      </c>
      <c r="AM16" s="511"/>
      <c r="AN16" s="539">
        <f t="shared" ref="AN16:AN21" si="20">AM16*F16</f>
        <v>0</v>
      </c>
      <c r="AO16" s="511"/>
      <c r="AP16" s="539">
        <f t="shared" si="7"/>
        <v>0</v>
      </c>
      <c r="AQ16" s="511"/>
      <c r="AR16" s="539"/>
      <c r="AS16" s="511"/>
      <c r="AT16" s="539"/>
      <c r="AU16" s="511"/>
      <c r="AV16" s="539">
        <f t="shared" si="8"/>
        <v>0</v>
      </c>
      <c r="AW16" s="511"/>
      <c r="AX16" s="539">
        <f t="shared" si="9"/>
        <v>0</v>
      </c>
      <c r="AY16" s="513"/>
      <c r="AZ16" s="539">
        <f t="shared" si="10"/>
        <v>0</v>
      </c>
      <c r="BA16" s="513"/>
      <c r="BB16" s="539"/>
      <c r="BC16" s="511"/>
      <c r="BD16" s="539">
        <f t="shared" si="11"/>
        <v>0</v>
      </c>
      <c r="BE16" s="511"/>
      <c r="BF16" s="539">
        <f t="shared" si="12"/>
        <v>0</v>
      </c>
      <c r="BG16" s="511"/>
      <c r="BH16" s="539">
        <f t="shared" si="13"/>
        <v>0</v>
      </c>
      <c r="BI16" s="511"/>
      <c r="BJ16" s="539">
        <f t="shared" si="14"/>
        <v>0</v>
      </c>
      <c r="BK16" s="280">
        <f t="shared" ref="BK16:BL21" si="21">BI16+BG16+BE16+BC16+BA16+AY16+AW16+AU16+AS16+AQ16+AO16+AM16+AK16+AI16+AG16+AE16+AC16+AA16</f>
        <v>0</v>
      </c>
      <c r="BL16" s="280">
        <f t="shared" si="21"/>
        <v>0</v>
      </c>
      <c r="BM16" s="519"/>
      <c r="BO16" s="264"/>
      <c r="BP16" s="264"/>
      <c r="BQ16" s="264"/>
      <c r="BR16" s="264"/>
      <c r="BS16" s="264"/>
      <c r="BT16" s="264"/>
      <c r="BU16" s="264"/>
      <c r="BV16" s="264"/>
      <c r="BW16" s="280">
        <f t="shared" si="16"/>
        <v>0</v>
      </c>
    </row>
    <row r="17" spans="1:75" x14ac:dyDescent="0.25">
      <c r="A17" s="522"/>
      <c r="B17" s="517"/>
      <c r="C17" s="540" t="s">
        <v>827</v>
      </c>
      <c r="D17" s="541" t="s">
        <v>956</v>
      </c>
      <c r="E17" s="519" t="s">
        <v>80</v>
      </c>
      <c r="F17" s="526">
        <v>10000</v>
      </c>
      <c r="G17" s="520">
        <f>BK17</f>
        <v>0</v>
      </c>
      <c r="H17" s="537">
        <f>BL17</f>
        <v>0</v>
      </c>
      <c r="I17" s="537"/>
      <c r="J17" s="537">
        <f>H17*0.8</f>
        <v>0</v>
      </c>
      <c r="K17" s="537"/>
      <c r="L17" s="537"/>
      <c r="M17" s="537"/>
      <c r="N17" s="537"/>
      <c r="O17" s="537"/>
      <c r="P17" s="538"/>
      <c r="Q17" s="538">
        <f>H17*0.2</f>
        <v>0</v>
      </c>
      <c r="R17" s="537"/>
      <c r="S17" s="510">
        <f>G17*0.25</f>
        <v>0</v>
      </c>
      <c r="T17" s="534">
        <f>G17*0.25</f>
        <v>0</v>
      </c>
      <c r="U17" s="534">
        <f>G17*0.25</f>
        <v>0</v>
      </c>
      <c r="V17" s="523">
        <f>G17*0.25</f>
        <v>0</v>
      </c>
      <c r="W17" s="535">
        <f>H17:H17*0.25</f>
        <v>0</v>
      </c>
      <c r="X17" s="535">
        <f>H17:H17*0.1</f>
        <v>0</v>
      </c>
      <c r="Y17" s="535">
        <f>H17*0.35</f>
        <v>0</v>
      </c>
      <c r="Z17" s="535">
        <f>H17*0.3</f>
        <v>0</v>
      </c>
      <c r="AA17" s="520">
        <v>0</v>
      </c>
      <c r="AB17" s="539">
        <f t="shared" si="1"/>
        <v>0</v>
      </c>
      <c r="AC17" s="520">
        <v>0</v>
      </c>
      <c r="AD17" s="539">
        <v>0</v>
      </c>
      <c r="AE17" s="520">
        <v>0</v>
      </c>
      <c r="AF17" s="539">
        <f t="shared" si="3"/>
        <v>0</v>
      </c>
      <c r="AG17" s="520">
        <v>0</v>
      </c>
      <c r="AH17" s="539">
        <f t="shared" si="4"/>
        <v>0</v>
      </c>
      <c r="AI17" s="520">
        <v>0</v>
      </c>
      <c r="AJ17" s="539">
        <f t="shared" si="5"/>
        <v>0</v>
      </c>
      <c r="AK17" s="520">
        <v>0</v>
      </c>
      <c r="AL17" s="539">
        <f>AK17*F17</f>
        <v>0</v>
      </c>
      <c r="AM17" s="520">
        <v>0</v>
      </c>
      <c r="AN17" s="539">
        <f t="shared" si="20"/>
        <v>0</v>
      </c>
      <c r="AO17" s="520">
        <v>0</v>
      </c>
      <c r="AP17" s="539">
        <f t="shared" si="7"/>
        <v>0</v>
      </c>
      <c r="AQ17" s="520">
        <v>0</v>
      </c>
      <c r="AR17" s="539">
        <f>AQ17*F17</f>
        <v>0</v>
      </c>
      <c r="AS17" s="520">
        <v>0</v>
      </c>
      <c r="AT17" s="539">
        <f>AS17*F17</f>
        <v>0</v>
      </c>
      <c r="AU17" s="520">
        <v>0</v>
      </c>
      <c r="AV17" s="539">
        <f t="shared" si="8"/>
        <v>0</v>
      </c>
      <c r="AW17" s="520">
        <v>0</v>
      </c>
      <c r="AX17" s="539">
        <v>0</v>
      </c>
      <c r="AY17" s="273">
        <v>0</v>
      </c>
      <c r="AZ17" s="539">
        <f t="shared" si="10"/>
        <v>0</v>
      </c>
      <c r="BA17" s="273">
        <v>0</v>
      </c>
      <c r="BB17" s="539">
        <v>0</v>
      </c>
      <c r="BC17" s="520"/>
      <c r="BD17" s="539">
        <f t="shared" si="11"/>
        <v>0</v>
      </c>
      <c r="BE17" s="520"/>
      <c r="BF17" s="539">
        <f t="shared" si="12"/>
        <v>0</v>
      </c>
      <c r="BG17" s="520">
        <v>0</v>
      </c>
      <c r="BH17" s="539">
        <f t="shared" si="13"/>
        <v>0</v>
      </c>
      <c r="BI17" s="520"/>
      <c r="BJ17" s="539">
        <f t="shared" si="14"/>
        <v>0</v>
      </c>
      <c r="BK17" s="280">
        <f t="shared" si="21"/>
        <v>0</v>
      </c>
      <c r="BL17" s="280">
        <f t="shared" si="21"/>
        <v>0</v>
      </c>
      <c r="BM17" s="519" t="s">
        <v>213</v>
      </c>
      <c r="BO17" s="264"/>
      <c r="BP17" s="264"/>
      <c r="BQ17" s="264">
        <f>H17</f>
        <v>0</v>
      </c>
      <c r="BR17" s="264"/>
      <c r="BS17" s="264">
        <f>BR17+BQ17+BP17+BO17</f>
        <v>0</v>
      </c>
      <c r="BT17" s="264"/>
      <c r="BU17" s="264"/>
      <c r="BV17" s="264">
        <f>BT17+BU17</f>
        <v>0</v>
      </c>
      <c r="BW17" s="280">
        <f t="shared" si="16"/>
        <v>0</v>
      </c>
    </row>
    <row r="18" spans="1:75" x14ac:dyDescent="0.25">
      <c r="A18" s="522"/>
      <c r="B18" s="517">
        <v>0</v>
      </c>
      <c r="C18" s="517"/>
      <c r="D18" s="541" t="s">
        <v>82</v>
      </c>
      <c r="E18" s="519" t="s">
        <v>80</v>
      </c>
      <c r="F18" s="526" t="s">
        <v>305</v>
      </c>
      <c r="G18" s="520">
        <f>BK18</f>
        <v>0</v>
      </c>
      <c r="H18" s="520">
        <f>BL18</f>
        <v>0</v>
      </c>
      <c r="I18" s="537"/>
      <c r="J18" s="537">
        <f>H18*0.8</f>
        <v>0</v>
      </c>
      <c r="K18" s="537"/>
      <c r="L18" s="537"/>
      <c r="M18" s="537"/>
      <c r="N18" s="537"/>
      <c r="O18" s="537"/>
      <c r="P18" s="538"/>
      <c r="Q18" s="538">
        <f>H18*0.2</f>
        <v>0</v>
      </c>
      <c r="R18" s="537"/>
      <c r="S18" s="510">
        <f>G18*0.25</f>
        <v>0</v>
      </c>
      <c r="T18" s="534">
        <f>G18*0.25</f>
        <v>0</v>
      </c>
      <c r="U18" s="534">
        <f>G18*0.25</f>
        <v>0</v>
      </c>
      <c r="V18" s="523">
        <f>G18*0.25</f>
        <v>0</v>
      </c>
      <c r="W18" s="535">
        <f>S18*F18</f>
        <v>0</v>
      </c>
      <c r="X18" s="535">
        <f>T18*F18</f>
        <v>0</v>
      </c>
      <c r="Y18" s="535">
        <f>U18*F18</f>
        <v>0</v>
      </c>
      <c r="Z18" s="535">
        <f>V18*F18</f>
        <v>0</v>
      </c>
      <c r="AA18" s="520">
        <v>0</v>
      </c>
      <c r="AB18" s="539">
        <f t="shared" si="1"/>
        <v>0</v>
      </c>
      <c r="AC18" s="520">
        <v>0</v>
      </c>
      <c r="AD18" s="539">
        <v>0</v>
      </c>
      <c r="AE18" s="520">
        <v>0</v>
      </c>
      <c r="AF18" s="539">
        <f t="shared" si="3"/>
        <v>0</v>
      </c>
      <c r="AG18" s="520">
        <v>0</v>
      </c>
      <c r="AH18" s="539">
        <f t="shared" si="4"/>
        <v>0</v>
      </c>
      <c r="AI18" s="520">
        <v>0</v>
      </c>
      <c r="AJ18" s="539">
        <f t="shared" si="5"/>
        <v>0</v>
      </c>
      <c r="AK18" s="520">
        <v>0</v>
      </c>
      <c r="AL18" s="539">
        <f t="shared" si="6"/>
        <v>0</v>
      </c>
      <c r="AM18" s="520">
        <v>0</v>
      </c>
      <c r="AN18" s="539">
        <f t="shared" si="20"/>
        <v>0</v>
      </c>
      <c r="AO18" s="520">
        <v>0</v>
      </c>
      <c r="AP18" s="539">
        <f t="shared" si="7"/>
        <v>0</v>
      </c>
      <c r="AQ18" s="520">
        <v>0</v>
      </c>
      <c r="AR18" s="539">
        <f>AQ18*F18</f>
        <v>0</v>
      </c>
      <c r="AS18" s="520">
        <v>0</v>
      </c>
      <c r="AT18" s="539">
        <f>AS18*F18</f>
        <v>0</v>
      </c>
      <c r="AU18" s="520">
        <v>0</v>
      </c>
      <c r="AV18" s="539">
        <f t="shared" si="8"/>
        <v>0</v>
      </c>
      <c r="AW18" s="520">
        <v>0</v>
      </c>
      <c r="AX18" s="539">
        <v>0</v>
      </c>
      <c r="AY18" s="273">
        <v>0</v>
      </c>
      <c r="AZ18" s="539">
        <f t="shared" si="10"/>
        <v>0</v>
      </c>
      <c r="BA18" s="273">
        <v>0</v>
      </c>
      <c r="BB18" s="539">
        <f>BA18*F18</f>
        <v>0</v>
      </c>
      <c r="BC18" s="520"/>
      <c r="BD18" s="539">
        <f t="shared" si="11"/>
        <v>0</v>
      </c>
      <c r="BE18" s="520"/>
      <c r="BF18" s="539">
        <f t="shared" si="12"/>
        <v>0</v>
      </c>
      <c r="BG18" s="520">
        <v>0</v>
      </c>
      <c r="BH18" s="539">
        <f t="shared" si="13"/>
        <v>0</v>
      </c>
      <c r="BI18" s="520"/>
      <c r="BJ18" s="539">
        <f t="shared" si="14"/>
        <v>0</v>
      </c>
      <c r="BK18" s="280">
        <f t="shared" si="21"/>
        <v>0</v>
      </c>
      <c r="BL18" s="280">
        <f t="shared" si="21"/>
        <v>0</v>
      </c>
      <c r="BM18" s="519" t="s">
        <v>213</v>
      </c>
      <c r="BO18" s="264"/>
      <c r="BP18" s="264"/>
      <c r="BQ18" s="264">
        <f>H18</f>
        <v>0</v>
      </c>
      <c r="BR18" s="264"/>
      <c r="BS18" s="264">
        <f>BO18+BP18+BQ18+BR18</f>
        <v>0</v>
      </c>
      <c r="BT18" s="264"/>
      <c r="BU18" s="264"/>
      <c r="BV18" s="264">
        <f>BT18+BU18</f>
        <v>0</v>
      </c>
      <c r="BW18" s="280">
        <f t="shared" si="16"/>
        <v>0</v>
      </c>
    </row>
    <row r="19" spans="1:75" ht="23.25" customHeight="1" x14ac:dyDescent="0.25">
      <c r="A19" s="522"/>
      <c r="B19" s="517"/>
      <c r="C19" s="540" t="s">
        <v>828</v>
      </c>
      <c r="D19" s="718" t="s">
        <v>1244</v>
      </c>
      <c r="E19" s="519" t="s">
        <v>80</v>
      </c>
      <c r="F19" s="526">
        <v>0</v>
      </c>
      <c r="G19" s="520">
        <f>BK19</f>
        <v>0</v>
      </c>
      <c r="H19" s="537">
        <f>G19*F19</f>
        <v>0</v>
      </c>
      <c r="I19" s="537">
        <f>H19*0.1</f>
        <v>0</v>
      </c>
      <c r="J19" s="537">
        <f>H19*0.8</f>
        <v>0</v>
      </c>
      <c r="K19" s="537"/>
      <c r="L19" s="537"/>
      <c r="M19" s="537"/>
      <c r="N19" s="537"/>
      <c r="O19" s="537"/>
      <c r="P19" s="538"/>
      <c r="Q19" s="538">
        <f>H19*0.1</f>
        <v>0</v>
      </c>
      <c r="R19" s="537"/>
      <c r="S19" s="510">
        <v>31</v>
      </c>
      <c r="T19" s="534">
        <v>32</v>
      </c>
      <c r="U19" s="534"/>
      <c r="V19" s="523"/>
      <c r="W19" s="535">
        <f>S19*F19</f>
        <v>0</v>
      </c>
      <c r="X19" s="535">
        <f>T19*F19</f>
        <v>0</v>
      </c>
      <c r="Y19" s="535"/>
      <c r="Z19" s="535"/>
      <c r="AA19" s="520">
        <v>0</v>
      </c>
      <c r="AB19" s="539">
        <f t="shared" si="1"/>
        <v>0</v>
      </c>
      <c r="AC19" s="520">
        <v>0</v>
      </c>
      <c r="AD19" s="539">
        <f t="shared" si="2"/>
        <v>0</v>
      </c>
      <c r="AE19" s="520">
        <v>0</v>
      </c>
      <c r="AF19" s="539">
        <f t="shared" si="3"/>
        <v>0</v>
      </c>
      <c r="AG19" s="520">
        <v>0</v>
      </c>
      <c r="AH19" s="539">
        <f t="shared" si="4"/>
        <v>0</v>
      </c>
      <c r="AI19" s="520">
        <v>0</v>
      </c>
      <c r="AJ19" s="539">
        <f t="shared" si="5"/>
        <v>0</v>
      </c>
      <c r="AK19" s="520">
        <v>0</v>
      </c>
      <c r="AL19" s="539">
        <f t="shared" si="6"/>
        <v>0</v>
      </c>
      <c r="AM19" s="520">
        <v>0</v>
      </c>
      <c r="AN19" s="539">
        <f t="shared" si="20"/>
        <v>0</v>
      </c>
      <c r="AO19" s="520">
        <v>0</v>
      </c>
      <c r="AP19" s="539">
        <f t="shared" si="7"/>
        <v>0</v>
      </c>
      <c r="AQ19" s="520">
        <v>0</v>
      </c>
      <c r="AR19" s="539">
        <f>AQ19*F19</f>
        <v>0</v>
      </c>
      <c r="AS19" s="520">
        <v>0</v>
      </c>
      <c r="AT19" s="539">
        <f>AS19*F19</f>
        <v>0</v>
      </c>
      <c r="AU19" s="520">
        <v>0</v>
      </c>
      <c r="AV19" s="539">
        <f t="shared" si="8"/>
        <v>0</v>
      </c>
      <c r="AW19" s="520">
        <v>0</v>
      </c>
      <c r="AX19" s="539">
        <f t="shared" si="9"/>
        <v>0</v>
      </c>
      <c r="AY19" s="273">
        <v>0</v>
      </c>
      <c r="AZ19" s="539">
        <f t="shared" si="10"/>
        <v>0</v>
      </c>
      <c r="BA19" s="273">
        <v>0</v>
      </c>
      <c r="BB19" s="539">
        <f>BA19*F19</f>
        <v>0</v>
      </c>
      <c r="BC19" s="520">
        <v>0</v>
      </c>
      <c r="BD19" s="539">
        <f t="shared" si="11"/>
        <v>0</v>
      </c>
      <c r="BE19" s="520">
        <v>0</v>
      </c>
      <c r="BF19" s="539">
        <f t="shared" si="12"/>
        <v>0</v>
      </c>
      <c r="BG19" s="520">
        <v>0</v>
      </c>
      <c r="BH19" s="539">
        <f t="shared" si="13"/>
        <v>0</v>
      </c>
      <c r="BI19" s="520"/>
      <c r="BJ19" s="539"/>
      <c r="BK19" s="280">
        <f>BI19+BG19+BE19+BC19+BA19+AY19+AW19+AU19+AS19+AQ19+AO19+AM19+AK19+AI19+AG19+AE19+AC19+AA19</f>
        <v>0</v>
      </c>
      <c r="BL19" s="280">
        <f>BJ19+BH19+BF19+BD19+BB19+AZ19+AX19+AV19+AT19+AR19+AP19+AN19+AL19+AJ19+AH19+AF19+AD19+AB19</f>
        <v>0</v>
      </c>
      <c r="BM19" s="519" t="s">
        <v>1223</v>
      </c>
      <c r="BO19" s="264"/>
      <c r="BP19" s="264"/>
      <c r="BQ19" s="264">
        <f>H19</f>
        <v>0</v>
      </c>
      <c r="BR19" s="264"/>
      <c r="BS19" s="264">
        <f t="shared" ref="BS19" si="22">BO19+BP19+BQ19+BR19</f>
        <v>0</v>
      </c>
      <c r="BT19" s="264"/>
      <c r="BU19" s="264"/>
      <c r="BV19" s="264"/>
      <c r="BW19" s="280">
        <f t="shared" ref="BW19" si="23">BS19+BV19</f>
        <v>0</v>
      </c>
    </row>
    <row r="20" spans="1:75" ht="21.6" customHeight="1" x14ac:dyDescent="0.25">
      <c r="A20" s="522"/>
      <c r="B20" s="517"/>
      <c r="C20" s="540" t="s">
        <v>829</v>
      </c>
      <c r="D20" s="541" t="s">
        <v>919</v>
      </c>
      <c r="E20" s="519" t="s">
        <v>80</v>
      </c>
      <c r="F20" s="728">
        <v>50000</v>
      </c>
      <c r="G20" s="520">
        <f>BK20</f>
        <v>18</v>
      </c>
      <c r="H20" s="537">
        <f>G20*F20</f>
        <v>900000</v>
      </c>
      <c r="I20" s="537"/>
      <c r="J20" s="537">
        <f>H20*0.8</f>
        <v>720000</v>
      </c>
      <c r="K20" s="537"/>
      <c r="L20" s="537"/>
      <c r="M20" s="537"/>
      <c r="N20" s="537"/>
      <c r="O20" s="537"/>
      <c r="P20" s="538"/>
      <c r="Q20" s="538">
        <f>H20*0.2</f>
        <v>180000</v>
      </c>
      <c r="R20" s="537"/>
      <c r="S20" s="510">
        <v>18</v>
      </c>
      <c r="T20" s="534"/>
      <c r="U20" s="534">
        <v>0</v>
      </c>
      <c r="V20" s="523">
        <v>0</v>
      </c>
      <c r="W20" s="535">
        <f>H20</f>
        <v>900000</v>
      </c>
      <c r="X20" s="535"/>
      <c r="Y20" s="535">
        <f>U20*F20</f>
        <v>0</v>
      </c>
      <c r="Z20" s="535">
        <f>V20*F20</f>
        <v>0</v>
      </c>
      <c r="AA20" s="520">
        <v>0</v>
      </c>
      <c r="AB20" s="539">
        <f t="shared" si="1"/>
        <v>0</v>
      </c>
      <c r="AC20" s="520">
        <v>0</v>
      </c>
      <c r="AD20" s="539">
        <f t="shared" si="2"/>
        <v>0</v>
      </c>
      <c r="AE20" s="520">
        <v>0</v>
      </c>
      <c r="AF20" s="539">
        <f t="shared" si="3"/>
        <v>0</v>
      </c>
      <c r="AG20" s="520">
        <v>0</v>
      </c>
      <c r="AH20" s="539">
        <f t="shared" si="4"/>
        <v>0</v>
      </c>
      <c r="AI20" s="520">
        <v>0</v>
      </c>
      <c r="AJ20" s="539">
        <f t="shared" si="5"/>
        <v>0</v>
      </c>
      <c r="AK20" s="520">
        <v>8</v>
      </c>
      <c r="AL20" s="539">
        <f t="shared" si="6"/>
        <v>400000</v>
      </c>
      <c r="AM20" s="520">
        <v>0</v>
      </c>
      <c r="AN20" s="539">
        <f t="shared" si="20"/>
        <v>0</v>
      </c>
      <c r="AO20" s="520">
        <v>0</v>
      </c>
      <c r="AP20" s="539">
        <f t="shared" si="7"/>
        <v>0</v>
      </c>
      <c r="AQ20" s="520">
        <v>0</v>
      </c>
      <c r="AR20" s="539">
        <f>AQ20*F20</f>
        <v>0</v>
      </c>
      <c r="AS20" s="520">
        <v>0</v>
      </c>
      <c r="AT20" s="539">
        <f t="shared" ref="AT20:AT21" si="24">AS20*F20</f>
        <v>0</v>
      </c>
      <c r="AU20" s="520">
        <v>0</v>
      </c>
      <c r="AV20" s="539">
        <f t="shared" si="8"/>
        <v>0</v>
      </c>
      <c r="AW20" s="520">
        <v>10</v>
      </c>
      <c r="AX20" s="539">
        <f t="shared" si="9"/>
        <v>500000</v>
      </c>
      <c r="AY20" s="273">
        <v>0</v>
      </c>
      <c r="AZ20" s="539">
        <f t="shared" si="10"/>
        <v>0</v>
      </c>
      <c r="BA20" s="273">
        <v>0</v>
      </c>
      <c r="BB20" s="539">
        <f>BA20*F20</f>
        <v>0</v>
      </c>
      <c r="BC20" s="520">
        <v>0</v>
      </c>
      <c r="BD20" s="539">
        <f t="shared" si="11"/>
        <v>0</v>
      </c>
      <c r="BE20" s="520">
        <v>0</v>
      </c>
      <c r="BF20" s="539">
        <f t="shared" si="12"/>
        <v>0</v>
      </c>
      <c r="BG20" s="520">
        <v>0</v>
      </c>
      <c r="BH20" s="539">
        <f t="shared" si="13"/>
        <v>0</v>
      </c>
      <c r="BI20" s="520"/>
      <c r="BJ20" s="539"/>
      <c r="BK20" s="280">
        <f>BI20+BG20+BE20+BC20+BA20+AY20+AW20+AU20+AS20+AQ20+AO20+AM20+AK20+AI20+AG20+AE20+AC20+AA20</f>
        <v>18</v>
      </c>
      <c r="BL20" s="280">
        <f>BJ20+BH20+BF20+BD20+BB20+AZ20+AX20+AV20+AT20+AR20+AP20+AN20+AL20+AJ20+AH20+AF20+AD20+AB20</f>
        <v>900000</v>
      </c>
      <c r="BM20" s="519" t="s">
        <v>213</v>
      </c>
      <c r="BO20" s="264"/>
      <c r="BP20" s="264"/>
      <c r="BQ20" s="264">
        <f>H20</f>
        <v>900000</v>
      </c>
      <c r="BR20" s="264"/>
      <c r="BS20" s="264">
        <f t="shared" ref="BS20" si="25">BO20+BP20+BQ20+BR20</f>
        <v>900000</v>
      </c>
      <c r="BT20" s="264"/>
      <c r="BU20" s="264"/>
      <c r="BV20" s="264"/>
      <c r="BW20" s="280">
        <f t="shared" si="16"/>
        <v>900000</v>
      </c>
    </row>
    <row r="21" spans="1:75" x14ac:dyDescent="0.25">
      <c r="A21" s="522"/>
      <c r="B21" s="517"/>
      <c r="C21" s="517"/>
      <c r="D21" s="536" t="s">
        <v>929</v>
      </c>
      <c r="E21" s="519" t="s">
        <v>64</v>
      </c>
      <c r="F21" s="526"/>
      <c r="G21" s="520">
        <f>BK21</f>
        <v>0</v>
      </c>
      <c r="H21" s="537">
        <f>BL21</f>
        <v>0</v>
      </c>
      <c r="I21" s="537"/>
      <c r="J21" s="537"/>
      <c r="K21" s="537"/>
      <c r="L21" s="537"/>
      <c r="M21" s="537">
        <f>H21*0.8</f>
        <v>0</v>
      </c>
      <c r="N21" s="537"/>
      <c r="O21" s="537"/>
      <c r="P21" s="538"/>
      <c r="Q21" s="538">
        <f>H21*0.2</f>
        <v>0</v>
      </c>
      <c r="R21" s="537"/>
      <c r="S21" s="510">
        <f>G21*0.25</f>
        <v>0</v>
      </c>
      <c r="T21" s="534">
        <f>G21*0.25</f>
        <v>0</v>
      </c>
      <c r="U21" s="534">
        <f>G21*0.25</f>
        <v>0</v>
      </c>
      <c r="V21" s="523">
        <f>G21*0.25</f>
        <v>0</v>
      </c>
      <c r="W21" s="535">
        <f>S21*F21</f>
        <v>0</v>
      </c>
      <c r="X21" s="535">
        <f>T21*F21</f>
        <v>0</v>
      </c>
      <c r="Y21" s="535">
        <f>U21*F21</f>
        <v>0</v>
      </c>
      <c r="Z21" s="535">
        <f>V21*F21</f>
        <v>0</v>
      </c>
      <c r="AA21" s="520">
        <v>0</v>
      </c>
      <c r="AB21" s="539">
        <f t="shared" si="1"/>
        <v>0</v>
      </c>
      <c r="AC21" s="520">
        <v>0</v>
      </c>
      <c r="AD21" s="539">
        <f t="shared" si="2"/>
        <v>0</v>
      </c>
      <c r="AE21" s="520">
        <v>0</v>
      </c>
      <c r="AF21" s="539">
        <f t="shared" si="3"/>
        <v>0</v>
      </c>
      <c r="AG21" s="520">
        <v>0</v>
      </c>
      <c r="AH21" s="539">
        <f t="shared" si="4"/>
        <v>0</v>
      </c>
      <c r="AI21" s="520">
        <v>0</v>
      </c>
      <c r="AJ21" s="539">
        <f t="shared" si="5"/>
        <v>0</v>
      </c>
      <c r="AK21" s="520">
        <v>0</v>
      </c>
      <c r="AL21" s="539">
        <f t="shared" si="6"/>
        <v>0</v>
      </c>
      <c r="AM21" s="520">
        <v>0</v>
      </c>
      <c r="AN21" s="539">
        <f t="shared" si="20"/>
        <v>0</v>
      </c>
      <c r="AO21" s="520">
        <v>0</v>
      </c>
      <c r="AP21" s="539">
        <f t="shared" si="7"/>
        <v>0</v>
      </c>
      <c r="AQ21" s="520">
        <v>0</v>
      </c>
      <c r="AR21" s="539">
        <f>AQ21*F21</f>
        <v>0</v>
      </c>
      <c r="AS21" s="520">
        <v>0</v>
      </c>
      <c r="AT21" s="539">
        <f t="shared" si="24"/>
        <v>0</v>
      </c>
      <c r="AU21" s="520">
        <v>0</v>
      </c>
      <c r="AV21" s="539">
        <f t="shared" si="8"/>
        <v>0</v>
      </c>
      <c r="AW21" s="520">
        <v>0</v>
      </c>
      <c r="AX21" s="539">
        <f t="shared" si="9"/>
        <v>0</v>
      </c>
      <c r="AY21" s="273">
        <v>0</v>
      </c>
      <c r="AZ21" s="539">
        <f t="shared" si="10"/>
        <v>0</v>
      </c>
      <c r="BA21" s="273">
        <v>0</v>
      </c>
      <c r="BB21" s="539">
        <f>BA21*F21</f>
        <v>0</v>
      </c>
      <c r="BC21" s="520">
        <v>0</v>
      </c>
      <c r="BD21" s="539">
        <f t="shared" si="11"/>
        <v>0</v>
      </c>
      <c r="BE21" s="520">
        <v>0</v>
      </c>
      <c r="BF21" s="539">
        <f t="shared" si="12"/>
        <v>0</v>
      </c>
      <c r="BG21" s="520">
        <v>0</v>
      </c>
      <c r="BH21" s="539">
        <f t="shared" si="13"/>
        <v>0</v>
      </c>
      <c r="BI21" s="520"/>
      <c r="BJ21" s="539">
        <f t="shared" si="14"/>
        <v>0</v>
      </c>
      <c r="BK21" s="280">
        <f t="shared" si="21"/>
        <v>0</v>
      </c>
      <c r="BL21" s="280">
        <f t="shared" si="21"/>
        <v>0</v>
      </c>
      <c r="BM21" s="519" t="s">
        <v>578</v>
      </c>
      <c r="BO21" s="264"/>
      <c r="BP21" s="264"/>
      <c r="BQ21" s="264">
        <f>H21</f>
        <v>0</v>
      </c>
      <c r="BR21" s="264"/>
      <c r="BS21" s="264">
        <f>BO21+BP21+BQ21+BR21</f>
        <v>0</v>
      </c>
      <c r="BT21" s="264"/>
      <c r="BU21" s="264"/>
      <c r="BV21" s="264">
        <f>BT21+BU21</f>
        <v>0</v>
      </c>
      <c r="BW21" s="280">
        <f t="shared" si="16"/>
        <v>0</v>
      </c>
    </row>
    <row r="22" spans="1:75" s="499" customFormat="1" x14ac:dyDescent="0.25">
      <c r="A22" s="522"/>
      <c r="B22" s="513"/>
      <c r="C22" s="513"/>
      <c r="D22" s="518" t="s">
        <v>409</v>
      </c>
      <c r="E22" s="542" t="s">
        <v>111</v>
      </c>
      <c r="F22" s="543" t="s">
        <v>111</v>
      </c>
      <c r="G22" s="512">
        <f>SUM(G17:G21)</f>
        <v>18</v>
      </c>
      <c r="H22" s="512">
        <f t="shared" ref="H22:BS22" si="26">SUM(H17:H21)</f>
        <v>900000</v>
      </c>
      <c r="I22" s="512">
        <f t="shared" si="26"/>
        <v>0</v>
      </c>
      <c r="J22" s="512">
        <f t="shared" si="26"/>
        <v>720000</v>
      </c>
      <c r="K22" s="512">
        <f t="shared" si="26"/>
        <v>0</v>
      </c>
      <c r="L22" s="512">
        <f t="shared" si="26"/>
        <v>0</v>
      </c>
      <c r="M22" s="512">
        <f t="shared" si="26"/>
        <v>0</v>
      </c>
      <c r="N22" s="512">
        <f t="shared" si="26"/>
        <v>0</v>
      </c>
      <c r="O22" s="512">
        <f t="shared" si="26"/>
        <v>0</v>
      </c>
      <c r="P22" s="512">
        <f t="shared" si="26"/>
        <v>0</v>
      </c>
      <c r="Q22" s="512">
        <f t="shared" si="26"/>
        <v>180000</v>
      </c>
      <c r="R22" s="512">
        <f t="shared" si="26"/>
        <v>0</v>
      </c>
      <c r="S22" s="512">
        <f t="shared" si="26"/>
        <v>49</v>
      </c>
      <c r="T22" s="512">
        <f t="shared" si="26"/>
        <v>32</v>
      </c>
      <c r="U22" s="512">
        <f t="shared" si="26"/>
        <v>0</v>
      </c>
      <c r="V22" s="512">
        <f t="shared" si="26"/>
        <v>0</v>
      </c>
      <c r="W22" s="512">
        <f t="shared" si="26"/>
        <v>900000</v>
      </c>
      <c r="X22" s="512">
        <f t="shared" si="26"/>
        <v>0</v>
      </c>
      <c r="Y22" s="512">
        <f t="shared" si="26"/>
        <v>0</v>
      </c>
      <c r="Z22" s="512">
        <f t="shared" si="26"/>
        <v>0</v>
      </c>
      <c r="AA22" s="512">
        <f t="shared" si="26"/>
        <v>0</v>
      </c>
      <c r="AB22" s="512">
        <f t="shared" si="26"/>
        <v>0</v>
      </c>
      <c r="AC22" s="512">
        <f t="shared" si="26"/>
        <v>0</v>
      </c>
      <c r="AD22" s="512">
        <f t="shared" si="26"/>
        <v>0</v>
      </c>
      <c r="AE22" s="512">
        <f t="shared" si="26"/>
        <v>0</v>
      </c>
      <c r="AF22" s="512">
        <f t="shared" si="26"/>
        <v>0</v>
      </c>
      <c r="AG22" s="512">
        <f t="shared" si="26"/>
        <v>0</v>
      </c>
      <c r="AH22" s="512">
        <f t="shared" si="26"/>
        <v>0</v>
      </c>
      <c r="AI22" s="512">
        <f t="shared" si="26"/>
        <v>0</v>
      </c>
      <c r="AJ22" s="512">
        <f t="shared" si="26"/>
        <v>0</v>
      </c>
      <c r="AK22" s="512">
        <f t="shared" si="26"/>
        <v>8</v>
      </c>
      <c r="AL22" s="512">
        <f t="shared" si="26"/>
        <v>400000</v>
      </c>
      <c r="AM22" s="512">
        <f t="shared" si="26"/>
        <v>0</v>
      </c>
      <c r="AN22" s="512">
        <f t="shared" si="26"/>
        <v>0</v>
      </c>
      <c r="AO22" s="512">
        <f t="shared" si="26"/>
        <v>0</v>
      </c>
      <c r="AP22" s="512">
        <f t="shared" si="26"/>
        <v>0</v>
      </c>
      <c r="AQ22" s="512">
        <f t="shared" si="26"/>
        <v>0</v>
      </c>
      <c r="AR22" s="512">
        <f t="shared" si="26"/>
        <v>0</v>
      </c>
      <c r="AS22" s="512">
        <f t="shared" si="26"/>
        <v>0</v>
      </c>
      <c r="AT22" s="512">
        <f t="shared" si="26"/>
        <v>0</v>
      </c>
      <c r="AU22" s="512">
        <f t="shared" si="26"/>
        <v>0</v>
      </c>
      <c r="AV22" s="512">
        <f t="shared" si="26"/>
        <v>0</v>
      </c>
      <c r="AW22" s="512">
        <f t="shared" si="26"/>
        <v>10</v>
      </c>
      <c r="AX22" s="512">
        <f t="shared" si="26"/>
        <v>500000</v>
      </c>
      <c r="AY22" s="544">
        <f t="shared" si="26"/>
        <v>0</v>
      </c>
      <c r="AZ22" s="512">
        <f t="shared" si="26"/>
        <v>0</v>
      </c>
      <c r="BA22" s="544">
        <f t="shared" si="26"/>
        <v>0</v>
      </c>
      <c r="BB22" s="512">
        <f t="shared" si="26"/>
        <v>0</v>
      </c>
      <c r="BC22" s="512">
        <f t="shared" si="26"/>
        <v>0</v>
      </c>
      <c r="BD22" s="512">
        <f t="shared" si="26"/>
        <v>0</v>
      </c>
      <c r="BE22" s="512">
        <f t="shared" si="26"/>
        <v>0</v>
      </c>
      <c r="BF22" s="512">
        <f t="shared" si="26"/>
        <v>0</v>
      </c>
      <c r="BG22" s="512">
        <f t="shared" si="26"/>
        <v>0</v>
      </c>
      <c r="BH22" s="512">
        <f t="shared" si="26"/>
        <v>0</v>
      </c>
      <c r="BI22" s="512">
        <f t="shared" si="26"/>
        <v>0</v>
      </c>
      <c r="BJ22" s="512">
        <f t="shared" si="26"/>
        <v>0</v>
      </c>
      <c r="BK22" s="512">
        <f t="shared" si="26"/>
        <v>18</v>
      </c>
      <c r="BL22" s="512">
        <f t="shared" si="26"/>
        <v>900000</v>
      </c>
      <c r="BM22" s="512">
        <f t="shared" si="26"/>
        <v>0</v>
      </c>
      <c r="BN22" s="512">
        <f t="shared" si="26"/>
        <v>0</v>
      </c>
      <c r="BO22" s="512">
        <f t="shared" si="26"/>
        <v>0</v>
      </c>
      <c r="BP22" s="512">
        <f t="shared" si="26"/>
        <v>0</v>
      </c>
      <c r="BQ22" s="512">
        <f t="shared" si="26"/>
        <v>900000</v>
      </c>
      <c r="BR22" s="512">
        <f t="shared" si="26"/>
        <v>0</v>
      </c>
      <c r="BS22" s="512">
        <f t="shared" si="26"/>
        <v>900000</v>
      </c>
      <c r="BT22" s="512">
        <f>SUM(BT17:BT21)</f>
        <v>0</v>
      </c>
      <c r="BU22" s="512">
        <f>SUM(BU17:BU21)</f>
        <v>0</v>
      </c>
      <c r="BV22" s="512">
        <f>SUM(BV17:BV21)</f>
        <v>0</v>
      </c>
      <c r="BW22" s="512">
        <f>SUM(BW17:BW21)</f>
        <v>900000</v>
      </c>
    </row>
    <row r="23" spans="1:75" ht="22.5" customHeight="1" x14ac:dyDescent="0.25">
      <c r="A23" s="522"/>
      <c r="B23" s="505">
        <v>23400</v>
      </c>
      <c r="C23" s="505"/>
      <c r="D23" s="518" t="s">
        <v>410</v>
      </c>
      <c r="E23" s="519"/>
      <c r="F23" s="519"/>
      <c r="G23" s="520"/>
      <c r="H23" s="545"/>
      <c r="I23" s="545"/>
      <c r="J23" s="545"/>
      <c r="K23" s="545"/>
      <c r="L23" s="545"/>
      <c r="M23" s="545"/>
      <c r="N23" s="545"/>
      <c r="O23" s="545"/>
      <c r="P23" s="545"/>
      <c r="Q23" s="545"/>
      <c r="R23" s="545"/>
      <c r="S23" s="546"/>
      <c r="T23" s="546"/>
      <c r="U23" s="546"/>
      <c r="V23" s="546"/>
      <c r="W23" s="546"/>
      <c r="X23" s="546"/>
      <c r="Y23" s="546"/>
      <c r="Z23" s="546"/>
      <c r="AA23" s="520"/>
      <c r="AB23" s="539">
        <f t="shared" si="1"/>
        <v>0</v>
      </c>
      <c r="AC23" s="520"/>
      <c r="AD23" s="539">
        <f t="shared" si="2"/>
        <v>0</v>
      </c>
      <c r="AE23" s="520"/>
      <c r="AF23" s="539">
        <f t="shared" si="3"/>
        <v>0</v>
      </c>
      <c r="AG23" s="520"/>
      <c r="AH23" s="539">
        <f t="shared" si="4"/>
        <v>0</v>
      </c>
      <c r="AI23" s="520"/>
      <c r="AJ23" s="539">
        <f t="shared" si="5"/>
        <v>0</v>
      </c>
      <c r="AK23" s="520">
        <v>0</v>
      </c>
      <c r="AL23" s="539">
        <f t="shared" si="6"/>
        <v>0</v>
      </c>
      <c r="AM23" s="520"/>
      <c r="AN23" s="539"/>
      <c r="AO23" s="520"/>
      <c r="AP23" s="539">
        <f t="shared" si="7"/>
        <v>0</v>
      </c>
      <c r="AQ23" s="520"/>
      <c r="AR23" s="539"/>
      <c r="AS23" s="520"/>
      <c r="AT23" s="539"/>
      <c r="AU23" s="520"/>
      <c r="AV23" s="539">
        <f t="shared" si="8"/>
        <v>0</v>
      </c>
      <c r="AW23" s="520"/>
      <c r="AX23" s="539">
        <f t="shared" si="9"/>
        <v>0</v>
      </c>
      <c r="AY23" s="273"/>
      <c r="AZ23" s="539">
        <f t="shared" si="10"/>
        <v>0</v>
      </c>
      <c r="BA23" s="273"/>
      <c r="BB23" s="539"/>
      <c r="BC23" s="520"/>
      <c r="BD23" s="539">
        <f t="shared" si="11"/>
        <v>0</v>
      </c>
      <c r="BE23" s="520"/>
      <c r="BF23" s="539">
        <f t="shared" si="12"/>
        <v>0</v>
      </c>
      <c r="BG23" s="520"/>
      <c r="BH23" s="539">
        <f t="shared" si="13"/>
        <v>0</v>
      </c>
      <c r="BI23" s="520"/>
      <c r="BJ23" s="539">
        <f t="shared" si="14"/>
        <v>0</v>
      </c>
      <c r="BK23" s="520"/>
      <c r="BL23" s="539"/>
      <c r="BM23" s="519"/>
      <c r="BO23" s="264"/>
      <c r="BP23" s="264"/>
      <c r="BQ23" s="264"/>
      <c r="BR23" s="264"/>
      <c r="BS23" s="264"/>
      <c r="BT23" s="264"/>
      <c r="BU23" s="264"/>
      <c r="BV23" s="264"/>
      <c r="BW23" s="280">
        <f t="shared" si="16"/>
        <v>0</v>
      </c>
    </row>
    <row r="24" spans="1:75" ht="34.5" customHeight="1" x14ac:dyDescent="0.25">
      <c r="A24" s="522"/>
      <c r="B24" s="273"/>
      <c r="C24" s="540" t="s">
        <v>830</v>
      </c>
      <c r="D24" s="536" t="s">
        <v>651</v>
      </c>
      <c r="E24" s="519" t="s">
        <v>307</v>
      </c>
      <c r="F24" s="526">
        <v>4000</v>
      </c>
      <c r="G24" s="527">
        <f>BK24</f>
        <v>0</v>
      </c>
      <c r="H24" s="537">
        <f>G24*F24</f>
        <v>0</v>
      </c>
      <c r="I24" s="537">
        <f>H24*0</f>
        <v>0</v>
      </c>
      <c r="J24" s="537">
        <f>H24*0.8</f>
        <v>0</v>
      </c>
      <c r="K24" s="537"/>
      <c r="L24" s="537"/>
      <c r="M24" s="537"/>
      <c r="N24" s="537"/>
      <c r="O24" s="537"/>
      <c r="P24" s="538"/>
      <c r="Q24" s="538">
        <f>H24*0.2</f>
        <v>0</v>
      </c>
      <c r="R24" s="538"/>
      <c r="S24" s="547">
        <f t="shared" ref="S24:S36" si="27">G24*0.25</f>
        <v>0</v>
      </c>
      <c r="T24" s="547">
        <f t="shared" ref="T24:T36" si="28">G24*0.25</f>
        <v>0</v>
      </c>
      <c r="U24" s="547">
        <f t="shared" ref="U24:U38" si="29">G24*0.25</f>
        <v>0</v>
      </c>
      <c r="V24" s="547">
        <f t="shared" ref="V24:V38" si="30">G24*0.25</f>
        <v>0</v>
      </c>
      <c r="W24" s="535">
        <f t="shared" ref="W24:W38" si="31">S24*F24</f>
        <v>0</v>
      </c>
      <c r="X24" s="535">
        <f t="shared" ref="X24:X38" si="32">T24*F24</f>
        <v>0</v>
      </c>
      <c r="Y24" s="535">
        <f t="shared" ref="Y24:Y36" si="33">U24*F24</f>
        <v>0</v>
      </c>
      <c r="Z24" s="535">
        <f t="shared" ref="Z24:Z36" si="34">V24*F24</f>
        <v>0</v>
      </c>
      <c r="AA24" s="520">
        <v>0</v>
      </c>
      <c r="AB24" s="539">
        <f>AA24*F24</f>
        <v>0</v>
      </c>
      <c r="AC24" s="520">
        <v>0</v>
      </c>
      <c r="AD24" s="539">
        <f t="shared" si="2"/>
        <v>0</v>
      </c>
      <c r="AE24" s="520">
        <v>0</v>
      </c>
      <c r="AF24" s="539">
        <f t="shared" si="3"/>
        <v>0</v>
      </c>
      <c r="AG24" s="520">
        <v>0</v>
      </c>
      <c r="AH24" s="539">
        <f t="shared" si="4"/>
        <v>0</v>
      </c>
      <c r="AI24" s="520">
        <v>0</v>
      </c>
      <c r="AJ24" s="539">
        <f t="shared" si="5"/>
        <v>0</v>
      </c>
      <c r="AK24" s="520">
        <v>0</v>
      </c>
      <c r="AL24" s="539">
        <f t="shared" si="6"/>
        <v>0</v>
      </c>
      <c r="AM24" s="520">
        <v>0</v>
      </c>
      <c r="AN24" s="539">
        <f>AM24*F24</f>
        <v>0</v>
      </c>
      <c r="AO24" s="520">
        <v>0</v>
      </c>
      <c r="AP24" s="539">
        <f t="shared" si="7"/>
        <v>0</v>
      </c>
      <c r="AQ24" s="520">
        <v>0</v>
      </c>
      <c r="AR24" s="539">
        <f t="shared" ref="AR24:AR41" si="35">AQ24*F24</f>
        <v>0</v>
      </c>
      <c r="AS24" s="520">
        <v>0</v>
      </c>
      <c r="AT24" s="539">
        <f t="shared" ref="AT24:AT41" si="36">AS24*F24</f>
        <v>0</v>
      </c>
      <c r="AU24" s="520">
        <v>0</v>
      </c>
      <c r="AV24" s="539">
        <f t="shared" si="8"/>
        <v>0</v>
      </c>
      <c r="AW24" s="520">
        <v>0</v>
      </c>
      <c r="AX24" s="539">
        <f t="shared" si="9"/>
        <v>0</v>
      </c>
      <c r="AY24" s="273">
        <v>0</v>
      </c>
      <c r="AZ24" s="539">
        <f t="shared" si="10"/>
        <v>0</v>
      </c>
      <c r="BA24" s="273">
        <v>0</v>
      </c>
      <c r="BB24" s="539">
        <f t="shared" ref="BB24:BB41" si="37">BA24*F24</f>
        <v>0</v>
      </c>
      <c r="BC24" s="520">
        <v>0</v>
      </c>
      <c r="BD24" s="539">
        <f t="shared" si="11"/>
        <v>0</v>
      </c>
      <c r="BE24" s="520">
        <v>0</v>
      </c>
      <c r="BF24" s="539">
        <f t="shared" si="12"/>
        <v>0</v>
      </c>
      <c r="BG24" s="520">
        <v>0</v>
      </c>
      <c r="BH24" s="539">
        <f t="shared" si="13"/>
        <v>0</v>
      </c>
      <c r="BI24" s="520"/>
      <c r="BJ24" s="539">
        <f t="shared" si="14"/>
        <v>0</v>
      </c>
      <c r="BK24" s="280">
        <f t="shared" ref="BK24:BK41" si="38">BI24+BG24+BE24+BC24+BA24+AY24+AW24+AU24+AS24+AQ24+AO24+AM24+AK24+AI24+AG24+AE24+AC24+AA24</f>
        <v>0</v>
      </c>
      <c r="BL24" s="280">
        <f t="shared" ref="BL24:BL41" si="39">BJ24+BH24+BF24+BD24+BB24+AZ24+AX24+AV24+AT24+AR24+AP24+AN24+AL24+AJ24+AH24+AF24+AD24+AB24</f>
        <v>0</v>
      </c>
      <c r="BM24" s="519" t="s">
        <v>510</v>
      </c>
      <c r="BO24" s="264"/>
      <c r="BP24" s="264"/>
      <c r="BQ24" s="264">
        <f t="shared" ref="BQ24:BQ41" si="40">H24</f>
        <v>0</v>
      </c>
      <c r="BR24" s="264"/>
      <c r="BS24" s="264">
        <f t="shared" ref="BS24:BS41" si="41">BO24+BP24+BQ24+BR24</f>
        <v>0</v>
      </c>
      <c r="BT24" s="264"/>
      <c r="BU24" s="264"/>
      <c r="BV24" s="264">
        <f>BT24+BU24</f>
        <v>0</v>
      </c>
      <c r="BW24" s="280">
        <f t="shared" si="16"/>
        <v>0</v>
      </c>
    </row>
    <row r="25" spans="1:75" ht="35.25" customHeight="1" x14ac:dyDescent="0.25">
      <c r="A25" s="522" t="s">
        <v>1215</v>
      </c>
      <c r="B25" s="515"/>
      <c r="C25" s="520"/>
      <c r="D25" s="536" t="s">
        <v>1186</v>
      </c>
      <c r="E25" s="519" t="s">
        <v>887</v>
      </c>
      <c r="F25" s="526">
        <v>3750</v>
      </c>
      <c r="G25" s="527">
        <f>BK25</f>
        <v>20000</v>
      </c>
      <c r="H25" s="537">
        <f>G25*F25</f>
        <v>75000000</v>
      </c>
      <c r="I25" s="537"/>
      <c r="J25" s="537"/>
      <c r="K25" s="537"/>
      <c r="L25" s="537"/>
      <c r="M25" s="537"/>
      <c r="N25" s="537"/>
      <c r="O25" s="537">
        <f>H25*1</f>
        <v>75000000</v>
      </c>
      <c r="P25" s="538"/>
      <c r="Q25" s="538"/>
      <c r="R25" s="538"/>
      <c r="S25" s="547"/>
      <c r="T25" s="547">
        <f>G25*0.5</f>
        <v>10000</v>
      </c>
      <c r="U25" s="547">
        <f>G25*0.5</f>
        <v>10000</v>
      </c>
      <c r="V25" s="547">
        <v>0</v>
      </c>
      <c r="W25" s="535"/>
      <c r="X25" s="535">
        <f>H25*0.5</f>
        <v>37500000</v>
      </c>
      <c r="Y25" s="535">
        <f>H25*0.5</f>
        <v>37500000</v>
      </c>
      <c r="Z25" s="535">
        <v>0</v>
      </c>
      <c r="AA25" s="520">
        <v>1200</v>
      </c>
      <c r="AB25" s="539">
        <f>AA25*F25</f>
        <v>4500000</v>
      </c>
      <c r="AC25" s="520">
        <v>1500</v>
      </c>
      <c r="AD25" s="539">
        <f t="shared" si="2"/>
        <v>5625000</v>
      </c>
      <c r="AE25" s="520">
        <v>1200</v>
      </c>
      <c r="AF25" s="539">
        <f t="shared" si="3"/>
        <v>4500000</v>
      </c>
      <c r="AG25" s="520">
        <v>2000</v>
      </c>
      <c r="AH25" s="539">
        <f t="shared" si="4"/>
        <v>7500000</v>
      </c>
      <c r="AI25" s="520">
        <v>300</v>
      </c>
      <c r="AJ25" s="539">
        <f t="shared" si="5"/>
        <v>1125000</v>
      </c>
      <c r="AK25" s="520">
        <v>1800</v>
      </c>
      <c r="AL25" s="539">
        <f t="shared" si="6"/>
        <v>6750000</v>
      </c>
      <c r="AM25" s="520">
        <v>600</v>
      </c>
      <c r="AN25" s="539">
        <f>AM25*F25</f>
        <v>2250000</v>
      </c>
      <c r="AO25" s="520">
        <v>1000</v>
      </c>
      <c r="AP25" s="539">
        <f t="shared" si="7"/>
        <v>3750000</v>
      </c>
      <c r="AQ25" s="520">
        <v>0</v>
      </c>
      <c r="AR25" s="539">
        <f t="shared" si="35"/>
        <v>0</v>
      </c>
      <c r="AS25" s="520">
        <v>1550</v>
      </c>
      <c r="AT25" s="539">
        <f t="shared" si="36"/>
        <v>5812500</v>
      </c>
      <c r="AU25" s="520">
        <v>1300</v>
      </c>
      <c r="AV25" s="539">
        <f t="shared" si="8"/>
        <v>4875000</v>
      </c>
      <c r="AW25" s="520">
        <v>2250</v>
      </c>
      <c r="AX25" s="539">
        <f t="shared" si="9"/>
        <v>8437500</v>
      </c>
      <c r="AY25" s="273">
        <v>1400</v>
      </c>
      <c r="AZ25" s="539">
        <f t="shared" si="10"/>
        <v>5250000</v>
      </c>
      <c r="BA25" s="273">
        <v>1200</v>
      </c>
      <c r="BB25" s="539">
        <f t="shared" si="37"/>
        <v>4500000</v>
      </c>
      <c r="BC25" s="520">
        <v>0</v>
      </c>
      <c r="BD25" s="539">
        <f t="shared" si="11"/>
        <v>0</v>
      </c>
      <c r="BE25" s="520">
        <v>2000</v>
      </c>
      <c r="BF25" s="539">
        <f t="shared" si="12"/>
        <v>7500000</v>
      </c>
      <c r="BG25" s="520">
        <v>700</v>
      </c>
      <c r="BH25" s="539">
        <f t="shared" si="13"/>
        <v>2625000</v>
      </c>
      <c r="BI25" s="520"/>
      <c r="BJ25" s="539"/>
      <c r="BK25" s="280">
        <f t="shared" ref="BK25" si="42">BI25+BG25+BE25+BC25+BA25+AY25+AW25+AU25+AS25+AQ25+AO25+AM25+AK25+AI25+AG25+AE25+AC25+AA25</f>
        <v>20000</v>
      </c>
      <c r="BL25" s="280">
        <f t="shared" ref="BL25" si="43">BJ25+BH25+BF25+BD25+BB25+AZ25+AX25+AV25+AT25+AR25+AP25+AN25+AL25+AJ25+AH25+AF25+AD25+AB25</f>
        <v>75000000</v>
      </c>
      <c r="BM25" s="519" t="s">
        <v>888</v>
      </c>
      <c r="BO25" s="264"/>
      <c r="BP25" s="264"/>
      <c r="BQ25" s="264">
        <f>H25</f>
        <v>75000000</v>
      </c>
      <c r="BR25" s="264"/>
      <c r="BS25" s="264">
        <f t="shared" si="41"/>
        <v>75000000</v>
      </c>
      <c r="BT25" s="264"/>
      <c r="BU25" s="264"/>
      <c r="BV25" s="264"/>
      <c r="BW25" s="280">
        <f t="shared" si="16"/>
        <v>75000000</v>
      </c>
    </row>
    <row r="26" spans="1:75" ht="45.6" customHeight="1" x14ac:dyDescent="0.25">
      <c r="A26" s="522" t="s">
        <v>1216</v>
      </c>
      <c r="B26" s="548" t="s">
        <v>928</v>
      </c>
      <c r="C26" s="520"/>
      <c r="D26" s="165" t="s">
        <v>1247</v>
      </c>
      <c r="E26" s="519" t="s">
        <v>1237</v>
      </c>
      <c r="F26" s="526">
        <v>720000</v>
      </c>
      <c r="G26" s="527">
        <f>BK26</f>
        <v>15</v>
      </c>
      <c r="H26" s="537">
        <f>G26*F26</f>
        <v>10800000</v>
      </c>
      <c r="I26" s="537"/>
      <c r="J26" s="537">
        <f>H26*0.6</f>
        <v>6480000</v>
      </c>
      <c r="K26" s="537"/>
      <c r="L26" s="537"/>
      <c r="M26" s="537"/>
      <c r="N26" s="537"/>
      <c r="O26" s="537">
        <f>H26*0.4</f>
        <v>4320000</v>
      </c>
      <c r="P26" s="538"/>
      <c r="Q26" s="538"/>
      <c r="R26" s="538"/>
      <c r="S26" s="547"/>
      <c r="T26" s="547">
        <v>30</v>
      </c>
      <c r="U26" s="547"/>
      <c r="V26" s="547">
        <v>0</v>
      </c>
      <c r="W26" s="535"/>
      <c r="X26" s="535">
        <f>H26</f>
        <v>10800000</v>
      </c>
      <c r="Y26" s="535"/>
      <c r="Z26" s="535">
        <v>0</v>
      </c>
      <c r="AA26" s="520">
        <v>1</v>
      </c>
      <c r="AB26" s="539">
        <f>AA26*F26</f>
        <v>720000</v>
      </c>
      <c r="AC26" s="520">
        <v>0</v>
      </c>
      <c r="AD26" s="539">
        <f t="shared" ref="AD26" si="44">AC26*F26</f>
        <v>0</v>
      </c>
      <c r="AE26" s="520">
        <v>1</v>
      </c>
      <c r="AF26" s="539">
        <f t="shared" ref="AF26" si="45">AE26*F26</f>
        <v>720000</v>
      </c>
      <c r="AG26" s="520">
        <v>1</v>
      </c>
      <c r="AH26" s="539">
        <f t="shared" ref="AH26" si="46">AG26*F26</f>
        <v>720000</v>
      </c>
      <c r="AI26" s="520">
        <v>1</v>
      </c>
      <c r="AJ26" s="539">
        <f t="shared" ref="AJ26" si="47">AI26*F26</f>
        <v>720000</v>
      </c>
      <c r="AK26" s="520">
        <v>1</v>
      </c>
      <c r="AL26" s="539">
        <f t="shared" ref="AL26" si="48">AK26*F26</f>
        <v>720000</v>
      </c>
      <c r="AM26" s="520">
        <v>1</v>
      </c>
      <c r="AN26" s="539">
        <f>AM26*F26</f>
        <v>720000</v>
      </c>
      <c r="AO26" s="520">
        <v>1</v>
      </c>
      <c r="AP26" s="539">
        <f t="shared" ref="AP26" si="49">AO26*F26</f>
        <v>720000</v>
      </c>
      <c r="AQ26" s="520">
        <v>0</v>
      </c>
      <c r="AR26" s="539">
        <f t="shared" ref="AR26" si="50">AQ26*F26</f>
        <v>0</v>
      </c>
      <c r="AS26" s="520">
        <v>2</v>
      </c>
      <c r="AT26" s="539">
        <f t="shared" ref="AT26" si="51">AS26*F26</f>
        <v>1440000</v>
      </c>
      <c r="AU26" s="520">
        <v>1</v>
      </c>
      <c r="AV26" s="539">
        <f t="shared" ref="AV26" si="52">AU26*F26</f>
        <v>720000</v>
      </c>
      <c r="AW26" s="520">
        <v>0</v>
      </c>
      <c r="AX26" s="539">
        <f t="shared" ref="AX26" si="53">AW26*F26</f>
        <v>0</v>
      </c>
      <c r="AY26" s="273">
        <v>1</v>
      </c>
      <c r="AZ26" s="539">
        <f t="shared" ref="AZ26" si="54">AY26*F26</f>
        <v>720000</v>
      </c>
      <c r="BA26" s="273">
        <v>2</v>
      </c>
      <c r="BB26" s="539">
        <f t="shared" ref="BB26" si="55">BA26*F26</f>
        <v>1440000</v>
      </c>
      <c r="BC26" s="520">
        <v>0</v>
      </c>
      <c r="BD26" s="539">
        <f t="shared" ref="BD26" si="56">BC26*F26</f>
        <v>0</v>
      </c>
      <c r="BE26" s="520">
        <v>1</v>
      </c>
      <c r="BF26" s="539">
        <f t="shared" ref="BF26" si="57">BE26*F26</f>
        <v>720000</v>
      </c>
      <c r="BG26" s="520">
        <v>1</v>
      </c>
      <c r="BH26" s="539">
        <f t="shared" ref="BH26" si="58">BG26*F26</f>
        <v>720000</v>
      </c>
      <c r="BI26" s="520"/>
      <c r="BJ26" s="539"/>
      <c r="BK26" s="280">
        <f t="shared" ref="BK26" si="59">BI26+BG26+BE26+BC26+BA26+AY26+AW26+AU26+AS26+AQ26+AO26+AM26+AK26+AI26+AG26+AE26+AC26+AA26</f>
        <v>15</v>
      </c>
      <c r="BL26" s="280">
        <f t="shared" ref="BL26" si="60">BJ26+BH26+BF26+BD26+BB26+AZ26+AX26+AV26+AT26+AR26+AP26+AN26+AL26+AJ26+AH26+AF26+AD26+AB26</f>
        <v>10800000</v>
      </c>
      <c r="BM26" s="519" t="s">
        <v>1162</v>
      </c>
      <c r="BO26" s="264"/>
      <c r="BP26" s="264"/>
      <c r="BQ26" s="264">
        <f>H26</f>
        <v>10800000</v>
      </c>
      <c r="BR26" s="264"/>
      <c r="BS26" s="264">
        <f t="shared" ref="BS26" si="61">BO26+BP26+BQ26+BR26</f>
        <v>10800000</v>
      </c>
      <c r="BT26" s="264"/>
      <c r="BU26" s="264"/>
      <c r="BV26" s="264"/>
      <c r="BW26" s="280">
        <f t="shared" ref="BW26" si="62">BS26+BV26</f>
        <v>10800000</v>
      </c>
    </row>
    <row r="27" spans="1:75" ht="19.5" customHeight="1" x14ac:dyDescent="0.25">
      <c r="A27" s="522"/>
      <c r="B27" s="515"/>
      <c r="C27" s="520"/>
      <c r="D27" s="536" t="s">
        <v>902</v>
      </c>
      <c r="E27" s="519" t="s">
        <v>307</v>
      </c>
      <c r="F27" s="526"/>
      <c r="G27" s="520">
        <f t="shared" ref="G27:G39" si="63">BK27</f>
        <v>0</v>
      </c>
      <c r="H27" s="537">
        <f>BL27</f>
        <v>0</v>
      </c>
      <c r="I27" s="537"/>
      <c r="J27" s="537"/>
      <c r="K27" s="537"/>
      <c r="L27" s="537"/>
      <c r="M27" s="537">
        <f>H27</f>
        <v>0</v>
      </c>
      <c r="N27" s="537"/>
      <c r="O27" s="537"/>
      <c r="P27" s="538"/>
      <c r="Q27" s="538"/>
      <c r="R27" s="538"/>
      <c r="S27" s="547">
        <f t="shared" si="27"/>
        <v>0</v>
      </c>
      <c r="T27" s="547">
        <f t="shared" si="28"/>
        <v>0</v>
      </c>
      <c r="U27" s="547">
        <f t="shared" si="29"/>
        <v>0</v>
      </c>
      <c r="V27" s="547">
        <f>G27</f>
        <v>0</v>
      </c>
      <c r="W27" s="535">
        <f t="shared" si="31"/>
        <v>0</v>
      </c>
      <c r="X27" s="535">
        <f t="shared" si="32"/>
        <v>0</v>
      </c>
      <c r="Y27" s="535">
        <f t="shared" si="33"/>
        <v>0</v>
      </c>
      <c r="Z27" s="535">
        <f>H27</f>
        <v>0</v>
      </c>
      <c r="AA27" s="520">
        <v>0</v>
      </c>
      <c r="AB27" s="539">
        <f t="shared" si="1"/>
        <v>0</v>
      </c>
      <c r="AC27" s="520">
        <v>0</v>
      </c>
      <c r="AD27" s="539">
        <f t="shared" si="2"/>
        <v>0</v>
      </c>
      <c r="AE27" s="520">
        <v>0</v>
      </c>
      <c r="AF27" s="539">
        <f t="shared" si="3"/>
        <v>0</v>
      </c>
      <c r="AG27" s="520">
        <v>0</v>
      </c>
      <c r="AH27" s="539">
        <f t="shared" si="4"/>
        <v>0</v>
      </c>
      <c r="AI27" s="520">
        <v>0</v>
      </c>
      <c r="AJ27" s="539">
        <f t="shared" si="5"/>
        <v>0</v>
      </c>
      <c r="AK27" s="520">
        <v>0</v>
      </c>
      <c r="AL27" s="539">
        <f t="shared" si="6"/>
        <v>0</v>
      </c>
      <c r="AM27" s="520">
        <v>0</v>
      </c>
      <c r="AN27" s="539">
        <v>0</v>
      </c>
      <c r="AO27" s="520">
        <v>0</v>
      </c>
      <c r="AP27" s="539">
        <f t="shared" si="7"/>
        <v>0</v>
      </c>
      <c r="AQ27" s="520">
        <v>0</v>
      </c>
      <c r="AR27" s="539">
        <f t="shared" si="35"/>
        <v>0</v>
      </c>
      <c r="AS27" s="520">
        <v>0</v>
      </c>
      <c r="AT27" s="539">
        <f t="shared" si="36"/>
        <v>0</v>
      </c>
      <c r="AU27" s="520">
        <v>0</v>
      </c>
      <c r="AV27" s="539">
        <f t="shared" si="8"/>
        <v>0</v>
      </c>
      <c r="AW27" s="520">
        <v>0</v>
      </c>
      <c r="AX27" s="539">
        <f t="shared" si="9"/>
        <v>0</v>
      </c>
      <c r="AY27" s="273">
        <v>0</v>
      </c>
      <c r="AZ27" s="539">
        <f t="shared" si="10"/>
        <v>0</v>
      </c>
      <c r="BA27" s="273">
        <v>0</v>
      </c>
      <c r="BB27" s="539">
        <f t="shared" si="37"/>
        <v>0</v>
      </c>
      <c r="BC27" s="520">
        <v>0</v>
      </c>
      <c r="BD27" s="539">
        <f t="shared" si="11"/>
        <v>0</v>
      </c>
      <c r="BE27" s="520">
        <v>0</v>
      </c>
      <c r="BF27" s="539">
        <f t="shared" si="12"/>
        <v>0</v>
      </c>
      <c r="BG27" s="520">
        <v>0</v>
      </c>
      <c r="BH27" s="539">
        <f t="shared" si="13"/>
        <v>0</v>
      </c>
      <c r="BI27" s="520">
        <v>0</v>
      </c>
      <c r="BJ27" s="539">
        <f t="shared" si="14"/>
        <v>0</v>
      </c>
      <c r="BK27" s="280">
        <f t="shared" si="38"/>
        <v>0</v>
      </c>
      <c r="BL27" s="280">
        <f t="shared" si="39"/>
        <v>0</v>
      </c>
      <c r="BM27" s="519" t="s">
        <v>903</v>
      </c>
      <c r="BO27" s="264"/>
      <c r="BP27" s="264"/>
      <c r="BQ27" s="264">
        <f t="shared" si="40"/>
        <v>0</v>
      </c>
      <c r="BR27" s="264"/>
      <c r="BS27" s="264">
        <f t="shared" si="41"/>
        <v>0</v>
      </c>
      <c r="BT27" s="264"/>
      <c r="BU27" s="264"/>
      <c r="BV27" s="264"/>
      <c r="BW27" s="280">
        <f t="shared" si="16"/>
        <v>0</v>
      </c>
    </row>
    <row r="28" spans="1:75" ht="19.5" customHeight="1" x14ac:dyDescent="0.25">
      <c r="A28" s="522" t="s">
        <v>1215</v>
      </c>
      <c r="B28" s="515"/>
      <c r="C28" s="520"/>
      <c r="D28" s="536" t="s">
        <v>1185</v>
      </c>
      <c r="E28" s="519" t="s">
        <v>238</v>
      </c>
      <c r="F28" s="526">
        <v>23000</v>
      </c>
      <c r="G28" s="520">
        <f t="shared" si="63"/>
        <v>1000</v>
      </c>
      <c r="H28" s="537">
        <f>BL28</f>
        <v>23000000</v>
      </c>
      <c r="I28" s="537">
        <f>H28*0.1</f>
        <v>2300000</v>
      </c>
      <c r="J28" s="537">
        <f>H28*0.8</f>
        <v>18400000</v>
      </c>
      <c r="K28" s="537"/>
      <c r="L28" s="537"/>
      <c r="M28" s="537"/>
      <c r="N28" s="537"/>
      <c r="O28" s="537"/>
      <c r="P28" s="538"/>
      <c r="Q28" s="538">
        <f>H28*0.1</f>
        <v>2300000</v>
      </c>
      <c r="R28" s="538"/>
      <c r="S28" s="547">
        <f>G28*0.4</f>
        <v>400</v>
      </c>
      <c r="T28" s="547">
        <f>G28*0.4</f>
        <v>400</v>
      </c>
      <c r="U28" s="547">
        <f>G28*0.2</f>
        <v>200</v>
      </c>
      <c r="V28" s="547"/>
      <c r="W28" s="535">
        <f t="shared" ref="W28" si="64">S28*F28</f>
        <v>9200000</v>
      </c>
      <c r="X28" s="535">
        <f t="shared" ref="X28" si="65">T28*F28</f>
        <v>9200000</v>
      </c>
      <c r="Y28" s="535">
        <f t="shared" ref="Y28" si="66">U28*F28</f>
        <v>4600000</v>
      </c>
      <c r="Z28" s="535">
        <f>V28*F28</f>
        <v>0</v>
      </c>
      <c r="AA28" s="520">
        <v>55</v>
      </c>
      <c r="AB28" s="539">
        <f t="shared" si="1"/>
        <v>1265000</v>
      </c>
      <c r="AC28" s="520">
        <v>50</v>
      </c>
      <c r="AD28" s="539">
        <f t="shared" si="2"/>
        <v>1150000</v>
      </c>
      <c r="AE28" s="520">
        <v>54</v>
      </c>
      <c r="AF28" s="539">
        <f t="shared" si="3"/>
        <v>1242000</v>
      </c>
      <c r="AG28" s="520">
        <v>75</v>
      </c>
      <c r="AH28" s="539">
        <f t="shared" si="4"/>
        <v>1725000</v>
      </c>
      <c r="AI28" s="520">
        <v>60</v>
      </c>
      <c r="AJ28" s="539">
        <f t="shared" si="5"/>
        <v>1380000</v>
      </c>
      <c r="AK28" s="520">
        <v>50</v>
      </c>
      <c r="AL28" s="539">
        <f t="shared" si="6"/>
        <v>1150000</v>
      </c>
      <c r="AM28" s="520">
        <v>85</v>
      </c>
      <c r="AN28" s="539">
        <f>AM28*F28</f>
        <v>1955000</v>
      </c>
      <c r="AO28" s="520">
        <v>55</v>
      </c>
      <c r="AP28" s="539">
        <f t="shared" si="7"/>
        <v>1265000</v>
      </c>
      <c r="AQ28" s="520">
        <v>55</v>
      </c>
      <c r="AR28" s="539">
        <f t="shared" si="35"/>
        <v>1265000</v>
      </c>
      <c r="AS28" s="520">
        <v>76</v>
      </c>
      <c r="AT28" s="539">
        <f t="shared" si="36"/>
        <v>1748000</v>
      </c>
      <c r="AU28" s="520">
        <v>60</v>
      </c>
      <c r="AV28" s="539">
        <f t="shared" si="8"/>
        <v>1380000</v>
      </c>
      <c r="AW28" s="520">
        <v>55</v>
      </c>
      <c r="AX28" s="539">
        <f t="shared" si="9"/>
        <v>1265000</v>
      </c>
      <c r="AY28" s="273">
        <v>55</v>
      </c>
      <c r="AZ28" s="539">
        <f t="shared" si="10"/>
        <v>1265000</v>
      </c>
      <c r="BA28" s="273">
        <v>55</v>
      </c>
      <c r="BB28" s="539">
        <f t="shared" si="37"/>
        <v>1265000</v>
      </c>
      <c r="BC28" s="520">
        <v>50</v>
      </c>
      <c r="BD28" s="539">
        <f t="shared" si="11"/>
        <v>1150000</v>
      </c>
      <c r="BE28" s="520">
        <v>55</v>
      </c>
      <c r="BF28" s="539">
        <f t="shared" si="12"/>
        <v>1265000</v>
      </c>
      <c r="BG28" s="520">
        <v>55</v>
      </c>
      <c r="BH28" s="539">
        <f t="shared" si="13"/>
        <v>1265000</v>
      </c>
      <c r="BI28" s="520"/>
      <c r="BJ28" s="539"/>
      <c r="BK28" s="280">
        <f t="shared" ref="BK28:BK29" si="67">BI28+BG28+BE28+BC28+BA28+AY28+AW28+AU28+AS28+AQ28+AO28+AM28+AK28+AI28+AG28+AE28+AC28+AA28</f>
        <v>1000</v>
      </c>
      <c r="BL28" s="280">
        <f t="shared" ref="BL28:BL29" si="68">BJ28+BH28+BF28+BD28+BB28+AZ28+AX28+AV28+AT28+AR28+AP28+AN28+AL28+AJ28+AH28+AF28+AD28+AB28</f>
        <v>23000000</v>
      </c>
      <c r="BM28" s="519" t="s">
        <v>1219</v>
      </c>
      <c r="BO28" s="264"/>
      <c r="BP28" s="264"/>
      <c r="BQ28" s="264">
        <f t="shared" si="40"/>
        <v>23000000</v>
      </c>
      <c r="BR28" s="264"/>
      <c r="BS28" s="264">
        <f t="shared" si="41"/>
        <v>23000000</v>
      </c>
      <c r="BT28" s="264"/>
      <c r="BU28" s="264"/>
      <c r="BV28" s="264"/>
      <c r="BW28" s="280">
        <f t="shared" si="16"/>
        <v>23000000</v>
      </c>
    </row>
    <row r="29" spans="1:75" ht="26.25" customHeight="1" x14ac:dyDescent="0.25">
      <c r="A29" s="522"/>
      <c r="B29" s="549" t="s">
        <v>1220</v>
      </c>
      <c r="C29" s="520"/>
      <c r="D29" s="536" t="s">
        <v>1218</v>
      </c>
      <c r="E29" s="519" t="s">
        <v>238</v>
      </c>
      <c r="F29" s="526">
        <v>40000</v>
      </c>
      <c r="G29" s="520">
        <f t="shared" ref="G29" si="69">BK29</f>
        <v>30</v>
      </c>
      <c r="H29" s="537">
        <f>BL29</f>
        <v>1200000</v>
      </c>
      <c r="I29" s="537">
        <f>H29*0.1</f>
        <v>120000</v>
      </c>
      <c r="J29" s="537">
        <f>H29*0.8</f>
        <v>960000</v>
      </c>
      <c r="K29" s="537"/>
      <c r="L29" s="537"/>
      <c r="M29" s="537"/>
      <c r="N29" s="537"/>
      <c r="O29" s="537"/>
      <c r="P29" s="538"/>
      <c r="Q29" s="538">
        <f>H29*0.1</f>
        <v>120000</v>
      </c>
      <c r="R29" s="538"/>
      <c r="S29" s="547">
        <v>15</v>
      </c>
      <c r="T29" s="547">
        <v>15</v>
      </c>
      <c r="U29" s="547">
        <v>0</v>
      </c>
      <c r="V29" s="547">
        <v>0</v>
      </c>
      <c r="W29" s="535">
        <f t="shared" ref="W29" si="70">S29*F29</f>
        <v>600000</v>
      </c>
      <c r="X29" s="535">
        <f t="shared" ref="X29" si="71">T29*F29</f>
        <v>600000</v>
      </c>
      <c r="Y29" s="535">
        <f t="shared" ref="Y29" si="72">U29*F29</f>
        <v>0</v>
      </c>
      <c r="Z29" s="535">
        <f>V29*F29</f>
        <v>0</v>
      </c>
      <c r="AA29" s="520">
        <v>2</v>
      </c>
      <c r="AB29" s="539">
        <f t="shared" si="1"/>
        <v>80000</v>
      </c>
      <c r="AC29" s="520">
        <v>1</v>
      </c>
      <c r="AD29" s="539">
        <f t="shared" si="2"/>
        <v>40000</v>
      </c>
      <c r="AE29" s="520">
        <v>2</v>
      </c>
      <c r="AF29" s="539">
        <f t="shared" si="3"/>
        <v>80000</v>
      </c>
      <c r="AG29" s="520">
        <v>2</v>
      </c>
      <c r="AH29" s="539">
        <f t="shared" si="4"/>
        <v>80000</v>
      </c>
      <c r="AI29" s="520">
        <v>2</v>
      </c>
      <c r="AJ29" s="539">
        <f t="shared" si="5"/>
        <v>80000</v>
      </c>
      <c r="AK29" s="520">
        <v>1</v>
      </c>
      <c r="AL29" s="539">
        <f t="shared" si="6"/>
        <v>40000</v>
      </c>
      <c r="AM29" s="520">
        <v>2</v>
      </c>
      <c r="AN29" s="539">
        <f>AM29*F29</f>
        <v>80000</v>
      </c>
      <c r="AO29" s="520">
        <v>2</v>
      </c>
      <c r="AP29" s="539">
        <f t="shared" si="7"/>
        <v>80000</v>
      </c>
      <c r="AQ29" s="520">
        <v>1</v>
      </c>
      <c r="AR29" s="539">
        <f t="shared" si="35"/>
        <v>40000</v>
      </c>
      <c r="AS29" s="520">
        <v>2</v>
      </c>
      <c r="AT29" s="539">
        <f t="shared" si="36"/>
        <v>80000</v>
      </c>
      <c r="AU29" s="520">
        <v>2</v>
      </c>
      <c r="AV29" s="539">
        <f t="shared" si="8"/>
        <v>80000</v>
      </c>
      <c r="AW29" s="520">
        <v>1</v>
      </c>
      <c r="AX29" s="539">
        <f t="shared" si="9"/>
        <v>40000</v>
      </c>
      <c r="AY29" s="273">
        <v>2</v>
      </c>
      <c r="AZ29" s="539">
        <f t="shared" si="10"/>
        <v>80000</v>
      </c>
      <c r="BA29" s="273">
        <v>2</v>
      </c>
      <c r="BB29" s="539">
        <f t="shared" si="37"/>
        <v>80000</v>
      </c>
      <c r="BC29" s="520">
        <v>2</v>
      </c>
      <c r="BD29" s="539">
        <f t="shared" si="11"/>
        <v>80000</v>
      </c>
      <c r="BE29" s="520">
        <v>2</v>
      </c>
      <c r="BF29" s="539">
        <f t="shared" si="12"/>
        <v>80000</v>
      </c>
      <c r="BG29" s="520">
        <v>2</v>
      </c>
      <c r="BH29" s="539">
        <f t="shared" si="13"/>
        <v>80000</v>
      </c>
      <c r="BI29" s="520"/>
      <c r="BJ29" s="539"/>
      <c r="BK29" s="280">
        <f t="shared" si="67"/>
        <v>30</v>
      </c>
      <c r="BL29" s="280">
        <f t="shared" si="68"/>
        <v>1200000</v>
      </c>
      <c r="BM29" s="519" t="s">
        <v>1219</v>
      </c>
      <c r="BO29" s="264"/>
      <c r="BP29" s="264"/>
      <c r="BQ29" s="264">
        <f t="shared" si="40"/>
        <v>1200000</v>
      </c>
      <c r="BR29" s="264"/>
      <c r="BS29" s="264">
        <f t="shared" si="41"/>
        <v>1200000</v>
      </c>
      <c r="BT29" s="264"/>
      <c r="BU29" s="264"/>
      <c r="BV29" s="264"/>
      <c r="BW29" s="280">
        <f t="shared" si="16"/>
        <v>1200000</v>
      </c>
    </row>
    <row r="30" spans="1:75" ht="32.25" customHeight="1" x14ac:dyDescent="0.25">
      <c r="A30" s="522"/>
      <c r="B30" s="515"/>
      <c r="C30" s="520"/>
      <c r="D30" s="536" t="s">
        <v>915</v>
      </c>
      <c r="E30" s="519"/>
      <c r="F30" s="526"/>
      <c r="G30" s="537">
        <f>BK30</f>
        <v>0</v>
      </c>
      <c r="H30" s="537">
        <f>BL30</f>
        <v>0</v>
      </c>
      <c r="I30" s="537"/>
      <c r="J30" s="537"/>
      <c r="K30" s="537">
        <f>H30</f>
        <v>0</v>
      </c>
      <c r="L30" s="537"/>
      <c r="M30" s="537"/>
      <c r="N30" s="537"/>
      <c r="O30" s="537"/>
      <c r="P30" s="538"/>
      <c r="Q30" s="538"/>
      <c r="R30" s="538"/>
      <c r="S30" s="547"/>
      <c r="T30" s="547"/>
      <c r="U30" s="547"/>
      <c r="V30" s="547"/>
      <c r="W30" s="535"/>
      <c r="X30" s="535"/>
      <c r="Y30" s="535"/>
      <c r="Z30" s="535"/>
      <c r="AA30" s="520"/>
      <c r="AB30" s="539"/>
      <c r="AC30" s="520">
        <v>0</v>
      </c>
      <c r="AD30" s="539">
        <f t="shared" si="2"/>
        <v>0</v>
      </c>
      <c r="AE30" s="520">
        <v>0</v>
      </c>
      <c r="AF30" s="539">
        <f t="shared" si="3"/>
        <v>0</v>
      </c>
      <c r="AG30" s="520">
        <v>0</v>
      </c>
      <c r="AH30" s="539">
        <f t="shared" si="4"/>
        <v>0</v>
      </c>
      <c r="AI30" s="520"/>
      <c r="AJ30" s="539"/>
      <c r="AK30" s="520">
        <v>0</v>
      </c>
      <c r="AL30" s="539">
        <f t="shared" si="6"/>
        <v>0</v>
      </c>
      <c r="AM30" s="520"/>
      <c r="AN30" s="539"/>
      <c r="AO30" s="520"/>
      <c r="AP30" s="539"/>
      <c r="AQ30" s="520"/>
      <c r="AR30" s="539"/>
      <c r="AS30" s="520">
        <v>0</v>
      </c>
      <c r="AT30" s="539">
        <f t="shared" si="36"/>
        <v>0</v>
      </c>
      <c r="AU30" s="520">
        <v>0</v>
      </c>
      <c r="AV30" s="539">
        <f t="shared" si="8"/>
        <v>0</v>
      </c>
      <c r="AW30" s="520"/>
      <c r="AX30" s="539"/>
      <c r="AY30" s="273"/>
      <c r="AZ30" s="539"/>
      <c r="BA30" s="273"/>
      <c r="BB30" s="539"/>
      <c r="BC30" s="520"/>
      <c r="BD30" s="539"/>
      <c r="BE30" s="520">
        <v>0</v>
      </c>
      <c r="BF30" s="539">
        <f t="shared" si="12"/>
        <v>0</v>
      </c>
      <c r="BG30" s="520"/>
      <c r="BH30" s="539"/>
      <c r="BI30" s="520"/>
      <c r="BJ30" s="539"/>
      <c r="BK30" s="280">
        <f t="shared" ref="BK30" si="73">BI30+BG30+BE30+BC30+BA30+AY30+AW30+AU30+AS30+AQ30+AO30+AM30+AK30+AI30+AG30+AE30+AC30+AA30</f>
        <v>0</v>
      </c>
      <c r="BL30" s="280">
        <f t="shared" ref="BL30" si="74">BJ30+BH30+BF30+BD30+BB30+AZ30+AX30+AV30+AT30+AR30+AP30+AN30+AL30+AJ30+AH30+AF30+AD30+AB30</f>
        <v>0</v>
      </c>
      <c r="BM30" s="519" t="s">
        <v>518</v>
      </c>
      <c r="BO30" s="264"/>
      <c r="BP30" s="264"/>
      <c r="BQ30" s="264"/>
      <c r="BR30" s="264"/>
      <c r="BS30" s="264">
        <f t="shared" si="41"/>
        <v>0</v>
      </c>
      <c r="BT30" s="264"/>
      <c r="BU30" s="264"/>
      <c r="BV30" s="264"/>
      <c r="BW30" s="280">
        <f t="shared" si="16"/>
        <v>0</v>
      </c>
    </row>
    <row r="31" spans="1:75" ht="67.5" customHeight="1" x14ac:dyDescent="0.25">
      <c r="A31" s="522" t="s">
        <v>1215</v>
      </c>
      <c r="B31" s="548" t="s">
        <v>928</v>
      </c>
      <c r="C31" s="520"/>
      <c r="D31" s="536" t="s">
        <v>1143</v>
      </c>
      <c r="E31" s="519" t="s">
        <v>1237</v>
      </c>
      <c r="F31" s="526">
        <v>230000</v>
      </c>
      <c r="G31" s="520">
        <f t="shared" ref="G31:G32" si="75">BK31</f>
        <v>200</v>
      </c>
      <c r="H31" s="537">
        <f>G31*F31</f>
        <v>46000000</v>
      </c>
      <c r="I31" s="537"/>
      <c r="J31" s="537">
        <f>H31*0.5</f>
        <v>23000000</v>
      </c>
      <c r="K31" s="537"/>
      <c r="L31" s="537"/>
      <c r="M31" s="537"/>
      <c r="N31" s="537"/>
      <c r="O31" s="537">
        <f>H31*0.5</f>
        <v>23000000</v>
      </c>
      <c r="P31" s="538"/>
      <c r="Q31" s="538"/>
      <c r="R31" s="538"/>
      <c r="S31" s="547">
        <f t="shared" si="27"/>
        <v>50</v>
      </c>
      <c r="T31" s="547">
        <f t="shared" si="28"/>
        <v>50</v>
      </c>
      <c r="U31" s="547">
        <f t="shared" si="29"/>
        <v>50</v>
      </c>
      <c r="V31" s="547">
        <f t="shared" si="30"/>
        <v>50</v>
      </c>
      <c r="W31" s="535">
        <f t="shared" si="31"/>
        <v>11500000</v>
      </c>
      <c r="X31" s="535">
        <f t="shared" si="32"/>
        <v>11500000</v>
      </c>
      <c r="Y31" s="535">
        <f t="shared" si="33"/>
        <v>11500000</v>
      </c>
      <c r="Z31" s="535">
        <f t="shared" si="34"/>
        <v>11500000</v>
      </c>
      <c r="AA31" s="520">
        <v>10</v>
      </c>
      <c r="AB31" s="539">
        <f t="shared" si="1"/>
        <v>2300000</v>
      </c>
      <c r="AC31" s="520">
        <v>13</v>
      </c>
      <c r="AD31" s="539">
        <f t="shared" si="2"/>
        <v>2990000</v>
      </c>
      <c r="AE31" s="520">
        <v>5</v>
      </c>
      <c r="AF31" s="539">
        <f t="shared" si="3"/>
        <v>1150000</v>
      </c>
      <c r="AG31" s="520">
        <v>11</v>
      </c>
      <c r="AH31" s="539">
        <f t="shared" si="4"/>
        <v>2530000</v>
      </c>
      <c r="AI31" s="520">
        <v>6</v>
      </c>
      <c r="AJ31" s="539">
        <f t="shared" si="5"/>
        <v>1380000</v>
      </c>
      <c r="AK31" s="520">
        <v>13</v>
      </c>
      <c r="AL31" s="539">
        <f t="shared" si="6"/>
        <v>2990000</v>
      </c>
      <c r="AM31" s="520">
        <v>10</v>
      </c>
      <c r="AN31" s="539">
        <f t="shared" ref="AN31:AN41" si="76">AM31*F31</f>
        <v>2300000</v>
      </c>
      <c r="AO31" s="520">
        <v>10</v>
      </c>
      <c r="AP31" s="539">
        <f t="shared" si="7"/>
        <v>2300000</v>
      </c>
      <c r="AQ31" s="520">
        <v>12</v>
      </c>
      <c r="AR31" s="539">
        <f t="shared" si="35"/>
        <v>2760000</v>
      </c>
      <c r="AS31" s="520">
        <v>21</v>
      </c>
      <c r="AT31" s="539">
        <f t="shared" si="36"/>
        <v>4830000</v>
      </c>
      <c r="AU31" s="520">
        <v>23</v>
      </c>
      <c r="AV31" s="539">
        <f t="shared" si="8"/>
        <v>5290000</v>
      </c>
      <c r="AW31" s="520">
        <v>10</v>
      </c>
      <c r="AX31" s="539">
        <f t="shared" si="9"/>
        <v>2300000</v>
      </c>
      <c r="AY31" s="273">
        <v>15</v>
      </c>
      <c r="AZ31" s="539">
        <f t="shared" si="10"/>
        <v>3450000</v>
      </c>
      <c r="BA31" s="273">
        <v>11</v>
      </c>
      <c r="BB31" s="539">
        <f t="shared" si="37"/>
        <v>2530000</v>
      </c>
      <c r="BC31" s="520">
        <v>10</v>
      </c>
      <c r="BD31" s="539">
        <f t="shared" si="11"/>
        <v>2300000</v>
      </c>
      <c r="BE31" s="520">
        <v>10</v>
      </c>
      <c r="BF31" s="539">
        <f t="shared" si="12"/>
        <v>2300000</v>
      </c>
      <c r="BG31" s="520">
        <v>10</v>
      </c>
      <c r="BH31" s="539">
        <f t="shared" si="13"/>
        <v>2300000</v>
      </c>
      <c r="BI31" s="520"/>
      <c r="BJ31" s="539"/>
      <c r="BK31" s="280">
        <f t="shared" si="38"/>
        <v>200</v>
      </c>
      <c r="BL31" s="280">
        <f t="shared" si="39"/>
        <v>46000000</v>
      </c>
      <c r="BM31" s="519" t="s">
        <v>1184</v>
      </c>
      <c r="BO31" s="264"/>
      <c r="BP31" s="264"/>
      <c r="BQ31" s="264">
        <f t="shared" si="40"/>
        <v>46000000</v>
      </c>
      <c r="BR31" s="264"/>
      <c r="BS31" s="264">
        <f t="shared" si="41"/>
        <v>46000000</v>
      </c>
      <c r="BT31" s="264"/>
      <c r="BU31" s="264"/>
      <c r="BV31" s="264"/>
      <c r="BW31" s="280">
        <f t="shared" si="16"/>
        <v>46000000</v>
      </c>
    </row>
    <row r="32" spans="1:75" ht="38.25" x14ac:dyDescent="0.25">
      <c r="A32" s="522"/>
      <c r="B32" s="515"/>
      <c r="C32" s="520"/>
      <c r="D32" s="536" t="s">
        <v>1142</v>
      </c>
      <c r="E32" s="519" t="s">
        <v>519</v>
      </c>
      <c r="F32" s="526">
        <v>230000</v>
      </c>
      <c r="G32" s="520">
        <f t="shared" si="75"/>
        <v>0</v>
      </c>
      <c r="H32" s="537">
        <f>G32*F32</f>
        <v>0</v>
      </c>
      <c r="I32" s="537"/>
      <c r="J32" s="537"/>
      <c r="K32" s="537"/>
      <c r="L32" s="537"/>
      <c r="M32" s="537">
        <f>H32*0.5</f>
        <v>0</v>
      </c>
      <c r="N32" s="537"/>
      <c r="O32" s="537">
        <f>H32*0.5</f>
        <v>0</v>
      </c>
      <c r="P32" s="538"/>
      <c r="Q32" s="538"/>
      <c r="R32" s="538"/>
      <c r="S32" s="547"/>
      <c r="T32" s="547"/>
      <c r="U32" s="547"/>
      <c r="V32" s="547">
        <v>0</v>
      </c>
      <c r="W32" s="535"/>
      <c r="X32" s="535"/>
      <c r="Y32" s="535"/>
      <c r="Z32" s="535">
        <f>H32</f>
        <v>0</v>
      </c>
      <c r="AA32" s="520">
        <v>0</v>
      </c>
      <c r="AB32" s="539">
        <f t="shared" ref="AB32:AB33" si="77">AA32*F32</f>
        <v>0</v>
      </c>
      <c r="AC32" s="520">
        <v>0</v>
      </c>
      <c r="AD32" s="539">
        <f t="shared" ref="AD32:AD33" si="78">AC32*F32</f>
        <v>0</v>
      </c>
      <c r="AE32" s="520">
        <v>0</v>
      </c>
      <c r="AF32" s="539">
        <f t="shared" ref="AF32:AF33" si="79">AE32*F32</f>
        <v>0</v>
      </c>
      <c r="AG32" s="520">
        <v>0</v>
      </c>
      <c r="AH32" s="539">
        <f t="shared" ref="AH32:AH33" si="80">AG32*F32</f>
        <v>0</v>
      </c>
      <c r="AI32" s="520">
        <v>0</v>
      </c>
      <c r="AJ32" s="539">
        <f t="shared" ref="AJ32:AJ33" si="81">AI32*F32</f>
        <v>0</v>
      </c>
      <c r="AK32" s="520">
        <v>0</v>
      </c>
      <c r="AL32" s="539">
        <f t="shared" ref="AL32:AL33" si="82">AK32*F32</f>
        <v>0</v>
      </c>
      <c r="AM32" s="520">
        <v>0</v>
      </c>
      <c r="AN32" s="539">
        <v>0</v>
      </c>
      <c r="AO32" s="520">
        <v>0</v>
      </c>
      <c r="AP32" s="539">
        <f t="shared" si="7"/>
        <v>0</v>
      </c>
      <c r="AQ32" s="520">
        <v>0</v>
      </c>
      <c r="AR32" s="539">
        <f t="shared" si="35"/>
        <v>0</v>
      </c>
      <c r="AS32" s="520">
        <v>0</v>
      </c>
      <c r="AT32" s="539">
        <f t="shared" si="36"/>
        <v>0</v>
      </c>
      <c r="AU32" s="520">
        <v>0</v>
      </c>
      <c r="AV32" s="539">
        <f t="shared" si="8"/>
        <v>0</v>
      </c>
      <c r="AW32" s="520">
        <v>0</v>
      </c>
      <c r="AX32" s="539">
        <f t="shared" si="9"/>
        <v>0</v>
      </c>
      <c r="AY32" s="273">
        <v>0</v>
      </c>
      <c r="AZ32" s="539">
        <f t="shared" ref="AZ32:AZ33" si="83">AY32*F32</f>
        <v>0</v>
      </c>
      <c r="BA32" s="273">
        <v>0</v>
      </c>
      <c r="BB32" s="539">
        <f t="shared" ref="BB32:BB33" si="84">BA32*F32</f>
        <v>0</v>
      </c>
      <c r="BC32" s="520">
        <v>0</v>
      </c>
      <c r="BD32" s="539">
        <f t="shared" ref="BD32:BD33" si="85">BC32*F32</f>
        <v>0</v>
      </c>
      <c r="BE32" s="520">
        <v>0</v>
      </c>
      <c r="BF32" s="539">
        <f t="shared" ref="BF32:BF33" si="86">BE32*F32</f>
        <v>0</v>
      </c>
      <c r="BG32" s="520">
        <v>0</v>
      </c>
      <c r="BH32" s="539">
        <f t="shared" ref="BH32:BH33" si="87">BG32*F32</f>
        <v>0</v>
      </c>
      <c r="BI32" s="520"/>
      <c r="BJ32" s="539"/>
      <c r="BK32" s="280">
        <f t="shared" ref="BK32:BK33" si="88">BI32+BG32+BE32+BC32+BA32+AY32+AW32+AU32+AS32+AQ32+AO32+AM32+AK32+AI32+AG32+AE32+AC32+AA32</f>
        <v>0</v>
      </c>
      <c r="BL32" s="280">
        <f t="shared" ref="BL32:BL33" si="89">BJ32+BH32+BF32+BD32+BB32+AZ32+AX32+AV32+AT32+AR32+AP32+AN32+AL32+AJ32+AH32+AF32+AD32+AB32</f>
        <v>0</v>
      </c>
      <c r="BM32" s="519" t="s">
        <v>888</v>
      </c>
      <c r="BO32" s="264"/>
      <c r="BP32" s="264"/>
      <c r="BQ32" s="264">
        <f>H32</f>
        <v>0</v>
      </c>
      <c r="BR32" s="264"/>
      <c r="BS32" s="264">
        <f t="shared" si="41"/>
        <v>0</v>
      </c>
      <c r="BT32" s="264"/>
      <c r="BU32" s="264"/>
      <c r="BV32" s="264"/>
      <c r="BW32" s="280">
        <f t="shared" si="16"/>
        <v>0</v>
      </c>
    </row>
    <row r="33" spans="1:75" ht="23.25" customHeight="1" x14ac:dyDescent="0.25">
      <c r="A33" s="522" t="s">
        <v>1217</v>
      </c>
      <c r="B33" s="548" t="s">
        <v>928</v>
      </c>
      <c r="C33" s="520"/>
      <c r="D33" s="536" t="s">
        <v>1163</v>
      </c>
      <c r="E33" s="519" t="s">
        <v>238</v>
      </c>
      <c r="F33" s="526">
        <v>9000</v>
      </c>
      <c r="G33" s="520">
        <f t="shared" ref="G33" si="90">BK33</f>
        <v>0</v>
      </c>
      <c r="H33" s="537">
        <f>G33*F33</f>
        <v>0</v>
      </c>
      <c r="I33" s="537">
        <f>H33*0</f>
        <v>0</v>
      </c>
      <c r="J33" s="537">
        <f>H33*0.9</f>
        <v>0</v>
      </c>
      <c r="K33" s="537"/>
      <c r="L33" s="537"/>
      <c r="M33" s="537"/>
      <c r="N33" s="537"/>
      <c r="O33" s="537">
        <f>H33*0</f>
        <v>0</v>
      </c>
      <c r="P33" s="538"/>
      <c r="Q33" s="538">
        <f>H33*0.1</f>
        <v>0</v>
      </c>
      <c r="R33" s="538"/>
      <c r="S33" s="547">
        <f t="shared" ref="S33" si="91">G33*0.25</f>
        <v>0</v>
      </c>
      <c r="T33" s="547">
        <f t="shared" ref="T33" si="92">G33*0.25</f>
        <v>0</v>
      </c>
      <c r="U33" s="547">
        <f t="shared" ref="U33" si="93">G33*0.25</f>
        <v>0</v>
      </c>
      <c r="V33" s="547">
        <f t="shared" ref="V33" si="94">G33*0.25</f>
        <v>0</v>
      </c>
      <c r="W33" s="535">
        <f t="shared" ref="W33" si="95">S33*F33</f>
        <v>0</v>
      </c>
      <c r="X33" s="535">
        <f t="shared" ref="X33" si="96">T33*F33</f>
        <v>0</v>
      </c>
      <c r="Y33" s="535">
        <f t="shared" ref="Y33" si="97">U33*F33</f>
        <v>0</v>
      </c>
      <c r="Z33" s="535">
        <f t="shared" ref="Z33" si="98">V33*F33</f>
        <v>0</v>
      </c>
      <c r="AA33" s="520">
        <v>0</v>
      </c>
      <c r="AB33" s="539">
        <f t="shared" si="77"/>
        <v>0</v>
      </c>
      <c r="AC33" s="520">
        <v>0</v>
      </c>
      <c r="AD33" s="539">
        <f t="shared" si="78"/>
        <v>0</v>
      </c>
      <c r="AE33" s="520">
        <v>0</v>
      </c>
      <c r="AF33" s="539">
        <f t="shared" si="79"/>
        <v>0</v>
      </c>
      <c r="AG33" s="520">
        <v>0</v>
      </c>
      <c r="AH33" s="539">
        <f t="shared" si="80"/>
        <v>0</v>
      </c>
      <c r="AI33" s="520">
        <v>0</v>
      </c>
      <c r="AJ33" s="539">
        <f t="shared" si="81"/>
        <v>0</v>
      </c>
      <c r="AK33" s="520">
        <v>0</v>
      </c>
      <c r="AL33" s="539">
        <f t="shared" si="82"/>
        <v>0</v>
      </c>
      <c r="AM33" s="520">
        <v>0</v>
      </c>
      <c r="AN33" s="539">
        <f t="shared" ref="AN33" si="99">AM33*F33</f>
        <v>0</v>
      </c>
      <c r="AO33" s="520">
        <v>0</v>
      </c>
      <c r="AP33" s="539">
        <f t="shared" ref="AP33" si="100">AO33*F33</f>
        <v>0</v>
      </c>
      <c r="AQ33" s="520">
        <v>0</v>
      </c>
      <c r="AR33" s="539">
        <f t="shared" ref="AR33" si="101">AQ33*F33</f>
        <v>0</v>
      </c>
      <c r="AS33" s="520">
        <v>0</v>
      </c>
      <c r="AT33" s="539">
        <f t="shared" ref="AT33" si="102">AS33*F33</f>
        <v>0</v>
      </c>
      <c r="AU33" s="520">
        <v>0</v>
      </c>
      <c r="AV33" s="539">
        <f t="shared" ref="AV33" si="103">AU33*F33</f>
        <v>0</v>
      </c>
      <c r="AW33" s="520">
        <v>0</v>
      </c>
      <c r="AX33" s="539">
        <f t="shared" ref="AX33" si="104">AW33*F33</f>
        <v>0</v>
      </c>
      <c r="AY33" s="273">
        <v>0</v>
      </c>
      <c r="AZ33" s="539">
        <f t="shared" si="83"/>
        <v>0</v>
      </c>
      <c r="BA33" s="273">
        <v>0</v>
      </c>
      <c r="BB33" s="539">
        <f t="shared" si="84"/>
        <v>0</v>
      </c>
      <c r="BC33" s="520">
        <v>0</v>
      </c>
      <c r="BD33" s="539">
        <f t="shared" si="85"/>
        <v>0</v>
      </c>
      <c r="BE33" s="520">
        <v>0</v>
      </c>
      <c r="BF33" s="539">
        <f t="shared" si="86"/>
        <v>0</v>
      </c>
      <c r="BG33" s="520">
        <v>0</v>
      </c>
      <c r="BH33" s="539">
        <f t="shared" si="87"/>
        <v>0</v>
      </c>
      <c r="BI33" s="520"/>
      <c r="BJ33" s="539"/>
      <c r="BK33" s="280">
        <f t="shared" si="88"/>
        <v>0</v>
      </c>
      <c r="BL33" s="280">
        <f t="shared" si="89"/>
        <v>0</v>
      </c>
      <c r="BM33" s="519" t="s">
        <v>1164</v>
      </c>
      <c r="BO33" s="264"/>
      <c r="BP33" s="264"/>
      <c r="BQ33" s="264">
        <f t="shared" ref="BQ33" si="105">H33</f>
        <v>0</v>
      </c>
      <c r="BR33" s="264"/>
      <c r="BS33" s="264">
        <f t="shared" ref="BS33" si="106">BO33+BP33+BQ33+BR33</f>
        <v>0</v>
      </c>
      <c r="BT33" s="264"/>
      <c r="BU33" s="264"/>
      <c r="BV33" s="264"/>
      <c r="BW33" s="280">
        <f t="shared" ref="BW33" si="107">BS33+BV33</f>
        <v>0</v>
      </c>
    </row>
    <row r="34" spans="1:75" ht="29.25" customHeight="1" x14ac:dyDescent="0.25">
      <c r="A34" s="522" t="s">
        <v>1215</v>
      </c>
      <c r="B34" s="548" t="s">
        <v>928</v>
      </c>
      <c r="C34" s="520"/>
      <c r="D34" s="536" t="s">
        <v>1165</v>
      </c>
      <c r="E34" s="519" t="s">
        <v>238</v>
      </c>
      <c r="F34" s="526">
        <v>8000</v>
      </c>
      <c r="G34" s="520">
        <f t="shared" ref="G34" si="108">BK34</f>
        <v>0</v>
      </c>
      <c r="H34" s="537">
        <f>G34*F34</f>
        <v>0</v>
      </c>
      <c r="I34" s="537">
        <f>H34*0.2</f>
        <v>0</v>
      </c>
      <c r="J34" s="537">
        <f>H34*0.8</f>
        <v>0</v>
      </c>
      <c r="K34" s="537"/>
      <c r="L34" s="537"/>
      <c r="M34" s="537"/>
      <c r="N34" s="537"/>
      <c r="O34" s="537">
        <f>H34*0</f>
        <v>0</v>
      </c>
      <c r="P34" s="538"/>
      <c r="Q34" s="538"/>
      <c r="R34" s="538"/>
      <c r="S34" s="547">
        <f t="shared" ref="S34" si="109">G34*0.25</f>
        <v>0</v>
      </c>
      <c r="T34" s="547">
        <f t="shared" ref="T34" si="110">G34*0.25</f>
        <v>0</v>
      </c>
      <c r="U34" s="547">
        <f t="shared" ref="U34" si="111">G34*0.25</f>
        <v>0</v>
      </c>
      <c r="V34" s="547">
        <f t="shared" ref="V34" si="112">G34*0.25</f>
        <v>0</v>
      </c>
      <c r="W34" s="535">
        <f t="shared" ref="W34" si="113">S34*F34</f>
        <v>0</v>
      </c>
      <c r="X34" s="535">
        <f t="shared" ref="X34" si="114">T34*F34</f>
        <v>0</v>
      </c>
      <c r="Y34" s="535">
        <f t="shared" ref="Y34" si="115">U34*F34</f>
        <v>0</v>
      </c>
      <c r="Z34" s="535">
        <f t="shared" ref="Z34" si="116">V34*F34</f>
        <v>0</v>
      </c>
      <c r="AA34" s="520">
        <v>0</v>
      </c>
      <c r="AB34" s="539">
        <f t="shared" ref="AB34" si="117">AA34*F34</f>
        <v>0</v>
      </c>
      <c r="AC34" s="520">
        <v>0</v>
      </c>
      <c r="AD34" s="539">
        <f t="shared" ref="AD34" si="118">AC34*F34</f>
        <v>0</v>
      </c>
      <c r="AE34" s="520">
        <v>0</v>
      </c>
      <c r="AF34" s="539">
        <f t="shared" ref="AF34" si="119">AE34*F34</f>
        <v>0</v>
      </c>
      <c r="AG34" s="520">
        <v>0</v>
      </c>
      <c r="AH34" s="539">
        <f t="shared" ref="AH34" si="120">AG34*F34</f>
        <v>0</v>
      </c>
      <c r="AI34" s="520">
        <v>0</v>
      </c>
      <c r="AJ34" s="539">
        <f t="shared" ref="AJ34" si="121">AI34*F34</f>
        <v>0</v>
      </c>
      <c r="AK34" s="520">
        <v>0</v>
      </c>
      <c r="AL34" s="539">
        <f t="shared" ref="AL34" si="122">AK34*F34</f>
        <v>0</v>
      </c>
      <c r="AM34" s="520">
        <v>0</v>
      </c>
      <c r="AN34" s="539">
        <f t="shared" ref="AN34" si="123">AM34*F34</f>
        <v>0</v>
      </c>
      <c r="AO34" s="520">
        <v>0</v>
      </c>
      <c r="AP34" s="539">
        <f t="shared" ref="AP34" si="124">AO34*F34</f>
        <v>0</v>
      </c>
      <c r="AQ34" s="520">
        <v>0</v>
      </c>
      <c r="AR34" s="539">
        <f t="shared" ref="AR34" si="125">AQ34*F34</f>
        <v>0</v>
      </c>
      <c r="AS34" s="520">
        <v>0</v>
      </c>
      <c r="AT34" s="539">
        <f t="shared" ref="AT34" si="126">AS34*F34</f>
        <v>0</v>
      </c>
      <c r="AU34" s="520">
        <v>0</v>
      </c>
      <c r="AV34" s="539">
        <f t="shared" ref="AV34" si="127">AU34*F34</f>
        <v>0</v>
      </c>
      <c r="AW34" s="520">
        <v>0</v>
      </c>
      <c r="AX34" s="539">
        <f t="shared" ref="AX34" si="128">AW34*F34</f>
        <v>0</v>
      </c>
      <c r="AY34" s="273">
        <v>0</v>
      </c>
      <c r="AZ34" s="539">
        <f t="shared" ref="AZ34" si="129">AY34*F34</f>
        <v>0</v>
      </c>
      <c r="BA34" s="273">
        <v>0</v>
      </c>
      <c r="BB34" s="539">
        <f t="shared" ref="BB34" si="130">BA34*F34</f>
        <v>0</v>
      </c>
      <c r="BC34" s="520">
        <v>0</v>
      </c>
      <c r="BD34" s="539">
        <f t="shared" ref="BD34" si="131">BC34*F34</f>
        <v>0</v>
      </c>
      <c r="BE34" s="520">
        <v>0</v>
      </c>
      <c r="BF34" s="539">
        <f t="shared" ref="BF34" si="132">BE34*F34</f>
        <v>0</v>
      </c>
      <c r="BG34" s="520">
        <v>0</v>
      </c>
      <c r="BH34" s="539">
        <f t="shared" ref="BH34" si="133">BG34*F34</f>
        <v>0</v>
      </c>
      <c r="BI34" s="520"/>
      <c r="BJ34" s="539"/>
      <c r="BK34" s="280">
        <f t="shared" ref="BK34" si="134">BI34+BG34+BE34+BC34+BA34+AY34+AW34+AU34+AS34+AQ34+AO34+AM34+AK34+AI34+AG34+AE34+AC34+AA34</f>
        <v>0</v>
      </c>
      <c r="BL34" s="280">
        <f t="shared" ref="BL34" si="135">BJ34+BH34+BF34+BD34+BB34+AZ34+AX34+AV34+AT34+AR34+AP34+AN34+AL34+AJ34+AH34+AF34+AD34+AB34</f>
        <v>0</v>
      </c>
      <c r="BM34" s="519" t="s">
        <v>1164</v>
      </c>
      <c r="BO34" s="264"/>
      <c r="BP34" s="264">
        <f>H34</f>
        <v>0</v>
      </c>
      <c r="BQ34" s="264">
        <v>0</v>
      </c>
      <c r="BR34" s="264"/>
      <c r="BS34" s="264">
        <f t="shared" ref="BS34" si="136">BO34+BP34+BQ34+BR34</f>
        <v>0</v>
      </c>
      <c r="BT34" s="264"/>
      <c r="BU34" s="264"/>
      <c r="BV34" s="264"/>
      <c r="BW34" s="280">
        <f t="shared" ref="BW34" si="137">BS34+BV34</f>
        <v>0</v>
      </c>
    </row>
    <row r="35" spans="1:75" ht="25.5" x14ac:dyDescent="0.25">
      <c r="A35" s="522"/>
      <c r="B35" s="273"/>
      <c r="C35" s="273"/>
      <c r="D35" s="536" t="s">
        <v>595</v>
      </c>
      <c r="E35" s="519" t="s">
        <v>238</v>
      </c>
      <c r="F35" s="526">
        <v>140000</v>
      </c>
      <c r="G35" s="520">
        <f t="shared" si="63"/>
        <v>0</v>
      </c>
      <c r="H35" s="537">
        <f t="shared" ref="G35:H39" si="138">BL35</f>
        <v>0</v>
      </c>
      <c r="I35" s="537"/>
      <c r="J35" s="537"/>
      <c r="K35" s="537">
        <f>H35</f>
        <v>0</v>
      </c>
      <c r="L35" s="537"/>
      <c r="M35" s="537"/>
      <c r="N35" s="537"/>
      <c r="O35" s="537"/>
      <c r="P35" s="538"/>
      <c r="Q35" s="538"/>
      <c r="R35" s="538"/>
      <c r="S35" s="547">
        <f t="shared" si="27"/>
        <v>0</v>
      </c>
      <c r="T35" s="547">
        <f t="shared" si="28"/>
        <v>0</v>
      </c>
      <c r="U35" s="547">
        <f t="shared" si="29"/>
        <v>0</v>
      </c>
      <c r="V35" s="547">
        <f t="shared" si="30"/>
        <v>0</v>
      </c>
      <c r="W35" s="535">
        <f t="shared" si="31"/>
        <v>0</v>
      </c>
      <c r="X35" s="535">
        <f t="shared" si="32"/>
        <v>0</v>
      </c>
      <c r="Y35" s="535">
        <f t="shared" si="33"/>
        <v>0</v>
      </c>
      <c r="Z35" s="535">
        <v>0</v>
      </c>
      <c r="AA35" s="520">
        <v>0</v>
      </c>
      <c r="AB35" s="539">
        <f>AA35*F35</f>
        <v>0</v>
      </c>
      <c r="AC35" s="520">
        <v>0</v>
      </c>
      <c r="AD35" s="539">
        <f>AC35*F35</f>
        <v>0</v>
      </c>
      <c r="AE35" s="520">
        <v>0</v>
      </c>
      <c r="AF35" s="539">
        <f>AE35*F35</f>
        <v>0</v>
      </c>
      <c r="AG35" s="520">
        <v>0</v>
      </c>
      <c r="AH35" s="539">
        <f>AG35*F35</f>
        <v>0</v>
      </c>
      <c r="AI35" s="520">
        <v>0</v>
      </c>
      <c r="AJ35" s="539">
        <f>AI35*F35</f>
        <v>0</v>
      </c>
      <c r="AK35" s="520">
        <v>0</v>
      </c>
      <c r="AL35" s="539">
        <f>AK35*F35</f>
        <v>0</v>
      </c>
      <c r="AM35" s="520">
        <v>0</v>
      </c>
      <c r="AN35" s="539">
        <f>AM35*F35</f>
        <v>0</v>
      </c>
      <c r="AO35" s="520">
        <v>0</v>
      </c>
      <c r="AP35" s="539">
        <f t="shared" si="7"/>
        <v>0</v>
      </c>
      <c r="AQ35" s="520">
        <v>0</v>
      </c>
      <c r="AR35" s="539">
        <f>AQ35*F35</f>
        <v>0</v>
      </c>
      <c r="AS35" s="520">
        <v>0</v>
      </c>
      <c r="AT35" s="539">
        <f>AS35*F35</f>
        <v>0</v>
      </c>
      <c r="AU35" s="520">
        <v>0</v>
      </c>
      <c r="AV35" s="539">
        <f>AU35*F35</f>
        <v>0</v>
      </c>
      <c r="AW35" s="520">
        <v>0</v>
      </c>
      <c r="AX35" s="539">
        <f>AW35*F35</f>
        <v>0</v>
      </c>
      <c r="AY35" s="273">
        <v>0</v>
      </c>
      <c r="AZ35" s="539">
        <f>AY35*F35</f>
        <v>0</v>
      </c>
      <c r="BA35" s="273">
        <v>0</v>
      </c>
      <c r="BB35" s="539">
        <f>BA35*F35</f>
        <v>0</v>
      </c>
      <c r="BC35" s="520">
        <v>0</v>
      </c>
      <c r="BD35" s="539">
        <f>BC35*F35</f>
        <v>0</v>
      </c>
      <c r="BE35" s="520">
        <v>0</v>
      </c>
      <c r="BF35" s="539">
        <f>BE35*F35</f>
        <v>0</v>
      </c>
      <c r="BG35" s="520">
        <v>0</v>
      </c>
      <c r="BH35" s="539">
        <f>BG35*F35</f>
        <v>0</v>
      </c>
      <c r="BI35" s="520"/>
      <c r="BJ35" s="539"/>
      <c r="BK35" s="280">
        <f t="shared" si="38"/>
        <v>0</v>
      </c>
      <c r="BL35" s="280">
        <f t="shared" si="39"/>
        <v>0</v>
      </c>
      <c r="BM35" s="519" t="s">
        <v>516</v>
      </c>
      <c r="BO35" s="264"/>
      <c r="BP35" s="264"/>
      <c r="BQ35" s="264">
        <f t="shared" si="40"/>
        <v>0</v>
      </c>
      <c r="BR35" s="264"/>
      <c r="BS35" s="264">
        <f t="shared" si="41"/>
        <v>0</v>
      </c>
      <c r="BT35" s="264"/>
      <c r="BU35" s="264"/>
      <c r="BV35" s="264"/>
      <c r="BW35" s="280">
        <f t="shared" si="16"/>
        <v>0</v>
      </c>
    </row>
    <row r="36" spans="1:75" ht="54" customHeight="1" x14ac:dyDescent="0.25">
      <c r="A36" s="522"/>
      <c r="B36" s="273"/>
      <c r="C36" s="273"/>
      <c r="D36" s="536" t="s">
        <v>891</v>
      </c>
      <c r="E36" s="519" t="s">
        <v>307</v>
      </c>
      <c r="F36" s="526">
        <v>4000</v>
      </c>
      <c r="G36" s="520">
        <f t="shared" si="63"/>
        <v>0</v>
      </c>
      <c r="H36" s="537">
        <f t="shared" si="138"/>
        <v>0</v>
      </c>
      <c r="I36" s="537"/>
      <c r="J36" s="537"/>
      <c r="K36" s="537"/>
      <c r="L36" s="537"/>
      <c r="M36" s="537">
        <f>H36*0.8</f>
        <v>0</v>
      </c>
      <c r="N36" s="537"/>
      <c r="O36" s="537"/>
      <c r="P36" s="538"/>
      <c r="Q36" s="538">
        <f>H36*0.2</f>
        <v>0</v>
      </c>
      <c r="R36" s="538"/>
      <c r="S36" s="547">
        <f t="shared" si="27"/>
        <v>0</v>
      </c>
      <c r="T36" s="547">
        <f t="shared" si="28"/>
        <v>0</v>
      </c>
      <c r="U36" s="547">
        <f t="shared" si="29"/>
        <v>0</v>
      </c>
      <c r="V36" s="547">
        <f t="shared" si="30"/>
        <v>0</v>
      </c>
      <c r="W36" s="535">
        <f t="shared" si="31"/>
        <v>0</v>
      </c>
      <c r="X36" s="535">
        <f t="shared" si="32"/>
        <v>0</v>
      </c>
      <c r="Y36" s="535">
        <f t="shared" si="33"/>
        <v>0</v>
      </c>
      <c r="Z36" s="535">
        <f t="shared" si="34"/>
        <v>0</v>
      </c>
      <c r="AA36" s="520">
        <v>0</v>
      </c>
      <c r="AB36" s="539">
        <f t="shared" si="1"/>
        <v>0</v>
      </c>
      <c r="AC36" s="520">
        <v>0</v>
      </c>
      <c r="AD36" s="539">
        <f t="shared" si="2"/>
        <v>0</v>
      </c>
      <c r="AE36" s="520">
        <v>0</v>
      </c>
      <c r="AF36" s="539">
        <f t="shared" si="3"/>
        <v>0</v>
      </c>
      <c r="AG36" s="520">
        <v>0</v>
      </c>
      <c r="AH36" s="539">
        <f t="shared" si="4"/>
        <v>0</v>
      </c>
      <c r="AI36" s="520">
        <v>0</v>
      </c>
      <c r="AJ36" s="539">
        <f t="shared" si="5"/>
        <v>0</v>
      </c>
      <c r="AK36" s="520">
        <v>0</v>
      </c>
      <c r="AL36" s="539">
        <f t="shared" si="6"/>
        <v>0</v>
      </c>
      <c r="AM36" s="520">
        <v>0</v>
      </c>
      <c r="AN36" s="539">
        <f t="shared" si="76"/>
        <v>0</v>
      </c>
      <c r="AO36" s="520">
        <v>0</v>
      </c>
      <c r="AP36" s="539">
        <f t="shared" si="7"/>
        <v>0</v>
      </c>
      <c r="AQ36" s="520">
        <v>0</v>
      </c>
      <c r="AR36" s="539">
        <f t="shared" si="35"/>
        <v>0</v>
      </c>
      <c r="AS36" s="520">
        <v>0</v>
      </c>
      <c r="AT36" s="539">
        <f t="shared" si="36"/>
        <v>0</v>
      </c>
      <c r="AU36" s="520">
        <v>0</v>
      </c>
      <c r="AV36" s="539">
        <f t="shared" si="8"/>
        <v>0</v>
      </c>
      <c r="AW36" s="520">
        <v>0</v>
      </c>
      <c r="AX36" s="539">
        <f t="shared" si="9"/>
        <v>0</v>
      </c>
      <c r="AY36" s="273">
        <v>0</v>
      </c>
      <c r="AZ36" s="539">
        <f t="shared" si="10"/>
        <v>0</v>
      </c>
      <c r="BA36" s="273">
        <v>0</v>
      </c>
      <c r="BB36" s="539">
        <f t="shared" si="37"/>
        <v>0</v>
      </c>
      <c r="BC36" s="520">
        <v>0</v>
      </c>
      <c r="BD36" s="539">
        <f t="shared" si="11"/>
        <v>0</v>
      </c>
      <c r="BE36" s="520">
        <v>0</v>
      </c>
      <c r="BF36" s="539">
        <f t="shared" si="12"/>
        <v>0</v>
      </c>
      <c r="BG36" s="520">
        <v>0</v>
      </c>
      <c r="BH36" s="539">
        <f t="shared" si="13"/>
        <v>0</v>
      </c>
      <c r="BI36" s="520">
        <v>0</v>
      </c>
      <c r="BJ36" s="539">
        <f t="shared" si="14"/>
        <v>0</v>
      </c>
      <c r="BK36" s="280">
        <f t="shared" si="38"/>
        <v>0</v>
      </c>
      <c r="BL36" s="280">
        <f t="shared" si="39"/>
        <v>0</v>
      </c>
      <c r="BM36" s="519" t="s">
        <v>515</v>
      </c>
      <c r="BO36" s="264"/>
      <c r="BP36" s="264"/>
      <c r="BQ36" s="264">
        <f t="shared" si="40"/>
        <v>0</v>
      </c>
      <c r="BR36" s="264"/>
      <c r="BS36" s="264">
        <f t="shared" si="41"/>
        <v>0</v>
      </c>
      <c r="BT36" s="264"/>
      <c r="BU36" s="264"/>
      <c r="BV36" s="264"/>
      <c r="BW36" s="280">
        <f t="shared" si="16"/>
        <v>0</v>
      </c>
    </row>
    <row r="37" spans="1:75" ht="38.25" customHeight="1" x14ac:dyDescent="0.25">
      <c r="A37" s="522"/>
      <c r="B37" s="273"/>
      <c r="C37" s="273"/>
      <c r="D37" s="536" t="s">
        <v>940</v>
      </c>
      <c r="E37" s="519" t="s">
        <v>884</v>
      </c>
      <c r="F37" s="526">
        <v>1800</v>
      </c>
      <c r="G37" s="537">
        <f t="shared" si="138"/>
        <v>0</v>
      </c>
      <c r="H37" s="537">
        <f t="shared" si="138"/>
        <v>0</v>
      </c>
      <c r="I37" s="537">
        <f>H37*0.2</f>
        <v>0</v>
      </c>
      <c r="J37" s="537">
        <f>H37*0.8</f>
        <v>0</v>
      </c>
      <c r="K37" s="537"/>
      <c r="L37" s="537"/>
      <c r="M37" s="537"/>
      <c r="N37" s="537"/>
      <c r="O37" s="537"/>
      <c r="P37" s="538"/>
      <c r="Q37" s="538"/>
      <c r="R37" s="538"/>
      <c r="S37" s="547"/>
      <c r="T37" s="547"/>
      <c r="U37" s="547"/>
      <c r="V37" s="547">
        <v>0</v>
      </c>
      <c r="W37" s="535">
        <f>S37*F37</f>
        <v>0</v>
      </c>
      <c r="X37" s="535">
        <f>T37*F37</f>
        <v>0</v>
      </c>
      <c r="Y37" s="535">
        <f>U37*F37</f>
        <v>0</v>
      </c>
      <c r="Z37" s="535">
        <f>V37*F37</f>
        <v>0</v>
      </c>
      <c r="AA37" s="520">
        <v>0</v>
      </c>
      <c r="AB37" s="539">
        <f t="shared" si="1"/>
        <v>0</v>
      </c>
      <c r="AC37" s="520">
        <v>0</v>
      </c>
      <c r="AD37" s="539">
        <f t="shared" si="2"/>
        <v>0</v>
      </c>
      <c r="AE37" s="520">
        <v>0</v>
      </c>
      <c r="AF37" s="539">
        <f t="shared" si="3"/>
        <v>0</v>
      </c>
      <c r="AG37" s="520">
        <v>0</v>
      </c>
      <c r="AH37" s="539">
        <f t="shared" si="4"/>
        <v>0</v>
      </c>
      <c r="AI37" s="520">
        <v>0</v>
      </c>
      <c r="AJ37" s="539">
        <f t="shared" si="5"/>
        <v>0</v>
      </c>
      <c r="AK37" s="520">
        <v>0</v>
      </c>
      <c r="AL37" s="539">
        <f t="shared" si="6"/>
        <v>0</v>
      </c>
      <c r="AM37" s="520">
        <v>0</v>
      </c>
      <c r="AN37" s="539">
        <f t="shared" si="76"/>
        <v>0</v>
      </c>
      <c r="AO37" s="520">
        <v>0</v>
      </c>
      <c r="AP37" s="539">
        <f t="shared" si="7"/>
        <v>0</v>
      </c>
      <c r="AQ37" s="520">
        <v>0</v>
      </c>
      <c r="AR37" s="539">
        <f t="shared" si="35"/>
        <v>0</v>
      </c>
      <c r="AS37" s="520">
        <v>0</v>
      </c>
      <c r="AT37" s="539">
        <f t="shared" si="36"/>
        <v>0</v>
      </c>
      <c r="AU37" s="520">
        <v>0</v>
      </c>
      <c r="AV37" s="539">
        <f t="shared" si="8"/>
        <v>0</v>
      </c>
      <c r="AW37" s="520">
        <v>0</v>
      </c>
      <c r="AX37" s="539">
        <f t="shared" si="9"/>
        <v>0</v>
      </c>
      <c r="AY37" s="273">
        <v>0</v>
      </c>
      <c r="AZ37" s="539">
        <f t="shared" si="10"/>
        <v>0</v>
      </c>
      <c r="BA37" s="273">
        <v>0</v>
      </c>
      <c r="BB37" s="539">
        <f t="shared" si="37"/>
        <v>0</v>
      </c>
      <c r="BC37" s="520">
        <v>0</v>
      </c>
      <c r="BD37" s="539">
        <f t="shared" si="11"/>
        <v>0</v>
      </c>
      <c r="BE37" s="520">
        <v>0</v>
      </c>
      <c r="BF37" s="539">
        <f t="shared" si="12"/>
        <v>0</v>
      </c>
      <c r="BG37" s="520">
        <v>0</v>
      </c>
      <c r="BH37" s="539">
        <f t="shared" si="13"/>
        <v>0</v>
      </c>
      <c r="BI37" s="520"/>
      <c r="BJ37" s="539"/>
      <c r="BK37" s="280">
        <f t="shared" si="38"/>
        <v>0</v>
      </c>
      <c r="BL37" s="280">
        <f t="shared" si="39"/>
        <v>0</v>
      </c>
      <c r="BM37" s="519" t="s">
        <v>543</v>
      </c>
      <c r="BO37" s="264"/>
      <c r="BP37" s="264"/>
      <c r="BQ37" s="264">
        <f t="shared" si="40"/>
        <v>0</v>
      </c>
      <c r="BR37" s="264"/>
      <c r="BS37" s="264">
        <f t="shared" si="41"/>
        <v>0</v>
      </c>
      <c r="BT37" s="264"/>
      <c r="BU37" s="264"/>
      <c r="BV37" s="264"/>
      <c r="BW37" s="280">
        <f t="shared" si="16"/>
        <v>0</v>
      </c>
    </row>
    <row r="38" spans="1:75" ht="33.75" customHeight="1" x14ac:dyDescent="0.25">
      <c r="A38" s="522"/>
      <c r="B38" s="273"/>
      <c r="C38" s="540" t="s">
        <v>746</v>
      </c>
      <c r="D38" s="536" t="s">
        <v>652</v>
      </c>
      <c r="E38" s="519" t="s">
        <v>307</v>
      </c>
      <c r="F38" s="526">
        <v>45000</v>
      </c>
      <c r="G38" s="520">
        <f t="shared" si="63"/>
        <v>0</v>
      </c>
      <c r="H38" s="537">
        <f t="shared" si="138"/>
        <v>0</v>
      </c>
      <c r="I38" s="537">
        <f>H38*0.1</f>
        <v>0</v>
      </c>
      <c r="J38" s="537">
        <f>H38*0.8</f>
        <v>0</v>
      </c>
      <c r="K38" s="537"/>
      <c r="L38" s="537"/>
      <c r="M38" s="537"/>
      <c r="N38" s="537"/>
      <c r="O38" s="537"/>
      <c r="P38" s="538"/>
      <c r="Q38" s="538">
        <f>H38*0.1</f>
        <v>0</v>
      </c>
      <c r="R38" s="538"/>
      <c r="S38" s="547">
        <v>0</v>
      </c>
      <c r="T38" s="547">
        <v>0</v>
      </c>
      <c r="U38" s="547">
        <f t="shared" si="29"/>
        <v>0</v>
      </c>
      <c r="V38" s="547">
        <f t="shared" si="30"/>
        <v>0</v>
      </c>
      <c r="W38" s="535">
        <f t="shared" si="31"/>
        <v>0</v>
      </c>
      <c r="X38" s="535">
        <f t="shared" si="32"/>
        <v>0</v>
      </c>
      <c r="Y38" s="535">
        <f>0</f>
        <v>0</v>
      </c>
      <c r="Z38" s="535">
        <f>H38</f>
        <v>0</v>
      </c>
      <c r="AA38" s="520">
        <v>0</v>
      </c>
      <c r="AB38" s="539">
        <f t="shared" si="1"/>
        <v>0</v>
      </c>
      <c r="AC38" s="520">
        <v>0</v>
      </c>
      <c r="AD38" s="539">
        <f>AC38*F38</f>
        <v>0</v>
      </c>
      <c r="AE38" s="520">
        <v>0</v>
      </c>
      <c r="AF38" s="539">
        <f t="shared" si="3"/>
        <v>0</v>
      </c>
      <c r="AG38" s="520">
        <v>0</v>
      </c>
      <c r="AH38" s="539">
        <f t="shared" si="4"/>
        <v>0</v>
      </c>
      <c r="AI38" s="520">
        <v>0</v>
      </c>
      <c r="AJ38" s="539">
        <f t="shared" si="5"/>
        <v>0</v>
      </c>
      <c r="AK38" s="520">
        <v>0</v>
      </c>
      <c r="AL38" s="539">
        <f t="shared" si="6"/>
        <v>0</v>
      </c>
      <c r="AM38" s="520"/>
      <c r="AN38" s="539">
        <f t="shared" si="76"/>
        <v>0</v>
      </c>
      <c r="AO38" s="520"/>
      <c r="AP38" s="539">
        <f t="shared" si="7"/>
        <v>0</v>
      </c>
      <c r="AQ38" s="520"/>
      <c r="AR38" s="539">
        <f t="shared" si="35"/>
        <v>0</v>
      </c>
      <c r="AS38" s="520">
        <v>0</v>
      </c>
      <c r="AT38" s="539">
        <f t="shared" si="36"/>
        <v>0</v>
      </c>
      <c r="AU38" s="520"/>
      <c r="AV38" s="539">
        <f t="shared" si="8"/>
        <v>0</v>
      </c>
      <c r="AW38" s="520">
        <v>0</v>
      </c>
      <c r="AX38" s="539">
        <f t="shared" si="9"/>
        <v>0</v>
      </c>
      <c r="AY38" s="273">
        <v>0</v>
      </c>
      <c r="AZ38" s="539">
        <f t="shared" si="10"/>
        <v>0</v>
      </c>
      <c r="BA38" s="273"/>
      <c r="BB38" s="539">
        <f t="shared" si="37"/>
        <v>0</v>
      </c>
      <c r="BC38" s="520">
        <v>0</v>
      </c>
      <c r="BD38" s="539">
        <f t="shared" si="11"/>
        <v>0</v>
      </c>
      <c r="BE38" s="520">
        <v>0</v>
      </c>
      <c r="BF38" s="539">
        <f t="shared" si="12"/>
        <v>0</v>
      </c>
      <c r="BG38" s="520">
        <v>0</v>
      </c>
      <c r="BH38" s="539">
        <f t="shared" si="13"/>
        <v>0</v>
      </c>
      <c r="BI38" s="520"/>
      <c r="BJ38" s="539">
        <f t="shared" si="14"/>
        <v>0</v>
      </c>
      <c r="BK38" s="280">
        <f t="shared" si="38"/>
        <v>0</v>
      </c>
      <c r="BL38" s="280">
        <f t="shared" si="39"/>
        <v>0</v>
      </c>
      <c r="BM38" s="519" t="s">
        <v>214</v>
      </c>
      <c r="BO38" s="264"/>
      <c r="BP38" s="264"/>
      <c r="BQ38" s="264">
        <f t="shared" si="40"/>
        <v>0</v>
      </c>
      <c r="BR38" s="264"/>
      <c r="BS38" s="264">
        <f t="shared" si="41"/>
        <v>0</v>
      </c>
      <c r="BT38" s="264"/>
      <c r="BU38" s="264"/>
      <c r="BV38" s="264">
        <f>BT38+BU38</f>
        <v>0</v>
      </c>
      <c r="BW38" s="280">
        <f t="shared" si="16"/>
        <v>0</v>
      </c>
    </row>
    <row r="39" spans="1:75" ht="33.75" customHeight="1" x14ac:dyDescent="0.25">
      <c r="A39" s="522"/>
      <c r="B39" s="273"/>
      <c r="C39" s="540" t="s">
        <v>831</v>
      </c>
      <c r="D39" s="536" t="s">
        <v>585</v>
      </c>
      <c r="E39" s="519" t="s">
        <v>584</v>
      </c>
      <c r="F39" s="526">
        <v>10000</v>
      </c>
      <c r="G39" s="520">
        <f t="shared" si="63"/>
        <v>0</v>
      </c>
      <c r="H39" s="537">
        <f t="shared" si="138"/>
        <v>0</v>
      </c>
      <c r="I39" s="537">
        <f>H39*0.1</f>
        <v>0</v>
      </c>
      <c r="J39" s="537">
        <f>H39*0.8</f>
        <v>0</v>
      </c>
      <c r="K39" s="537"/>
      <c r="L39" s="537"/>
      <c r="M39" s="537"/>
      <c r="N39" s="537"/>
      <c r="O39" s="537"/>
      <c r="P39" s="538"/>
      <c r="Q39" s="537">
        <f>H39*0.1</f>
        <v>0</v>
      </c>
      <c r="R39" s="538"/>
      <c r="S39" s="547"/>
      <c r="T39" s="547"/>
      <c r="U39" s="547">
        <v>0</v>
      </c>
      <c r="V39" s="547">
        <v>0</v>
      </c>
      <c r="W39" s="535">
        <f>S39*F39</f>
        <v>0</v>
      </c>
      <c r="X39" s="535">
        <f>T39*F39</f>
        <v>0</v>
      </c>
      <c r="Y39" s="535">
        <f>U39*F39</f>
        <v>0</v>
      </c>
      <c r="Z39" s="535">
        <f>V39*F39</f>
        <v>0</v>
      </c>
      <c r="AA39" s="520">
        <v>0</v>
      </c>
      <c r="AB39" s="539">
        <f t="shared" si="1"/>
        <v>0</v>
      </c>
      <c r="AC39" s="520">
        <v>0</v>
      </c>
      <c r="AD39" s="539">
        <f>AC39*F39</f>
        <v>0</v>
      </c>
      <c r="AE39" s="520">
        <v>0</v>
      </c>
      <c r="AF39" s="539">
        <f t="shared" si="3"/>
        <v>0</v>
      </c>
      <c r="AG39" s="520"/>
      <c r="AH39" s="539">
        <f t="shared" si="4"/>
        <v>0</v>
      </c>
      <c r="AI39" s="520"/>
      <c r="AJ39" s="539">
        <f t="shared" si="5"/>
        <v>0</v>
      </c>
      <c r="AK39" s="520"/>
      <c r="AL39" s="539"/>
      <c r="AM39" s="520"/>
      <c r="AN39" s="539">
        <f t="shared" si="76"/>
        <v>0</v>
      </c>
      <c r="AO39" s="520"/>
      <c r="AP39" s="539">
        <f t="shared" si="7"/>
        <v>0</v>
      </c>
      <c r="AQ39" s="520"/>
      <c r="AR39" s="539">
        <f t="shared" si="35"/>
        <v>0</v>
      </c>
      <c r="AS39" s="520"/>
      <c r="AT39" s="539">
        <f t="shared" si="36"/>
        <v>0</v>
      </c>
      <c r="AU39" s="520"/>
      <c r="AV39" s="539">
        <f t="shared" si="8"/>
        <v>0</v>
      </c>
      <c r="AW39" s="520">
        <v>0</v>
      </c>
      <c r="AX39" s="539">
        <f t="shared" si="9"/>
        <v>0</v>
      </c>
      <c r="AY39" s="273"/>
      <c r="AZ39" s="539">
        <f t="shared" si="10"/>
        <v>0</v>
      </c>
      <c r="BA39" s="273"/>
      <c r="BB39" s="539"/>
      <c r="BC39" s="520">
        <v>0</v>
      </c>
      <c r="BD39" s="539">
        <f t="shared" si="11"/>
        <v>0</v>
      </c>
      <c r="BE39" s="520"/>
      <c r="BF39" s="539">
        <f t="shared" si="12"/>
        <v>0</v>
      </c>
      <c r="BG39" s="520"/>
      <c r="BH39" s="539"/>
      <c r="BI39" s="520"/>
      <c r="BJ39" s="539"/>
      <c r="BK39" s="280">
        <f>BI39+BG39+BE39+BC39+BA39+AY39+AW39+AU39+AS39+AQ39+AO39+AM39+AK39+AI39+AG39+AE39+AC39+AA39</f>
        <v>0</v>
      </c>
      <c r="BL39" s="280">
        <f>BJ39+BH39+BF39+BD39+BB39+AZ39+AX39+AV39+AT39+AR39+AP39+AN39+AL39+AJ39+AH39+AF39+AD39+AB39</f>
        <v>0</v>
      </c>
      <c r="BM39" s="519"/>
      <c r="BO39" s="264"/>
      <c r="BP39" s="264"/>
      <c r="BQ39" s="264">
        <f t="shared" si="40"/>
        <v>0</v>
      </c>
      <c r="BR39" s="264"/>
      <c r="BS39" s="264">
        <f t="shared" si="41"/>
        <v>0</v>
      </c>
      <c r="BT39" s="264"/>
      <c r="BU39" s="264"/>
      <c r="BV39" s="264"/>
      <c r="BW39" s="280">
        <f t="shared" si="16"/>
        <v>0</v>
      </c>
    </row>
    <row r="40" spans="1:75" ht="33.75" customHeight="1" x14ac:dyDescent="0.25">
      <c r="A40" s="522"/>
      <c r="B40" s="273"/>
      <c r="C40" s="540" t="s">
        <v>832</v>
      </c>
      <c r="D40" s="505" t="s">
        <v>838</v>
      </c>
      <c r="E40" s="505" t="s">
        <v>79</v>
      </c>
      <c r="F40" s="550">
        <v>5000</v>
      </c>
      <c r="G40" s="520">
        <f t="shared" ref="G40" si="139">BK40</f>
        <v>235</v>
      </c>
      <c r="H40" s="537">
        <f t="shared" ref="H40" si="140">BL40</f>
        <v>1175000</v>
      </c>
      <c r="I40" s="537">
        <f>H40*0.2</f>
        <v>235000</v>
      </c>
      <c r="J40" s="537">
        <f>H40*0.8</f>
        <v>940000</v>
      </c>
      <c r="K40" s="537"/>
      <c r="L40" s="537"/>
      <c r="M40" s="537"/>
      <c r="N40" s="537"/>
      <c r="O40" s="537"/>
      <c r="P40" s="538"/>
      <c r="Q40" s="538"/>
      <c r="R40" s="538"/>
      <c r="S40" s="547">
        <v>100</v>
      </c>
      <c r="T40" s="547">
        <v>100</v>
      </c>
      <c r="U40" s="547">
        <v>35</v>
      </c>
      <c r="V40" s="547">
        <v>0</v>
      </c>
      <c r="W40" s="535">
        <f>S40*F40</f>
        <v>500000</v>
      </c>
      <c r="X40" s="535">
        <f>T40*F40</f>
        <v>500000</v>
      </c>
      <c r="Y40" s="535">
        <f>U40*F40</f>
        <v>175000</v>
      </c>
      <c r="Z40" s="535">
        <f>V40*F40</f>
        <v>0</v>
      </c>
      <c r="AA40" s="520">
        <v>12</v>
      </c>
      <c r="AB40" s="539">
        <f t="shared" si="1"/>
        <v>60000</v>
      </c>
      <c r="AC40" s="520">
        <v>10</v>
      </c>
      <c r="AD40" s="539">
        <f>AC40*F40</f>
        <v>50000</v>
      </c>
      <c r="AE40" s="520">
        <v>15</v>
      </c>
      <c r="AF40" s="539">
        <f t="shared" si="3"/>
        <v>75000</v>
      </c>
      <c r="AG40" s="520">
        <v>12</v>
      </c>
      <c r="AH40" s="539">
        <f t="shared" si="4"/>
        <v>60000</v>
      </c>
      <c r="AI40" s="520">
        <v>6</v>
      </c>
      <c r="AJ40" s="539">
        <f t="shared" si="5"/>
        <v>30000</v>
      </c>
      <c r="AK40" s="520">
        <v>12</v>
      </c>
      <c r="AL40" s="539">
        <f>AK40*F40</f>
        <v>60000</v>
      </c>
      <c r="AM40" s="520">
        <v>15</v>
      </c>
      <c r="AN40" s="539">
        <f t="shared" si="76"/>
        <v>75000</v>
      </c>
      <c r="AO40" s="520">
        <v>15</v>
      </c>
      <c r="AP40" s="539">
        <f t="shared" si="7"/>
        <v>75000</v>
      </c>
      <c r="AQ40" s="520">
        <v>6</v>
      </c>
      <c r="AR40" s="539">
        <f t="shared" si="35"/>
        <v>30000</v>
      </c>
      <c r="AS40" s="520">
        <v>9</v>
      </c>
      <c r="AT40" s="539">
        <f t="shared" si="36"/>
        <v>45000</v>
      </c>
      <c r="AU40" s="520">
        <v>18</v>
      </c>
      <c r="AV40" s="539">
        <f t="shared" si="8"/>
        <v>90000</v>
      </c>
      <c r="AW40" s="520">
        <v>15</v>
      </c>
      <c r="AX40" s="539">
        <f t="shared" si="9"/>
        <v>75000</v>
      </c>
      <c r="AY40" s="273">
        <v>27</v>
      </c>
      <c r="AZ40" s="539">
        <f t="shared" si="10"/>
        <v>135000</v>
      </c>
      <c r="BA40" s="273">
        <v>24</v>
      </c>
      <c r="BB40" s="539">
        <f t="shared" si="37"/>
        <v>120000</v>
      </c>
      <c r="BC40" s="520">
        <v>9</v>
      </c>
      <c r="BD40" s="539">
        <f t="shared" si="11"/>
        <v>45000</v>
      </c>
      <c r="BE40" s="520">
        <v>15</v>
      </c>
      <c r="BF40" s="539">
        <f t="shared" si="12"/>
        <v>75000</v>
      </c>
      <c r="BG40" s="520">
        <v>15</v>
      </c>
      <c r="BH40" s="539">
        <f t="shared" si="13"/>
        <v>75000</v>
      </c>
      <c r="BI40" s="520"/>
      <c r="BJ40" s="539"/>
      <c r="BK40" s="280">
        <f>BI40+BG40+BE40+BC40+BA40+AY40+AW40+AU40+AS40+AQ40+AO40+AM40+AK40+AI40+AG40+AE40+AC40+AA40</f>
        <v>235</v>
      </c>
      <c r="BL40" s="280">
        <f>BJ40+BH40+BF40+BD40+BB40+AZ40+AX40+AV40+AT40+AR40+AP40+AN40+AL40+AJ40+AH40+AF40+AD40+AB40</f>
        <v>1175000</v>
      </c>
      <c r="BM40" s="519" t="s">
        <v>543</v>
      </c>
      <c r="BO40" s="264"/>
      <c r="BP40" s="264"/>
      <c r="BQ40" s="264">
        <f t="shared" si="40"/>
        <v>1175000</v>
      </c>
      <c r="BR40" s="264"/>
      <c r="BS40" s="264">
        <f t="shared" si="41"/>
        <v>1175000</v>
      </c>
      <c r="BT40" s="264"/>
      <c r="BU40" s="264"/>
      <c r="BV40" s="264"/>
      <c r="BW40" s="280">
        <f t="shared" si="16"/>
        <v>1175000</v>
      </c>
    </row>
    <row r="41" spans="1:75" ht="25.5" x14ac:dyDescent="0.25">
      <c r="A41" s="522" t="s">
        <v>1141</v>
      </c>
      <c r="B41" s="273">
        <v>100</v>
      </c>
      <c r="C41" s="540" t="s">
        <v>833</v>
      </c>
      <c r="D41" s="536" t="s">
        <v>965</v>
      </c>
      <c r="E41" s="519" t="s">
        <v>307</v>
      </c>
      <c r="F41" s="526">
        <v>30000</v>
      </c>
      <c r="G41" s="520">
        <f t="shared" ref="G41" si="141">BK41</f>
        <v>112</v>
      </c>
      <c r="H41" s="537">
        <f t="shared" ref="H41" si="142">BL41</f>
        <v>3360000</v>
      </c>
      <c r="I41" s="537">
        <f>H41*0.1</f>
        <v>336000</v>
      </c>
      <c r="J41" s="537">
        <f>H41*0.8</f>
        <v>2688000</v>
      </c>
      <c r="K41" s="537"/>
      <c r="L41" s="537"/>
      <c r="M41" s="537"/>
      <c r="N41" s="537"/>
      <c r="O41" s="537"/>
      <c r="P41" s="538"/>
      <c r="Q41" s="538">
        <f>H41*0.1</f>
        <v>336000</v>
      </c>
      <c r="R41" s="538"/>
      <c r="S41" s="547">
        <f>G41*0.4</f>
        <v>44.800000000000004</v>
      </c>
      <c r="T41" s="547">
        <f>G41*0.5</f>
        <v>56</v>
      </c>
      <c r="U41" s="547">
        <f>G41*0.1</f>
        <v>11.200000000000001</v>
      </c>
      <c r="V41" s="547">
        <f>G41*0</f>
        <v>0</v>
      </c>
      <c r="W41" s="535">
        <f>H41*0.4</f>
        <v>1344000</v>
      </c>
      <c r="X41" s="535">
        <f>H41*0.5</f>
        <v>1680000</v>
      </c>
      <c r="Y41" s="535">
        <f>H41*0.1</f>
        <v>336000</v>
      </c>
      <c r="Z41" s="535">
        <f>H41*0</f>
        <v>0</v>
      </c>
      <c r="AA41" s="520">
        <v>5</v>
      </c>
      <c r="AB41" s="539">
        <f t="shared" si="1"/>
        <v>150000</v>
      </c>
      <c r="AC41" s="520">
        <v>5</v>
      </c>
      <c r="AD41" s="539">
        <f>AC41*F41</f>
        <v>150000</v>
      </c>
      <c r="AE41" s="520">
        <v>10</v>
      </c>
      <c r="AF41" s="539">
        <f t="shared" si="3"/>
        <v>300000</v>
      </c>
      <c r="AG41" s="520">
        <v>10</v>
      </c>
      <c r="AH41" s="539">
        <f t="shared" si="4"/>
        <v>300000</v>
      </c>
      <c r="AI41" s="520">
        <v>5</v>
      </c>
      <c r="AJ41" s="539">
        <f t="shared" si="5"/>
        <v>150000</v>
      </c>
      <c r="AK41" s="520">
        <v>15</v>
      </c>
      <c r="AL41" s="539">
        <f t="shared" si="6"/>
        <v>450000</v>
      </c>
      <c r="AM41" s="520">
        <v>5</v>
      </c>
      <c r="AN41" s="539">
        <f t="shared" si="76"/>
        <v>150000</v>
      </c>
      <c r="AO41" s="520">
        <v>5</v>
      </c>
      <c r="AP41" s="539">
        <f t="shared" si="7"/>
        <v>150000</v>
      </c>
      <c r="AQ41" s="520">
        <v>5</v>
      </c>
      <c r="AR41" s="539">
        <f t="shared" si="35"/>
        <v>150000</v>
      </c>
      <c r="AS41" s="520">
        <v>5</v>
      </c>
      <c r="AT41" s="539">
        <f t="shared" si="36"/>
        <v>150000</v>
      </c>
      <c r="AU41" s="520">
        <v>5</v>
      </c>
      <c r="AV41" s="539">
        <f t="shared" si="8"/>
        <v>150000</v>
      </c>
      <c r="AW41" s="520">
        <v>12</v>
      </c>
      <c r="AX41" s="539">
        <f t="shared" si="9"/>
        <v>360000</v>
      </c>
      <c r="AY41" s="273">
        <v>5</v>
      </c>
      <c r="AZ41" s="539">
        <f t="shared" si="10"/>
        <v>150000</v>
      </c>
      <c r="BA41" s="273">
        <v>5</v>
      </c>
      <c r="BB41" s="539">
        <f t="shared" si="37"/>
        <v>150000</v>
      </c>
      <c r="BC41" s="520">
        <v>5</v>
      </c>
      <c r="BD41" s="539">
        <f t="shared" si="11"/>
        <v>150000</v>
      </c>
      <c r="BE41" s="520">
        <v>5</v>
      </c>
      <c r="BF41" s="539">
        <f t="shared" si="12"/>
        <v>150000</v>
      </c>
      <c r="BG41" s="520">
        <v>5</v>
      </c>
      <c r="BH41" s="539">
        <f t="shared" si="13"/>
        <v>150000</v>
      </c>
      <c r="BI41" s="520">
        <v>0</v>
      </c>
      <c r="BJ41" s="539">
        <f t="shared" si="14"/>
        <v>0</v>
      </c>
      <c r="BK41" s="280">
        <f t="shared" si="38"/>
        <v>112</v>
      </c>
      <c r="BL41" s="280">
        <f t="shared" si="39"/>
        <v>3360000</v>
      </c>
      <c r="BM41" s="519" t="s">
        <v>214</v>
      </c>
      <c r="BO41" s="264"/>
      <c r="BP41" s="264"/>
      <c r="BQ41" s="264">
        <f t="shared" si="40"/>
        <v>3360000</v>
      </c>
      <c r="BR41" s="264"/>
      <c r="BS41" s="264">
        <f t="shared" si="41"/>
        <v>3360000</v>
      </c>
      <c r="BT41" s="264"/>
      <c r="BU41" s="264"/>
      <c r="BV41" s="264">
        <f>BT41+BU41</f>
        <v>0</v>
      </c>
      <c r="BW41" s="280">
        <f t="shared" si="16"/>
        <v>3360000</v>
      </c>
    </row>
    <row r="42" spans="1:75" s="499" customFormat="1" ht="16.5" customHeight="1" x14ac:dyDescent="0.25">
      <c r="A42" s="522"/>
      <c r="B42" s="513"/>
      <c r="C42" s="515"/>
      <c r="D42" s="518" t="s">
        <v>411</v>
      </c>
      <c r="E42" s="542" t="s">
        <v>111</v>
      </c>
      <c r="F42" s="543" t="s">
        <v>111</v>
      </c>
      <c r="G42" s="512">
        <f t="shared" ref="G42:AL42" si="143">SUM(G24:G41)</f>
        <v>21592</v>
      </c>
      <c r="H42" s="512">
        <f t="shared" si="143"/>
        <v>160535000</v>
      </c>
      <c r="I42" s="512">
        <f t="shared" si="143"/>
        <v>2991000</v>
      </c>
      <c r="J42" s="512">
        <f t="shared" si="143"/>
        <v>52468000</v>
      </c>
      <c r="K42" s="512">
        <f t="shared" si="143"/>
        <v>0</v>
      </c>
      <c r="L42" s="512">
        <f t="shared" si="143"/>
        <v>0</v>
      </c>
      <c r="M42" s="512">
        <f t="shared" si="143"/>
        <v>0</v>
      </c>
      <c r="N42" s="512">
        <f t="shared" si="143"/>
        <v>0</v>
      </c>
      <c r="O42" s="512">
        <f t="shared" si="143"/>
        <v>102320000</v>
      </c>
      <c r="P42" s="512">
        <f t="shared" si="143"/>
        <v>0</v>
      </c>
      <c r="Q42" s="512">
        <f t="shared" si="143"/>
        <v>2756000</v>
      </c>
      <c r="R42" s="512">
        <f t="shared" si="143"/>
        <v>0</v>
      </c>
      <c r="S42" s="512">
        <f t="shared" si="143"/>
        <v>609.79999999999995</v>
      </c>
      <c r="T42" s="512">
        <f t="shared" si="143"/>
        <v>10651</v>
      </c>
      <c r="U42" s="512">
        <f t="shared" si="143"/>
        <v>10296.200000000001</v>
      </c>
      <c r="V42" s="512">
        <f t="shared" si="143"/>
        <v>50</v>
      </c>
      <c r="W42" s="512">
        <f t="shared" si="143"/>
        <v>23144000</v>
      </c>
      <c r="X42" s="512">
        <f t="shared" si="143"/>
        <v>71780000</v>
      </c>
      <c r="Y42" s="512">
        <f t="shared" si="143"/>
        <v>54111000</v>
      </c>
      <c r="Z42" s="512">
        <f t="shared" si="143"/>
        <v>11500000</v>
      </c>
      <c r="AA42" s="512">
        <f t="shared" si="143"/>
        <v>1285</v>
      </c>
      <c r="AB42" s="512">
        <f t="shared" si="143"/>
        <v>9075000</v>
      </c>
      <c r="AC42" s="512">
        <f t="shared" si="143"/>
        <v>1579</v>
      </c>
      <c r="AD42" s="512">
        <f t="shared" si="143"/>
        <v>10005000</v>
      </c>
      <c r="AE42" s="512">
        <f t="shared" si="143"/>
        <v>1287</v>
      </c>
      <c r="AF42" s="512">
        <f t="shared" si="143"/>
        <v>8067000</v>
      </c>
      <c r="AG42" s="512">
        <f t="shared" si="143"/>
        <v>2111</v>
      </c>
      <c r="AH42" s="512">
        <f t="shared" si="143"/>
        <v>12915000</v>
      </c>
      <c r="AI42" s="512">
        <f t="shared" si="143"/>
        <v>380</v>
      </c>
      <c r="AJ42" s="512">
        <f t="shared" si="143"/>
        <v>4865000</v>
      </c>
      <c r="AK42" s="512">
        <f t="shared" si="143"/>
        <v>1892</v>
      </c>
      <c r="AL42" s="512">
        <f t="shared" si="143"/>
        <v>12160000</v>
      </c>
      <c r="AM42" s="512">
        <f t="shared" ref="AM42:BR42" si="144">SUM(AM24:AM41)</f>
        <v>718</v>
      </c>
      <c r="AN42" s="512">
        <f t="shared" si="144"/>
        <v>7530000</v>
      </c>
      <c r="AO42" s="512">
        <f t="shared" si="144"/>
        <v>1088</v>
      </c>
      <c r="AP42" s="512">
        <f t="shared" si="144"/>
        <v>8340000</v>
      </c>
      <c r="AQ42" s="512">
        <f t="shared" si="144"/>
        <v>79</v>
      </c>
      <c r="AR42" s="512">
        <f t="shared" si="144"/>
        <v>4245000</v>
      </c>
      <c r="AS42" s="512">
        <f t="shared" si="144"/>
        <v>1665</v>
      </c>
      <c r="AT42" s="512">
        <f t="shared" si="144"/>
        <v>14105500</v>
      </c>
      <c r="AU42" s="512">
        <f t="shared" si="144"/>
        <v>1409</v>
      </c>
      <c r="AV42" s="512">
        <f t="shared" si="144"/>
        <v>12585000</v>
      </c>
      <c r="AW42" s="512">
        <f t="shared" si="144"/>
        <v>2343</v>
      </c>
      <c r="AX42" s="512">
        <f t="shared" si="144"/>
        <v>12477500</v>
      </c>
      <c r="AY42" s="544">
        <f t="shared" si="144"/>
        <v>1505</v>
      </c>
      <c r="AZ42" s="512">
        <f t="shared" si="144"/>
        <v>11050000</v>
      </c>
      <c r="BA42" s="544">
        <f t="shared" si="144"/>
        <v>1299</v>
      </c>
      <c r="BB42" s="512">
        <f t="shared" si="144"/>
        <v>10085000</v>
      </c>
      <c r="BC42" s="512">
        <f t="shared" si="144"/>
        <v>76</v>
      </c>
      <c r="BD42" s="512">
        <f t="shared" si="144"/>
        <v>3725000</v>
      </c>
      <c r="BE42" s="512">
        <f t="shared" si="144"/>
        <v>2088</v>
      </c>
      <c r="BF42" s="512">
        <f t="shared" si="144"/>
        <v>12090000</v>
      </c>
      <c r="BG42" s="512">
        <f t="shared" si="144"/>
        <v>788</v>
      </c>
      <c r="BH42" s="512">
        <f t="shared" si="144"/>
        <v>7215000</v>
      </c>
      <c r="BI42" s="512">
        <f t="shared" si="144"/>
        <v>0</v>
      </c>
      <c r="BJ42" s="512">
        <f t="shared" si="144"/>
        <v>0</v>
      </c>
      <c r="BK42" s="512">
        <f t="shared" si="144"/>
        <v>21592</v>
      </c>
      <c r="BL42" s="512">
        <f t="shared" si="144"/>
        <v>160535000</v>
      </c>
      <c r="BM42" s="512">
        <f t="shared" si="144"/>
        <v>0</v>
      </c>
      <c r="BN42" s="512">
        <f t="shared" si="144"/>
        <v>0</v>
      </c>
      <c r="BO42" s="512">
        <f t="shared" si="144"/>
        <v>0</v>
      </c>
      <c r="BP42" s="512">
        <f t="shared" si="144"/>
        <v>0</v>
      </c>
      <c r="BQ42" s="512">
        <f t="shared" si="144"/>
        <v>160535000</v>
      </c>
      <c r="BR42" s="512">
        <f t="shared" si="144"/>
        <v>0</v>
      </c>
      <c r="BS42" s="512">
        <f t="shared" ref="BS42:BW42" si="145">SUM(BS24:BS41)</f>
        <v>160535000</v>
      </c>
      <c r="BT42" s="512">
        <f t="shared" si="145"/>
        <v>0</v>
      </c>
      <c r="BU42" s="512">
        <f t="shared" si="145"/>
        <v>0</v>
      </c>
      <c r="BV42" s="512">
        <f t="shared" si="145"/>
        <v>0</v>
      </c>
      <c r="BW42" s="512">
        <f t="shared" si="145"/>
        <v>160535000</v>
      </c>
    </row>
    <row r="43" spans="1:75" x14ac:dyDescent="0.25">
      <c r="A43" s="522"/>
      <c r="B43" s="505">
        <v>23500</v>
      </c>
      <c r="C43" s="515"/>
      <c r="D43" s="518" t="s">
        <v>412</v>
      </c>
      <c r="E43" s="519"/>
      <c r="F43" s="519"/>
      <c r="G43" s="520"/>
      <c r="H43" s="538"/>
      <c r="I43" s="538"/>
      <c r="J43" s="538"/>
      <c r="K43" s="538"/>
      <c r="L43" s="538"/>
      <c r="M43" s="538"/>
      <c r="N43" s="538"/>
      <c r="O43" s="538"/>
      <c r="P43" s="538"/>
      <c r="Q43" s="538"/>
      <c r="R43" s="538"/>
      <c r="S43" s="547"/>
      <c r="T43" s="547"/>
      <c r="U43" s="547"/>
      <c r="V43" s="547"/>
      <c r="W43" s="538"/>
      <c r="X43" s="538"/>
      <c r="Y43" s="538"/>
      <c r="Z43" s="538"/>
      <c r="AA43" s="520"/>
      <c r="AB43" s="539">
        <f t="shared" si="1"/>
        <v>0</v>
      </c>
      <c r="AC43" s="520"/>
      <c r="AD43" s="539">
        <f t="shared" si="2"/>
        <v>0</v>
      </c>
      <c r="AE43" s="520"/>
      <c r="AF43" s="539">
        <f t="shared" si="3"/>
        <v>0</v>
      </c>
      <c r="AG43" s="520"/>
      <c r="AH43" s="539">
        <f t="shared" si="4"/>
        <v>0</v>
      </c>
      <c r="AI43" s="520"/>
      <c r="AJ43" s="539">
        <f t="shared" si="5"/>
        <v>0</v>
      </c>
      <c r="AK43" s="520">
        <v>0</v>
      </c>
      <c r="AL43" s="539">
        <f t="shared" si="6"/>
        <v>0</v>
      </c>
      <c r="AM43" s="520"/>
      <c r="AN43" s="539"/>
      <c r="AO43" s="520"/>
      <c r="AP43" s="539">
        <f t="shared" si="7"/>
        <v>0</v>
      </c>
      <c r="AQ43" s="520"/>
      <c r="AR43" s="539"/>
      <c r="AS43" s="520"/>
      <c r="AT43" s="539"/>
      <c r="AU43" s="520"/>
      <c r="AV43" s="539">
        <f t="shared" si="8"/>
        <v>0</v>
      </c>
      <c r="AW43" s="520"/>
      <c r="AX43" s="539">
        <f t="shared" si="9"/>
        <v>0</v>
      </c>
      <c r="AY43" s="273"/>
      <c r="AZ43" s="539">
        <f t="shared" si="10"/>
        <v>0</v>
      </c>
      <c r="BA43" s="273"/>
      <c r="BB43" s="539"/>
      <c r="BC43" s="520"/>
      <c r="BD43" s="539">
        <f t="shared" si="11"/>
        <v>0</v>
      </c>
      <c r="BE43" s="520"/>
      <c r="BF43" s="539">
        <f t="shared" si="12"/>
        <v>0</v>
      </c>
      <c r="BG43" s="520"/>
      <c r="BH43" s="539">
        <f t="shared" si="13"/>
        <v>0</v>
      </c>
      <c r="BI43" s="520"/>
      <c r="BJ43" s="539">
        <f t="shared" si="14"/>
        <v>0</v>
      </c>
      <c r="BK43" s="520">
        <f>AA43+AC43+AE43+AG43+AI43+AK43+AO43+AU43+AW43+AY43+BC43+BE43+BG43+BI43</f>
        <v>0</v>
      </c>
      <c r="BL43" s="539">
        <f>BI43+BG43+BE43+BC43+BA43+AY43+AW43+AU43+AS43+AQ43+AO43+AM43+AK43+AI43+AG43+AE43+AC43+AA43</f>
        <v>0</v>
      </c>
      <c r="BM43" s="519"/>
      <c r="BO43" s="264"/>
      <c r="BP43" s="264"/>
      <c r="BQ43" s="264"/>
      <c r="BR43" s="264"/>
      <c r="BS43" s="264"/>
      <c r="BT43" s="264"/>
      <c r="BU43" s="264"/>
      <c r="BV43" s="264"/>
      <c r="BW43" s="280">
        <f t="shared" si="16"/>
        <v>0</v>
      </c>
    </row>
    <row r="44" spans="1:75" x14ac:dyDescent="0.25">
      <c r="A44" s="522"/>
      <c r="B44" s="505">
        <v>23510</v>
      </c>
      <c r="C44" s="540" t="s">
        <v>834</v>
      </c>
      <c r="D44" s="541" t="s">
        <v>83</v>
      </c>
      <c r="E44" s="519" t="s">
        <v>84</v>
      </c>
      <c r="F44" s="526"/>
      <c r="G44" s="520">
        <f t="shared" ref="G44:H48" si="146">BK44</f>
        <v>0</v>
      </c>
      <c r="H44" s="537">
        <f t="shared" si="146"/>
        <v>0</v>
      </c>
      <c r="I44" s="537">
        <f>H44*0.2</f>
        <v>0</v>
      </c>
      <c r="J44" s="537">
        <f>H44*0.8</f>
        <v>0</v>
      </c>
      <c r="K44" s="537"/>
      <c r="L44" s="537"/>
      <c r="M44" s="537"/>
      <c r="N44" s="537"/>
      <c r="O44" s="537"/>
      <c r="P44" s="538"/>
      <c r="Q44" s="538"/>
      <c r="R44" s="538"/>
      <c r="S44" s="547">
        <f>G44*0.25</f>
        <v>0</v>
      </c>
      <c r="T44" s="547">
        <f>G44*0.25</f>
        <v>0</v>
      </c>
      <c r="U44" s="547">
        <f>G44*0.25</f>
        <v>0</v>
      </c>
      <c r="V44" s="547">
        <f>G44*0.25</f>
        <v>0</v>
      </c>
      <c r="W44" s="535">
        <f>S44*F44</f>
        <v>0</v>
      </c>
      <c r="X44" s="535">
        <f>T44*F44</f>
        <v>0</v>
      </c>
      <c r="Y44" s="535">
        <f>U44*F44</f>
        <v>0</v>
      </c>
      <c r="Z44" s="535">
        <f>V44*F44</f>
        <v>0</v>
      </c>
      <c r="AA44" s="520"/>
      <c r="AB44" s="539">
        <f t="shared" si="1"/>
        <v>0</v>
      </c>
      <c r="AC44" s="520"/>
      <c r="AD44" s="539">
        <f t="shared" si="2"/>
        <v>0</v>
      </c>
      <c r="AE44" s="520">
        <v>0</v>
      </c>
      <c r="AF44" s="539">
        <f t="shared" si="3"/>
        <v>0</v>
      </c>
      <c r="AG44" s="520"/>
      <c r="AH44" s="539">
        <f t="shared" si="4"/>
        <v>0</v>
      </c>
      <c r="AI44" s="520">
        <v>0</v>
      </c>
      <c r="AJ44" s="539">
        <f t="shared" si="5"/>
        <v>0</v>
      </c>
      <c r="AK44" s="520">
        <v>0</v>
      </c>
      <c r="AL44" s="539">
        <f t="shared" si="6"/>
        <v>0</v>
      </c>
      <c r="AM44" s="520"/>
      <c r="AN44" s="539">
        <f>AM44*F44</f>
        <v>0</v>
      </c>
      <c r="AO44" s="520"/>
      <c r="AP44" s="539">
        <f t="shared" si="7"/>
        <v>0</v>
      </c>
      <c r="AQ44" s="520"/>
      <c r="AR44" s="539">
        <f>AQ44*F44</f>
        <v>0</v>
      </c>
      <c r="AS44" s="520"/>
      <c r="AT44" s="539"/>
      <c r="AU44" s="520"/>
      <c r="AV44" s="539">
        <f t="shared" si="8"/>
        <v>0</v>
      </c>
      <c r="AW44" s="520"/>
      <c r="AX44" s="539">
        <f t="shared" si="9"/>
        <v>0</v>
      </c>
      <c r="AY44" s="273"/>
      <c r="AZ44" s="539">
        <f t="shared" si="10"/>
        <v>0</v>
      </c>
      <c r="BA44" s="273">
        <v>0</v>
      </c>
      <c r="BB44" s="539"/>
      <c r="BC44" s="520">
        <v>0</v>
      </c>
      <c r="BD44" s="539">
        <f t="shared" si="11"/>
        <v>0</v>
      </c>
      <c r="BE44" s="520"/>
      <c r="BF44" s="539">
        <f t="shared" si="12"/>
        <v>0</v>
      </c>
      <c r="BG44" s="520"/>
      <c r="BH44" s="539">
        <f t="shared" si="13"/>
        <v>0</v>
      </c>
      <c r="BI44" s="520"/>
      <c r="BJ44" s="539">
        <f t="shared" si="14"/>
        <v>0</v>
      </c>
      <c r="BK44" s="280">
        <f t="shared" ref="BK44:BL48" si="147">BI44+BG44+BE44+BC44+BA44+AY44+AW44+AU44+AS44+AQ44+AO44+AM44+AK44+AI44+AG44+AE44+AC44+AA44</f>
        <v>0</v>
      </c>
      <c r="BL44" s="280">
        <f t="shared" si="147"/>
        <v>0</v>
      </c>
      <c r="BM44" s="519" t="s">
        <v>209</v>
      </c>
      <c r="BO44" s="264"/>
      <c r="BP44" s="264"/>
      <c r="BQ44" s="264">
        <f>H44</f>
        <v>0</v>
      </c>
      <c r="BR44" s="264"/>
      <c r="BS44" s="264">
        <f>BO44+BP44+BQ44+BR44</f>
        <v>0</v>
      </c>
      <c r="BT44" s="264"/>
      <c r="BU44" s="264"/>
      <c r="BV44" s="264">
        <f>BT44+BU44</f>
        <v>0</v>
      </c>
      <c r="BW44" s="280">
        <f t="shared" si="16"/>
        <v>0</v>
      </c>
    </row>
    <row r="45" spans="1:75" x14ac:dyDescent="0.25">
      <c r="A45" s="522"/>
      <c r="B45" s="505">
        <v>23520</v>
      </c>
      <c r="C45" s="540" t="s">
        <v>835</v>
      </c>
      <c r="D45" s="541" t="s">
        <v>653</v>
      </c>
      <c r="E45" s="519" t="s">
        <v>85</v>
      </c>
      <c r="F45" s="526">
        <v>500000</v>
      </c>
      <c r="G45" s="520">
        <f t="shared" si="146"/>
        <v>0</v>
      </c>
      <c r="H45" s="537">
        <f t="shared" si="146"/>
        <v>0</v>
      </c>
      <c r="I45" s="537">
        <f>H45*0.2</f>
        <v>0</v>
      </c>
      <c r="J45" s="537">
        <f>H45*0.8</f>
        <v>0</v>
      </c>
      <c r="K45" s="537"/>
      <c r="L45" s="537"/>
      <c r="M45" s="537"/>
      <c r="N45" s="537"/>
      <c r="O45" s="537"/>
      <c r="P45" s="538"/>
      <c r="Q45" s="538"/>
      <c r="R45" s="538"/>
      <c r="S45" s="547">
        <f>G45*0.25</f>
        <v>0</v>
      </c>
      <c r="T45" s="547">
        <f>G45*0.25</f>
        <v>0</v>
      </c>
      <c r="U45" s="547">
        <f>G45*0.25</f>
        <v>0</v>
      </c>
      <c r="V45" s="547">
        <f>G45*0.25</f>
        <v>0</v>
      </c>
      <c r="W45" s="535">
        <f>S45*F45</f>
        <v>0</v>
      </c>
      <c r="X45" s="535">
        <f>T45*F45</f>
        <v>0</v>
      </c>
      <c r="Y45" s="535">
        <f>U45*F45</f>
        <v>0</v>
      </c>
      <c r="Z45" s="535">
        <f>V45*F45</f>
        <v>0</v>
      </c>
      <c r="AA45" s="520">
        <v>0</v>
      </c>
      <c r="AB45" s="539">
        <f t="shared" si="1"/>
        <v>0</v>
      </c>
      <c r="AC45" s="520">
        <v>0</v>
      </c>
      <c r="AD45" s="539">
        <f t="shared" si="2"/>
        <v>0</v>
      </c>
      <c r="AE45" s="520">
        <v>0</v>
      </c>
      <c r="AF45" s="539">
        <f t="shared" si="3"/>
        <v>0</v>
      </c>
      <c r="AG45" s="520">
        <v>0</v>
      </c>
      <c r="AH45" s="539">
        <f t="shared" si="4"/>
        <v>0</v>
      </c>
      <c r="AI45" s="520">
        <v>0</v>
      </c>
      <c r="AJ45" s="539">
        <f t="shared" si="5"/>
        <v>0</v>
      </c>
      <c r="AK45" s="520">
        <v>0</v>
      </c>
      <c r="AL45" s="539">
        <f t="shared" si="6"/>
        <v>0</v>
      </c>
      <c r="AM45" s="520">
        <v>0</v>
      </c>
      <c r="AN45" s="539">
        <f>AM45*F45</f>
        <v>0</v>
      </c>
      <c r="AO45" s="520">
        <v>0</v>
      </c>
      <c r="AP45" s="539">
        <f t="shared" si="7"/>
        <v>0</v>
      </c>
      <c r="AQ45" s="520">
        <v>0</v>
      </c>
      <c r="AR45" s="539">
        <f>AQ45*F45</f>
        <v>0</v>
      </c>
      <c r="AS45" s="520">
        <v>0</v>
      </c>
      <c r="AT45" s="539">
        <f>AS45*F45</f>
        <v>0</v>
      </c>
      <c r="AU45" s="520">
        <v>0</v>
      </c>
      <c r="AV45" s="539">
        <f t="shared" si="8"/>
        <v>0</v>
      </c>
      <c r="AW45" s="520">
        <v>0</v>
      </c>
      <c r="AX45" s="539">
        <f t="shared" si="9"/>
        <v>0</v>
      </c>
      <c r="AY45" s="273">
        <v>0</v>
      </c>
      <c r="AZ45" s="539">
        <f t="shared" si="10"/>
        <v>0</v>
      </c>
      <c r="BA45" s="273">
        <v>0</v>
      </c>
      <c r="BB45" s="539">
        <f>BA45*F45</f>
        <v>0</v>
      </c>
      <c r="BC45" s="520">
        <v>0</v>
      </c>
      <c r="BD45" s="539">
        <f t="shared" si="11"/>
        <v>0</v>
      </c>
      <c r="BE45" s="520">
        <v>0</v>
      </c>
      <c r="BF45" s="539">
        <f t="shared" si="12"/>
        <v>0</v>
      </c>
      <c r="BG45" s="520">
        <v>0</v>
      </c>
      <c r="BH45" s="539">
        <f t="shared" si="13"/>
        <v>0</v>
      </c>
      <c r="BI45" s="520">
        <v>0</v>
      </c>
      <c r="BJ45" s="539">
        <f t="shared" si="14"/>
        <v>0</v>
      </c>
      <c r="BK45" s="280">
        <f t="shared" si="147"/>
        <v>0</v>
      </c>
      <c r="BL45" s="280">
        <f t="shared" si="147"/>
        <v>0</v>
      </c>
      <c r="BM45" s="519" t="s">
        <v>209</v>
      </c>
      <c r="BO45" s="264"/>
      <c r="BP45" s="264"/>
      <c r="BQ45" s="264">
        <f>H45</f>
        <v>0</v>
      </c>
      <c r="BR45" s="264"/>
      <c r="BS45" s="264">
        <f>BO45+BP45+BQ45+BR45</f>
        <v>0</v>
      </c>
      <c r="BT45" s="264"/>
      <c r="BU45" s="264"/>
      <c r="BV45" s="264">
        <f>BT45+BU45</f>
        <v>0</v>
      </c>
      <c r="BW45" s="280">
        <f t="shared" si="16"/>
        <v>0</v>
      </c>
    </row>
    <row r="46" spans="1:75" x14ac:dyDescent="0.25">
      <c r="A46" s="522"/>
      <c r="B46" s="273"/>
      <c r="C46" s="540" t="s">
        <v>836</v>
      </c>
      <c r="D46" s="541" t="s">
        <v>86</v>
      </c>
      <c r="E46" s="519" t="s">
        <v>87</v>
      </c>
      <c r="F46" s="526" t="s">
        <v>416</v>
      </c>
      <c r="G46" s="520">
        <f t="shared" si="146"/>
        <v>0</v>
      </c>
      <c r="H46" s="537">
        <f t="shared" si="146"/>
        <v>0</v>
      </c>
      <c r="I46" s="537"/>
      <c r="J46" s="537">
        <f>H46*0.8</f>
        <v>0</v>
      </c>
      <c r="K46" s="537"/>
      <c r="L46" s="537"/>
      <c r="M46" s="537"/>
      <c r="N46" s="537"/>
      <c r="O46" s="537"/>
      <c r="P46" s="538"/>
      <c r="Q46" s="538">
        <f>H46*0.2</f>
        <v>0</v>
      </c>
      <c r="R46" s="538"/>
      <c r="S46" s="547">
        <f>G46*0.25</f>
        <v>0</v>
      </c>
      <c r="T46" s="547">
        <f>G46*0.25</f>
        <v>0</v>
      </c>
      <c r="U46" s="547">
        <f>G46*0.25</f>
        <v>0</v>
      </c>
      <c r="V46" s="547">
        <f>G46*0.25</f>
        <v>0</v>
      </c>
      <c r="W46" s="535">
        <f>S46*F46</f>
        <v>0</v>
      </c>
      <c r="X46" s="535">
        <f>T46*F46</f>
        <v>0</v>
      </c>
      <c r="Y46" s="535">
        <f>U46*F46</f>
        <v>0</v>
      </c>
      <c r="Z46" s="535">
        <f>V46*F46</f>
        <v>0</v>
      </c>
      <c r="AA46" s="520">
        <v>0</v>
      </c>
      <c r="AB46" s="539">
        <f t="shared" si="1"/>
        <v>0</v>
      </c>
      <c r="AC46" s="520">
        <v>0</v>
      </c>
      <c r="AD46" s="539">
        <f t="shared" si="2"/>
        <v>0</v>
      </c>
      <c r="AE46" s="520">
        <v>0</v>
      </c>
      <c r="AF46" s="539">
        <f t="shared" si="3"/>
        <v>0</v>
      </c>
      <c r="AG46" s="520">
        <v>0</v>
      </c>
      <c r="AH46" s="539">
        <f t="shared" si="4"/>
        <v>0</v>
      </c>
      <c r="AI46" s="520">
        <v>0</v>
      </c>
      <c r="AJ46" s="539">
        <f t="shared" si="5"/>
        <v>0</v>
      </c>
      <c r="AK46" s="520">
        <v>0</v>
      </c>
      <c r="AL46" s="539">
        <f t="shared" si="6"/>
        <v>0</v>
      </c>
      <c r="AM46" s="520">
        <v>0</v>
      </c>
      <c r="AN46" s="539">
        <f>AM46*F46</f>
        <v>0</v>
      </c>
      <c r="AO46" s="520">
        <v>0</v>
      </c>
      <c r="AP46" s="539">
        <f t="shared" si="7"/>
        <v>0</v>
      </c>
      <c r="AQ46" s="520">
        <v>0</v>
      </c>
      <c r="AR46" s="539">
        <f>AQ46*F46</f>
        <v>0</v>
      </c>
      <c r="AS46" s="520">
        <v>0</v>
      </c>
      <c r="AT46" s="539">
        <f>AS46*F46</f>
        <v>0</v>
      </c>
      <c r="AU46" s="520">
        <v>0</v>
      </c>
      <c r="AV46" s="539">
        <f t="shared" si="8"/>
        <v>0</v>
      </c>
      <c r="AW46" s="520">
        <v>0</v>
      </c>
      <c r="AX46" s="539">
        <f t="shared" si="9"/>
        <v>0</v>
      </c>
      <c r="AY46" s="273">
        <v>0</v>
      </c>
      <c r="AZ46" s="539">
        <f t="shared" si="10"/>
        <v>0</v>
      </c>
      <c r="BA46" s="273">
        <v>0</v>
      </c>
      <c r="BB46" s="539">
        <f>BA46*F46</f>
        <v>0</v>
      </c>
      <c r="BC46" s="520">
        <v>0</v>
      </c>
      <c r="BD46" s="539">
        <f t="shared" si="11"/>
        <v>0</v>
      </c>
      <c r="BE46" s="520">
        <v>0</v>
      </c>
      <c r="BF46" s="539">
        <f t="shared" si="12"/>
        <v>0</v>
      </c>
      <c r="BG46" s="520">
        <v>0</v>
      </c>
      <c r="BH46" s="539">
        <f t="shared" si="13"/>
        <v>0</v>
      </c>
      <c r="BI46" s="520">
        <v>0</v>
      </c>
      <c r="BJ46" s="539">
        <f t="shared" si="14"/>
        <v>0</v>
      </c>
      <c r="BK46" s="280">
        <f t="shared" si="147"/>
        <v>0</v>
      </c>
      <c r="BL46" s="280">
        <f t="shared" si="147"/>
        <v>0</v>
      </c>
      <c r="BM46" s="519" t="s">
        <v>213</v>
      </c>
      <c r="BO46" s="264"/>
      <c r="BP46" s="264"/>
      <c r="BQ46" s="264">
        <f>H46</f>
        <v>0</v>
      </c>
      <c r="BR46" s="264"/>
      <c r="BS46" s="264">
        <f>BO46+BP46+BQ46+BR46</f>
        <v>0</v>
      </c>
      <c r="BT46" s="264"/>
      <c r="BU46" s="264"/>
      <c r="BV46" s="264">
        <f>BT46+BU46</f>
        <v>0</v>
      </c>
      <c r="BW46" s="280">
        <f t="shared" si="16"/>
        <v>0</v>
      </c>
    </row>
    <row r="47" spans="1:75" x14ac:dyDescent="0.25">
      <c r="A47" s="522"/>
      <c r="B47" s="273"/>
      <c r="C47" s="540" t="s">
        <v>837</v>
      </c>
      <c r="D47" s="541" t="s">
        <v>88</v>
      </c>
      <c r="E47" s="519" t="s">
        <v>85</v>
      </c>
      <c r="F47" s="526">
        <v>500000</v>
      </c>
      <c r="G47" s="520">
        <f t="shared" si="146"/>
        <v>0</v>
      </c>
      <c r="H47" s="537">
        <f t="shared" si="146"/>
        <v>0</v>
      </c>
      <c r="I47" s="537"/>
      <c r="J47" s="537">
        <f>H47*0.8</f>
        <v>0</v>
      </c>
      <c r="K47" s="537"/>
      <c r="L47" s="537"/>
      <c r="M47" s="537"/>
      <c r="N47" s="537"/>
      <c r="O47" s="537"/>
      <c r="P47" s="538"/>
      <c r="Q47" s="538">
        <f>H47*0.2</f>
        <v>0</v>
      </c>
      <c r="R47" s="538"/>
      <c r="S47" s="547">
        <f>G47*0.25</f>
        <v>0</v>
      </c>
      <c r="T47" s="547">
        <f>G47*0.25</f>
        <v>0</v>
      </c>
      <c r="U47" s="547">
        <f>G47*0.25</f>
        <v>0</v>
      </c>
      <c r="V47" s="547">
        <f>G47*0.25</f>
        <v>0</v>
      </c>
      <c r="W47" s="535">
        <f>S47*F47</f>
        <v>0</v>
      </c>
      <c r="X47" s="535">
        <f>T47*F47</f>
        <v>0</v>
      </c>
      <c r="Y47" s="535">
        <f>U47*F47</f>
        <v>0</v>
      </c>
      <c r="Z47" s="535">
        <f>V47*F47</f>
        <v>0</v>
      </c>
      <c r="AA47" s="520">
        <v>0</v>
      </c>
      <c r="AB47" s="539">
        <f t="shared" si="1"/>
        <v>0</v>
      </c>
      <c r="AC47" s="520">
        <v>0</v>
      </c>
      <c r="AD47" s="539">
        <f t="shared" si="2"/>
        <v>0</v>
      </c>
      <c r="AE47" s="520">
        <v>0</v>
      </c>
      <c r="AF47" s="539">
        <f t="shared" si="3"/>
        <v>0</v>
      </c>
      <c r="AG47" s="520">
        <v>0</v>
      </c>
      <c r="AH47" s="539">
        <f t="shared" si="4"/>
        <v>0</v>
      </c>
      <c r="AI47" s="520">
        <v>0</v>
      </c>
      <c r="AJ47" s="539">
        <f t="shared" si="5"/>
        <v>0</v>
      </c>
      <c r="AK47" s="520">
        <v>0</v>
      </c>
      <c r="AL47" s="539">
        <f t="shared" si="6"/>
        <v>0</v>
      </c>
      <c r="AM47" s="520">
        <v>0</v>
      </c>
      <c r="AN47" s="539">
        <f>AM47*F47</f>
        <v>0</v>
      </c>
      <c r="AO47" s="520">
        <v>0</v>
      </c>
      <c r="AP47" s="539">
        <f t="shared" si="7"/>
        <v>0</v>
      </c>
      <c r="AQ47" s="520">
        <v>0</v>
      </c>
      <c r="AR47" s="539">
        <f>AQ47*F47</f>
        <v>0</v>
      </c>
      <c r="AS47" s="520">
        <v>0</v>
      </c>
      <c r="AT47" s="539">
        <f>AS47*F47</f>
        <v>0</v>
      </c>
      <c r="AU47" s="520">
        <v>0</v>
      </c>
      <c r="AV47" s="539">
        <f t="shared" si="8"/>
        <v>0</v>
      </c>
      <c r="AW47" s="520">
        <v>0</v>
      </c>
      <c r="AX47" s="539">
        <f t="shared" si="9"/>
        <v>0</v>
      </c>
      <c r="AY47" s="273">
        <v>0</v>
      </c>
      <c r="AZ47" s="539">
        <f t="shared" si="10"/>
        <v>0</v>
      </c>
      <c r="BA47" s="273">
        <v>0</v>
      </c>
      <c r="BB47" s="539">
        <f>BA47*F47</f>
        <v>0</v>
      </c>
      <c r="BC47" s="520">
        <v>0</v>
      </c>
      <c r="BD47" s="539">
        <f t="shared" si="11"/>
        <v>0</v>
      </c>
      <c r="BE47" s="520">
        <v>0</v>
      </c>
      <c r="BF47" s="539">
        <f t="shared" si="12"/>
        <v>0</v>
      </c>
      <c r="BG47" s="520">
        <v>0</v>
      </c>
      <c r="BH47" s="539">
        <f t="shared" si="13"/>
        <v>0</v>
      </c>
      <c r="BI47" s="520">
        <v>0</v>
      </c>
      <c r="BJ47" s="539">
        <f t="shared" si="14"/>
        <v>0</v>
      </c>
      <c r="BK47" s="280">
        <f t="shared" si="147"/>
        <v>0</v>
      </c>
      <c r="BL47" s="280">
        <f t="shared" si="147"/>
        <v>0</v>
      </c>
      <c r="BM47" s="519" t="s">
        <v>209</v>
      </c>
      <c r="BO47" s="264"/>
      <c r="BP47" s="264"/>
      <c r="BQ47" s="264">
        <f>H47</f>
        <v>0</v>
      </c>
      <c r="BR47" s="264"/>
      <c r="BS47" s="264">
        <f>BO47+BP47+BQ47+BR47</f>
        <v>0</v>
      </c>
      <c r="BT47" s="264"/>
      <c r="BU47" s="264"/>
      <c r="BV47" s="264">
        <f>BT47+BU47</f>
        <v>0</v>
      </c>
      <c r="BW47" s="280">
        <f t="shared" si="16"/>
        <v>0</v>
      </c>
    </row>
    <row r="48" spans="1:75" x14ac:dyDescent="0.25">
      <c r="A48" s="522"/>
      <c r="B48" s="273"/>
      <c r="C48" s="540" t="s">
        <v>973</v>
      </c>
      <c r="D48" s="541" t="s">
        <v>413</v>
      </c>
      <c r="E48" s="519" t="s">
        <v>85</v>
      </c>
      <c r="F48" s="526">
        <v>50000</v>
      </c>
      <c r="G48" s="520">
        <f t="shared" si="146"/>
        <v>0</v>
      </c>
      <c r="H48" s="537">
        <f t="shared" si="146"/>
        <v>0</v>
      </c>
      <c r="I48" s="537"/>
      <c r="J48" s="537">
        <f>H48*0.8</f>
        <v>0</v>
      </c>
      <c r="K48" s="537"/>
      <c r="L48" s="537"/>
      <c r="M48" s="537"/>
      <c r="N48" s="537"/>
      <c r="O48" s="537"/>
      <c r="P48" s="538"/>
      <c r="Q48" s="538">
        <f>H48*0.2</f>
        <v>0</v>
      </c>
      <c r="R48" s="538"/>
      <c r="S48" s="547">
        <f>G48*0.25</f>
        <v>0</v>
      </c>
      <c r="T48" s="547">
        <f>G48*0.25</f>
        <v>0</v>
      </c>
      <c r="U48" s="547">
        <f>G48*0.25</f>
        <v>0</v>
      </c>
      <c r="V48" s="547">
        <f>G48*0.25</f>
        <v>0</v>
      </c>
      <c r="W48" s="535">
        <f>S48*F48</f>
        <v>0</v>
      </c>
      <c r="X48" s="535">
        <f>T48*F48</f>
        <v>0</v>
      </c>
      <c r="Y48" s="535">
        <f>U48*F48</f>
        <v>0</v>
      </c>
      <c r="Z48" s="535">
        <f>V48*F48</f>
        <v>0</v>
      </c>
      <c r="AA48" s="520">
        <v>0</v>
      </c>
      <c r="AB48" s="539">
        <f t="shared" si="1"/>
        <v>0</v>
      </c>
      <c r="AC48" s="520">
        <v>0</v>
      </c>
      <c r="AD48" s="539">
        <f t="shared" si="2"/>
        <v>0</v>
      </c>
      <c r="AE48" s="520">
        <v>0</v>
      </c>
      <c r="AF48" s="539">
        <f t="shared" si="3"/>
        <v>0</v>
      </c>
      <c r="AG48" s="520">
        <v>0</v>
      </c>
      <c r="AH48" s="539">
        <f t="shared" si="4"/>
        <v>0</v>
      </c>
      <c r="AI48" s="520">
        <v>0</v>
      </c>
      <c r="AJ48" s="539">
        <f t="shared" si="5"/>
        <v>0</v>
      </c>
      <c r="AK48" s="520">
        <v>0</v>
      </c>
      <c r="AL48" s="539">
        <f t="shared" si="6"/>
        <v>0</v>
      </c>
      <c r="AM48" s="520">
        <v>0</v>
      </c>
      <c r="AN48" s="539">
        <f>AM48*F48</f>
        <v>0</v>
      </c>
      <c r="AO48" s="520">
        <v>0</v>
      </c>
      <c r="AP48" s="539">
        <f t="shared" si="7"/>
        <v>0</v>
      </c>
      <c r="AQ48" s="520">
        <v>0</v>
      </c>
      <c r="AR48" s="539">
        <f>AQ48*F48</f>
        <v>0</v>
      </c>
      <c r="AS48" s="520">
        <v>0</v>
      </c>
      <c r="AT48" s="539">
        <f>AS48*F48</f>
        <v>0</v>
      </c>
      <c r="AU48" s="520">
        <v>0</v>
      </c>
      <c r="AV48" s="539">
        <f t="shared" si="8"/>
        <v>0</v>
      </c>
      <c r="AW48" s="520">
        <v>0</v>
      </c>
      <c r="AX48" s="539">
        <f t="shared" si="9"/>
        <v>0</v>
      </c>
      <c r="AY48" s="273">
        <v>0</v>
      </c>
      <c r="AZ48" s="539">
        <f t="shared" si="10"/>
        <v>0</v>
      </c>
      <c r="BA48" s="273">
        <v>0</v>
      </c>
      <c r="BB48" s="539">
        <f>BA48*F48</f>
        <v>0</v>
      </c>
      <c r="BC48" s="520">
        <v>0</v>
      </c>
      <c r="BD48" s="539">
        <f t="shared" si="11"/>
        <v>0</v>
      </c>
      <c r="BE48" s="520">
        <v>0</v>
      </c>
      <c r="BF48" s="539">
        <f t="shared" si="12"/>
        <v>0</v>
      </c>
      <c r="BG48" s="520">
        <v>0</v>
      </c>
      <c r="BH48" s="539">
        <f t="shared" si="13"/>
        <v>0</v>
      </c>
      <c r="BI48" s="520">
        <v>0</v>
      </c>
      <c r="BJ48" s="539">
        <f t="shared" si="14"/>
        <v>0</v>
      </c>
      <c r="BK48" s="280">
        <f t="shared" si="147"/>
        <v>0</v>
      </c>
      <c r="BL48" s="280">
        <f t="shared" si="147"/>
        <v>0</v>
      </c>
      <c r="BM48" s="519" t="s">
        <v>209</v>
      </c>
      <c r="BO48" s="264"/>
      <c r="BP48" s="264"/>
      <c r="BQ48" s="264">
        <f>H48</f>
        <v>0</v>
      </c>
      <c r="BR48" s="264"/>
      <c r="BS48" s="264">
        <f>BO48+BP48+BQ48+BR48</f>
        <v>0</v>
      </c>
      <c r="BT48" s="264"/>
      <c r="BU48" s="264"/>
      <c r="BV48" s="264">
        <f>BT48+BU48</f>
        <v>0</v>
      </c>
      <c r="BW48" s="280">
        <f t="shared" si="16"/>
        <v>0</v>
      </c>
    </row>
    <row r="49" spans="1:75" s="499" customFormat="1" x14ac:dyDescent="0.25">
      <c r="A49" s="522"/>
      <c r="B49" s="513"/>
      <c r="C49" s="515"/>
      <c r="D49" s="518" t="s">
        <v>414</v>
      </c>
      <c r="E49" s="542" t="s">
        <v>111</v>
      </c>
      <c r="F49" s="512"/>
      <c r="G49" s="512">
        <f>SUM(G44:G48)</f>
        <v>0</v>
      </c>
      <c r="H49" s="512">
        <f>SUM(H44:H48)</f>
        <v>0</v>
      </c>
      <c r="I49" s="512">
        <f t="shared" ref="I49:BS49" si="148">SUM(I44:I48)</f>
        <v>0</v>
      </c>
      <c r="J49" s="512">
        <f t="shared" si="148"/>
        <v>0</v>
      </c>
      <c r="K49" s="512">
        <f t="shared" si="148"/>
        <v>0</v>
      </c>
      <c r="L49" s="512">
        <f t="shared" si="148"/>
        <v>0</v>
      </c>
      <c r="M49" s="512">
        <f t="shared" si="148"/>
        <v>0</v>
      </c>
      <c r="N49" s="512">
        <f t="shared" si="148"/>
        <v>0</v>
      </c>
      <c r="O49" s="512">
        <f t="shared" si="148"/>
        <v>0</v>
      </c>
      <c r="P49" s="512">
        <f t="shared" si="148"/>
        <v>0</v>
      </c>
      <c r="Q49" s="512">
        <f t="shared" si="148"/>
        <v>0</v>
      </c>
      <c r="R49" s="512">
        <f t="shared" si="148"/>
        <v>0</v>
      </c>
      <c r="S49" s="512">
        <f t="shared" si="148"/>
        <v>0</v>
      </c>
      <c r="T49" s="512">
        <f t="shared" si="148"/>
        <v>0</v>
      </c>
      <c r="U49" s="512">
        <f t="shared" si="148"/>
        <v>0</v>
      </c>
      <c r="V49" s="512">
        <f t="shared" si="148"/>
        <v>0</v>
      </c>
      <c r="W49" s="512">
        <f t="shared" si="148"/>
        <v>0</v>
      </c>
      <c r="X49" s="512">
        <f t="shared" si="148"/>
        <v>0</v>
      </c>
      <c r="Y49" s="512">
        <f t="shared" si="148"/>
        <v>0</v>
      </c>
      <c r="Z49" s="512">
        <f t="shared" si="148"/>
        <v>0</v>
      </c>
      <c r="AA49" s="512">
        <f t="shared" si="148"/>
        <v>0</v>
      </c>
      <c r="AB49" s="512">
        <f t="shared" si="148"/>
        <v>0</v>
      </c>
      <c r="AC49" s="512">
        <f t="shared" si="148"/>
        <v>0</v>
      </c>
      <c r="AD49" s="512">
        <f t="shared" si="148"/>
        <v>0</v>
      </c>
      <c r="AE49" s="512">
        <f t="shared" si="148"/>
        <v>0</v>
      </c>
      <c r="AF49" s="512">
        <f t="shared" si="148"/>
        <v>0</v>
      </c>
      <c r="AG49" s="512">
        <f t="shared" si="148"/>
        <v>0</v>
      </c>
      <c r="AH49" s="512">
        <f t="shared" si="148"/>
        <v>0</v>
      </c>
      <c r="AI49" s="512">
        <f t="shared" si="148"/>
        <v>0</v>
      </c>
      <c r="AJ49" s="512">
        <f t="shared" si="148"/>
        <v>0</v>
      </c>
      <c r="AK49" s="512">
        <f t="shared" si="148"/>
        <v>0</v>
      </c>
      <c r="AL49" s="512">
        <f t="shared" si="148"/>
        <v>0</v>
      </c>
      <c r="AM49" s="512">
        <f t="shared" si="148"/>
        <v>0</v>
      </c>
      <c r="AN49" s="512">
        <f t="shared" si="148"/>
        <v>0</v>
      </c>
      <c r="AO49" s="512">
        <f t="shared" si="148"/>
        <v>0</v>
      </c>
      <c r="AP49" s="512">
        <f t="shared" si="148"/>
        <v>0</v>
      </c>
      <c r="AQ49" s="512">
        <f t="shared" si="148"/>
        <v>0</v>
      </c>
      <c r="AR49" s="512">
        <f t="shared" si="148"/>
        <v>0</v>
      </c>
      <c r="AS49" s="512">
        <f t="shared" si="148"/>
        <v>0</v>
      </c>
      <c r="AT49" s="512">
        <f t="shared" si="148"/>
        <v>0</v>
      </c>
      <c r="AU49" s="512">
        <f t="shared" si="148"/>
        <v>0</v>
      </c>
      <c r="AV49" s="512">
        <f t="shared" si="148"/>
        <v>0</v>
      </c>
      <c r="AW49" s="512">
        <f t="shared" si="148"/>
        <v>0</v>
      </c>
      <c r="AX49" s="512">
        <f t="shared" si="148"/>
        <v>0</v>
      </c>
      <c r="AY49" s="544">
        <f t="shared" si="148"/>
        <v>0</v>
      </c>
      <c r="AZ49" s="512">
        <f t="shared" si="148"/>
        <v>0</v>
      </c>
      <c r="BA49" s="544">
        <f t="shared" si="148"/>
        <v>0</v>
      </c>
      <c r="BB49" s="512">
        <f t="shared" si="148"/>
        <v>0</v>
      </c>
      <c r="BC49" s="512">
        <f t="shared" si="148"/>
        <v>0</v>
      </c>
      <c r="BD49" s="512">
        <f t="shared" si="148"/>
        <v>0</v>
      </c>
      <c r="BE49" s="512">
        <f t="shared" si="148"/>
        <v>0</v>
      </c>
      <c r="BF49" s="512">
        <f t="shared" si="148"/>
        <v>0</v>
      </c>
      <c r="BG49" s="512">
        <f t="shared" si="148"/>
        <v>0</v>
      </c>
      <c r="BH49" s="512">
        <f t="shared" si="148"/>
        <v>0</v>
      </c>
      <c r="BI49" s="512">
        <f t="shared" si="148"/>
        <v>0</v>
      </c>
      <c r="BJ49" s="512">
        <f t="shared" si="148"/>
        <v>0</v>
      </c>
      <c r="BK49" s="512">
        <f t="shared" si="148"/>
        <v>0</v>
      </c>
      <c r="BL49" s="512">
        <f t="shared" si="148"/>
        <v>0</v>
      </c>
      <c r="BM49" s="512">
        <f t="shared" si="148"/>
        <v>0</v>
      </c>
      <c r="BN49" s="512">
        <f t="shared" si="148"/>
        <v>0</v>
      </c>
      <c r="BO49" s="512">
        <f t="shared" si="148"/>
        <v>0</v>
      </c>
      <c r="BP49" s="512">
        <f t="shared" si="148"/>
        <v>0</v>
      </c>
      <c r="BQ49" s="512">
        <f t="shared" si="148"/>
        <v>0</v>
      </c>
      <c r="BR49" s="512">
        <f t="shared" si="148"/>
        <v>0</v>
      </c>
      <c r="BS49" s="512">
        <f t="shared" si="148"/>
        <v>0</v>
      </c>
      <c r="BT49" s="512">
        <f>SUM(BT44:BT48)</f>
        <v>0</v>
      </c>
      <c r="BU49" s="512">
        <f>SUM(BU44:BU48)</f>
        <v>0</v>
      </c>
      <c r="BV49" s="512">
        <f>SUM(BV44:BV48)</f>
        <v>0</v>
      </c>
      <c r="BW49" s="512">
        <f>SUM(BW44:BW48)</f>
        <v>0</v>
      </c>
    </row>
    <row r="50" spans="1:75" ht="28.5" customHeight="1" x14ac:dyDescent="0.25">
      <c r="A50" s="522"/>
      <c r="B50" s="505">
        <v>23600</v>
      </c>
      <c r="C50" s="515"/>
      <c r="D50" s="551" t="s">
        <v>544</v>
      </c>
      <c r="E50" s="519"/>
      <c r="F50" s="519"/>
      <c r="G50" s="520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273"/>
      <c r="U50" s="273"/>
      <c r="V50" s="273"/>
      <c r="W50" s="273"/>
      <c r="X50" s="273"/>
      <c r="Y50" s="273"/>
      <c r="Z50" s="273"/>
      <c r="AA50" s="520"/>
      <c r="AB50" s="539">
        <f t="shared" si="1"/>
        <v>0</v>
      </c>
      <c r="AC50" s="520"/>
      <c r="AD50" s="539">
        <f t="shared" si="2"/>
        <v>0</v>
      </c>
      <c r="AE50" s="520"/>
      <c r="AF50" s="539">
        <f t="shared" si="3"/>
        <v>0</v>
      </c>
      <c r="AG50" s="520"/>
      <c r="AH50" s="539">
        <f t="shared" si="4"/>
        <v>0</v>
      </c>
      <c r="AI50" s="273"/>
      <c r="AJ50" s="539">
        <f t="shared" si="5"/>
        <v>0</v>
      </c>
      <c r="AK50" s="273">
        <v>0</v>
      </c>
      <c r="AL50" s="539">
        <f t="shared" si="6"/>
        <v>0</v>
      </c>
      <c r="AM50" s="273"/>
      <c r="AN50" s="539"/>
      <c r="AO50" s="273"/>
      <c r="AP50" s="539">
        <f t="shared" si="7"/>
        <v>0</v>
      </c>
      <c r="AQ50" s="273"/>
      <c r="AR50" s="539"/>
      <c r="AS50" s="273"/>
      <c r="AT50" s="539"/>
      <c r="AU50" s="273"/>
      <c r="AV50" s="539">
        <f>AU50*F50</f>
        <v>0</v>
      </c>
      <c r="AW50" s="273"/>
      <c r="AX50" s="539">
        <f t="shared" si="9"/>
        <v>0</v>
      </c>
      <c r="AY50" s="273"/>
      <c r="AZ50" s="539">
        <f t="shared" si="10"/>
        <v>0</v>
      </c>
      <c r="BA50" s="273"/>
      <c r="BB50" s="539"/>
      <c r="BC50" s="273"/>
      <c r="BD50" s="539">
        <f t="shared" si="11"/>
        <v>0</v>
      </c>
      <c r="BE50" s="273"/>
      <c r="BF50" s="539">
        <f t="shared" si="12"/>
        <v>0</v>
      </c>
      <c r="BG50" s="273"/>
      <c r="BH50" s="539">
        <f t="shared" si="13"/>
        <v>0</v>
      </c>
      <c r="BI50" s="273"/>
      <c r="BJ50" s="539"/>
      <c r="BK50" s="520"/>
      <c r="BL50" s="539"/>
      <c r="BM50" s="519"/>
      <c r="BO50" s="264"/>
      <c r="BP50" s="264"/>
      <c r="BQ50" s="264"/>
      <c r="BR50" s="264"/>
      <c r="BS50" s="264"/>
      <c r="BT50" s="264"/>
      <c r="BU50" s="264"/>
      <c r="BV50" s="264"/>
      <c r="BW50" s="280">
        <f t="shared" si="16"/>
        <v>0</v>
      </c>
    </row>
    <row r="51" spans="1:75" ht="25.5" x14ac:dyDescent="0.25">
      <c r="A51" s="522"/>
      <c r="B51" s="505"/>
      <c r="C51" s="515" t="s">
        <v>974</v>
      </c>
      <c r="D51" s="536" t="s">
        <v>654</v>
      </c>
      <c r="E51" s="525" t="s">
        <v>16</v>
      </c>
      <c r="F51" s="526">
        <v>50000</v>
      </c>
      <c r="G51" s="280">
        <f>BK51</f>
        <v>0</v>
      </c>
      <c r="H51" s="520">
        <f>F51*G51</f>
        <v>0</v>
      </c>
      <c r="I51" s="552">
        <f>H51*0.1</f>
        <v>0</v>
      </c>
      <c r="J51" s="552">
        <f>H51*0.8</f>
        <v>0</v>
      </c>
      <c r="K51" s="273"/>
      <c r="L51" s="273"/>
      <c r="M51" s="273"/>
      <c r="N51" s="273"/>
      <c r="O51" s="273"/>
      <c r="P51" s="273"/>
      <c r="Q51" s="552">
        <f>H51*0.1</f>
        <v>0</v>
      </c>
      <c r="R51" s="273"/>
      <c r="S51" s="273">
        <f>G51*0.5</f>
        <v>0</v>
      </c>
      <c r="T51" s="273">
        <f>G51*0.5</f>
        <v>0</v>
      </c>
      <c r="U51" s="273"/>
      <c r="V51" s="273"/>
      <c r="W51" s="553">
        <f>H51*0.5</f>
        <v>0</v>
      </c>
      <c r="X51" s="553">
        <f>H51*0.5</f>
        <v>0</v>
      </c>
      <c r="Y51" s="273"/>
      <c r="Z51" s="273"/>
      <c r="AA51" s="520">
        <v>0</v>
      </c>
      <c r="AB51" s="538">
        <f t="shared" ref="AB51:AB58" si="149">AA51*F51</f>
        <v>0</v>
      </c>
      <c r="AC51" s="520">
        <v>0</v>
      </c>
      <c r="AD51" s="539">
        <f t="shared" si="2"/>
        <v>0</v>
      </c>
      <c r="AE51" s="520">
        <v>0</v>
      </c>
      <c r="AF51" s="538">
        <f t="shared" si="3"/>
        <v>0</v>
      </c>
      <c r="AG51" s="520">
        <v>0</v>
      </c>
      <c r="AH51" s="539">
        <f t="shared" si="4"/>
        <v>0</v>
      </c>
      <c r="AI51" s="273">
        <v>0</v>
      </c>
      <c r="AJ51" s="538">
        <f>AI51*F51</f>
        <v>0</v>
      </c>
      <c r="AK51" s="273">
        <v>0</v>
      </c>
      <c r="AL51" s="538">
        <f>AK51*F51</f>
        <v>0</v>
      </c>
      <c r="AM51" s="273">
        <v>0</v>
      </c>
      <c r="AN51" s="538">
        <f>AM51*F51</f>
        <v>0</v>
      </c>
      <c r="AO51" s="273">
        <v>0</v>
      </c>
      <c r="AP51" s="538">
        <f>AO51*F51</f>
        <v>0</v>
      </c>
      <c r="AQ51" s="273">
        <v>0</v>
      </c>
      <c r="AR51" s="538">
        <f t="shared" ref="AR51:AR63" si="150">AQ51*F51</f>
        <v>0</v>
      </c>
      <c r="AS51" s="273">
        <v>0</v>
      </c>
      <c r="AT51" s="538">
        <f t="shared" ref="AT51:AT58" si="151">AS51*F51</f>
        <v>0</v>
      </c>
      <c r="AU51" s="273">
        <v>0</v>
      </c>
      <c r="AV51" s="538">
        <f>AU51*F51</f>
        <v>0</v>
      </c>
      <c r="AW51" s="273">
        <v>0</v>
      </c>
      <c r="AX51" s="538">
        <f t="shared" si="9"/>
        <v>0</v>
      </c>
      <c r="AY51" s="273">
        <v>0</v>
      </c>
      <c r="AZ51" s="538">
        <f>AY51*F51</f>
        <v>0</v>
      </c>
      <c r="BA51" s="273">
        <v>0</v>
      </c>
      <c r="BB51" s="538">
        <f t="shared" ref="BB51:BB58" si="152">BA51*F51</f>
        <v>0</v>
      </c>
      <c r="BC51" s="273">
        <v>0</v>
      </c>
      <c r="BD51" s="539">
        <f t="shared" si="11"/>
        <v>0</v>
      </c>
      <c r="BE51" s="273">
        <v>0</v>
      </c>
      <c r="BF51" s="538">
        <f>BE51*F51</f>
        <v>0</v>
      </c>
      <c r="BG51" s="273">
        <v>0</v>
      </c>
      <c r="BH51" s="538">
        <f>BG51*F51</f>
        <v>0</v>
      </c>
      <c r="BI51" s="273"/>
      <c r="BJ51" s="539"/>
      <c r="BK51" s="280">
        <f t="shared" ref="BK51:BK63" si="153">BI51+BG51+BE51+BC51+BA51+AY51+AW51+AU51+AS51+AQ51+AO51+AM51+AK51+AI51+AG51+AE51+AC51+AA51</f>
        <v>0</v>
      </c>
      <c r="BL51" s="280">
        <f t="shared" ref="BL51:BL63" si="154">BJ51+BH51+BF51+BD51+BB51+AZ51+AX51+AV51+AT51+AR51+AP51+AN51+AL51+AJ51+AH51+AF51+AD51+AB51</f>
        <v>0</v>
      </c>
      <c r="BM51" s="554" t="s">
        <v>212</v>
      </c>
      <c r="BO51" s="264"/>
      <c r="BP51" s="264"/>
      <c r="BQ51" s="264">
        <f>H51</f>
        <v>0</v>
      </c>
      <c r="BR51" s="264"/>
      <c r="BS51" s="264">
        <f t="shared" ref="BS51:BS63" si="155">BO51+BP51+BQ51+BR51</f>
        <v>0</v>
      </c>
      <c r="BT51" s="264"/>
      <c r="BU51" s="264"/>
      <c r="BV51" s="264"/>
      <c r="BW51" s="280">
        <f t="shared" si="16"/>
        <v>0</v>
      </c>
    </row>
    <row r="52" spans="1:75" x14ac:dyDescent="0.25">
      <c r="A52" s="522"/>
      <c r="B52" s="505"/>
      <c r="C52" s="515" t="s">
        <v>975</v>
      </c>
      <c r="D52" s="536" t="s">
        <v>619</v>
      </c>
      <c r="E52" s="525"/>
      <c r="F52" s="526">
        <v>500000</v>
      </c>
      <c r="G52" s="520">
        <f>BK52</f>
        <v>0</v>
      </c>
      <c r="H52" s="520">
        <f>BL52</f>
        <v>0</v>
      </c>
      <c r="I52" s="552">
        <f>H52*0.1</f>
        <v>0</v>
      </c>
      <c r="J52" s="552">
        <f>H52*0.8</f>
        <v>0</v>
      </c>
      <c r="K52" s="273"/>
      <c r="L52" s="273"/>
      <c r="M52" s="273"/>
      <c r="N52" s="273"/>
      <c r="O52" s="273"/>
      <c r="P52" s="273"/>
      <c r="Q52" s="552">
        <f>H52*0.1</f>
        <v>0</v>
      </c>
      <c r="R52" s="273"/>
      <c r="S52" s="273">
        <f>G52*0.5</f>
        <v>0</v>
      </c>
      <c r="T52" s="273">
        <f>G52*0.5</f>
        <v>0</v>
      </c>
      <c r="U52" s="273"/>
      <c r="V52" s="273"/>
      <c r="W52" s="553">
        <f>H52*0.5</f>
        <v>0</v>
      </c>
      <c r="X52" s="553">
        <f>H52*0.5</f>
        <v>0</v>
      </c>
      <c r="Y52" s="273"/>
      <c r="Z52" s="273"/>
      <c r="AA52" s="520"/>
      <c r="AB52" s="538">
        <f t="shared" si="149"/>
        <v>0</v>
      </c>
      <c r="AC52" s="520">
        <v>0</v>
      </c>
      <c r="AD52" s="538">
        <f t="shared" si="2"/>
        <v>0</v>
      </c>
      <c r="AE52" s="520">
        <v>0</v>
      </c>
      <c r="AF52" s="538">
        <f t="shared" si="3"/>
        <v>0</v>
      </c>
      <c r="AG52" s="520">
        <v>0</v>
      </c>
      <c r="AH52" s="538">
        <f t="shared" si="4"/>
        <v>0</v>
      </c>
      <c r="AI52" s="273">
        <v>0</v>
      </c>
      <c r="AJ52" s="538">
        <f>AI52*F52</f>
        <v>0</v>
      </c>
      <c r="AK52" s="273">
        <v>0</v>
      </c>
      <c r="AL52" s="538">
        <f>AK52*F52</f>
        <v>0</v>
      </c>
      <c r="AM52" s="273">
        <v>0</v>
      </c>
      <c r="AN52" s="538">
        <f>AM52*F52</f>
        <v>0</v>
      </c>
      <c r="AO52" s="273">
        <v>0</v>
      </c>
      <c r="AP52" s="538">
        <f>AO52*F52</f>
        <v>0</v>
      </c>
      <c r="AQ52" s="273"/>
      <c r="AR52" s="538">
        <f t="shared" si="150"/>
        <v>0</v>
      </c>
      <c r="AS52" s="273">
        <v>0</v>
      </c>
      <c r="AT52" s="538">
        <f t="shared" si="151"/>
        <v>0</v>
      </c>
      <c r="AU52" s="273">
        <v>0</v>
      </c>
      <c r="AV52" s="538">
        <f>AU52*F52</f>
        <v>0</v>
      </c>
      <c r="AW52" s="273">
        <v>0</v>
      </c>
      <c r="AX52" s="538">
        <f t="shared" si="9"/>
        <v>0</v>
      </c>
      <c r="AY52" s="273">
        <v>0</v>
      </c>
      <c r="AZ52" s="538">
        <f>AY52*F52</f>
        <v>0</v>
      </c>
      <c r="BA52" s="273">
        <v>0</v>
      </c>
      <c r="BB52" s="538">
        <f t="shared" si="152"/>
        <v>0</v>
      </c>
      <c r="BC52" s="273">
        <v>0</v>
      </c>
      <c r="BD52" s="538">
        <f t="shared" ref="BD52:BD56" si="156">BC52*F52</f>
        <v>0</v>
      </c>
      <c r="BE52" s="273"/>
      <c r="BF52" s="538">
        <f>BE52*F52</f>
        <v>0</v>
      </c>
      <c r="BG52" s="273">
        <v>0</v>
      </c>
      <c r="BH52" s="538">
        <f>BG52*F52</f>
        <v>0</v>
      </c>
      <c r="BI52" s="273"/>
      <c r="BJ52" s="539"/>
      <c r="BK52" s="280">
        <f t="shared" si="153"/>
        <v>0</v>
      </c>
      <c r="BL52" s="280">
        <f t="shared" si="154"/>
        <v>0</v>
      </c>
      <c r="BM52" s="554" t="s">
        <v>212</v>
      </c>
      <c r="BO52" s="264">
        <f>H52</f>
        <v>0</v>
      </c>
      <c r="BP52" s="264"/>
      <c r="BQ52" s="264"/>
      <c r="BR52" s="264"/>
      <c r="BS52" s="264">
        <f t="shared" si="155"/>
        <v>0</v>
      </c>
      <c r="BT52" s="264"/>
      <c r="BU52" s="264"/>
      <c r="BV52" s="264"/>
      <c r="BW52" s="280">
        <f t="shared" si="16"/>
        <v>0</v>
      </c>
    </row>
    <row r="53" spans="1:75" x14ac:dyDescent="0.25">
      <c r="A53" s="522"/>
      <c r="B53" s="505"/>
      <c r="C53" s="515" t="s">
        <v>976</v>
      </c>
      <c r="D53" s="536" t="s">
        <v>586</v>
      </c>
      <c r="E53" s="525" t="s">
        <v>238</v>
      </c>
      <c r="F53" s="526">
        <v>100000</v>
      </c>
      <c r="G53" s="520">
        <f>BK53</f>
        <v>0</v>
      </c>
      <c r="H53" s="537">
        <f>F53*G53</f>
        <v>0</v>
      </c>
      <c r="I53" s="552">
        <f>H53*0.1</f>
        <v>0</v>
      </c>
      <c r="J53" s="552">
        <f>H53*0.8</f>
        <v>0</v>
      </c>
      <c r="K53" s="273"/>
      <c r="L53" s="273"/>
      <c r="M53" s="273"/>
      <c r="N53" s="273"/>
      <c r="O53" s="273"/>
      <c r="P53" s="273"/>
      <c r="Q53" s="552">
        <f>H53*0.1</f>
        <v>0</v>
      </c>
      <c r="R53" s="273"/>
      <c r="S53" s="273"/>
      <c r="T53" s="273"/>
      <c r="U53" s="273"/>
      <c r="V53" s="273">
        <v>0</v>
      </c>
      <c r="W53" s="535">
        <f>S53*F53</f>
        <v>0</v>
      </c>
      <c r="X53" s="535">
        <f>T53*F53</f>
        <v>0</v>
      </c>
      <c r="Y53" s="535">
        <f>U53*F53</f>
        <v>0</v>
      </c>
      <c r="Z53" s="535">
        <f>V53*F53</f>
        <v>0</v>
      </c>
      <c r="AA53" s="520">
        <v>0</v>
      </c>
      <c r="AB53" s="538">
        <f t="shared" si="149"/>
        <v>0</v>
      </c>
      <c r="AC53" s="520">
        <v>0</v>
      </c>
      <c r="AD53" s="538">
        <f t="shared" si="2"/>
        <v>0</v>
      </c>
      <c r="AE53" s="520">
        <v>0</v>
      </c>
      <c r="AF53" s="538">
        <f t="shared" si="3"/>
        <v>0</v>
      </c>
      <c r="AG53" s="520">
        <v>0</v>
      </c>
      <c r="AH53" s="538">
        <f t="shared" si="4"/>
        <v>0</v>
      </c>
      <c r="AI53" s="273">
        <v>0</v>
      </c>
      <c r="AJ53" s="538">
        <f>AI53*F53</f>
        <v>0</v>
      </c>
      <c r="AK53" s="273">
        <v>0</v>
      </c>
      <c r="AL53" s="538">
        <f>AK53*F53</f>
        <v>0</v>
      </c>
      <c r="AM53" s="273">
        <v>0</v>
      </c>
      <c r="AN53" s="538">
        <f>AM53*F53</f>
        <v>0</v>
      </c>
      <c r="AO53" s="273">
        <v>0</v>
      </c>
      <c r="AP53" s="538">
        <f>AO53*F53</f>
        <v>0</v>
      </c>
      <c r="AQ53" s="273">
        <v>0</v>
      </c>
      <c r="AR53" s="538">
        <f t="shared" si="150"/>
        <v>0</v>
      </c>
      <c r="AS53" s="273">
        <v>0</v>
      </c>
      <c r="AT53" s="538">
        <f t="shared" si="151"/>
        <v>0</v>
      </c>
      <c r="AU53" s="273">
        <v>0</v>
      </c>
      <c r="AV53" s="538">
        <f>AU53*F53</f>
        <v>0</v>
      </c>
      <c r="AW53" s="273">
        <v>0</v>
      </c>
      <c r="AX53" s="538">
        <f t="shared" si="9"/>
        <v>0</v>
      </c>
      <c r="AY53" s="273">
        <v>0</v>
      </c>
      <c r="AZ53" s="538">
        <f>AY53*F53</f>
        <v>0</v>
      </c>
      <c r="BA53" s="273">
        <v>0</v>
      </c>
      <c r="BB53" s="538">
        <f t="shared" si="152"/>
        <v>0</v>
      </c>
      <c r="BC53" s="273">
        <v>0</v>
      </c>
      <c r="BD53" s="538">
        <f t="shared" si="156"/>
        <v>0</v>
      </c>
      <c r="BE53" s="273">
        <v>0</v>
      </c>
      <c r="BF53" s="538">
        <f>BE53*F53</f>
        <v>0</v>
      </c>
      <c r="BG53" s="273">
        <v>0</v>
      </c>
      <c r="BH53" s="538">
        <f>BG53*F53</f>
        <v>0</v>
      </c>
      <c r="BI53" s="273"/>
      <c r="BJ53" s="539"/>
      <c r="BK53" s="280">
        <f t="shared" si="153"/>
        <v>0</v>
      </c>
      <c r="BL53" s="280">
        <f t="shared" si="154"/>
        <v>0</v>
      </c>
      <c r="BM53" s="554"/>
      <c r="BO53" s="264"/>
      <c r="BP53" s="264"/>
      <c r="BQ53" s="264">
        <f>H53</f>
        <v>0</v>
      </c>
      <c r="BR53" s="264"/>
      <c r="BS53" s="264">
        <f t="shared" si="155"/>
        <v>0</v>
      </c>
      <c r="BT53" s="264"/>
      <c r="BU53" s="264"/>
      <c r="BV53" s="264"/>
      <c r="BW53" s="280">
        <f t="shared" si="16"/>
        <v>0</v>
      </c>
    </row>
    <row r="54" spans="1:75" x14ac:dyDescent="0.25">
      <c r="A54" s="522"/>
      <c r="B54" s="505"/>
      <c r="C54" s="515"/>
      <c r="D54" s="536" t="s">
        <v>848</v>
      </c>
      <c r="E54" s="525" t="s">
        <v>584</v>
      </c>
      <c r="F54" s="526">
        <v>5000</v>
      </c>
      <c r="G54" s="520">
        <f>BK54</f>
        <v>0</v>
      </c>
      <c r="H54" s="537">
        <f>F54*G54</f>
        <v>0</v>
      </c>
      <c r="I54" s="552"/>
      <c r="J54" s="552"/>
      <c r="K54" s="553">
        <f>H54*1</f>
        <v>0</v>
      </c>
      <c r="L54" s="273"/>
      <c r="M54" s="273"/>
      <c r="N54" s="273"/>
      <c r="O54" s="273"/>
      <c r="P54" s="273"/>
      <c r="Q54" s="552"/>
      <c r="R54" s="273"/>
      <c r="S54" s="273"/>
      <c r="T54" s="273"/>
      <c r="U54" s="273"/>
      <c r="V54" s="273"/>
      <c r="W54" s="535"/>
      <c r="X54" s="535"/>
      <c r="Y54" s="535"/>
      <c r="Z54" s="535"/>
      <c r="AA54" s="520">
        <v>0</v>
      </c>
      <c r="AB54" s="538">
        <f t="shared" si="149"/>
        <v>0</v>
      </c>
      <c r="AC54" s="520">
        <v>0</v>
      </c>
      <c r="AD54" s="538">
        <f t="shared" si="2"/>
        <v>0</v>
      </c>
      <c r="AE54" s="520">
        <v>0</v>
      </c>
      <c r="AF54" s="538">
        <f t="shared" si="3"/>
        <v>0</v>
      </c>
      <c r="AG54" s="520">
        <v>0</v>
      </c>
      <c r="AH54" s="538">
        <f t="shared" si="4"/>
        <v>0</v>
      </c>
      <c r="AI54" s="273">
        <v>0</v>
      </c>
      <c r="AJ54" s="538">
        <f>AI54*F54</f>
        <v>0</v>
      </c>
      <c r="AK54" s="273">
        <v>0</v>
      </c>
      <c r="AL54" s="538">
        <f>AK54*F54</f>
        <v>0</v>
      </c>
      <c r="AM54" s="273">
        <v>0</v>
      </c>
      <c r="AN54" s="538">
        <f>AM54*F54</f>
        <v>0</v>
      </c>
      <c r="AO54" s="273">
        <v>0</v>
      </c>
      <c r="AP54" s="538">
        <f>AO54*F54</f>
        <v>0</v>
      </c>
      <c r="AQ54" s="273">
        <v>0</v>
      </c>
      <c r="AR54" s="538">
        <f t="shared" si="150"/>
        <v>0</v>
      </c>
      <c r="AS54" s="273">
        <v>0</v>
      </c>
      <c r="AT54" s="538">
        <f t="shared" si="151"/>
        <v>0</v>
      </c>
      <c r="AU54" s="273">
        <v>0</v>
      </c>
      <c r="AV54" s="538">
        <f>AU54*F54</f>
        <v>0</v>
      </c>
      <c r="AW54" s="273">
        <v>0</v>
      </c>
      <c r="AX54" s="538">
        <f t="shared" si="9"/>
        <v>0</v>
      </c>
      <c r="AY54" s="273">
        <v>0</v>
      </c>
      <c r="AZ54" s="538">
        <f>AY54*F54</f>
        <v>0</v>
      </c>
      <c r="BA54" s="273">
        <v>0</v>
      </c>
      <c r="BB54" s="538">
        <f t="shared" si="152"/>
        <v>0</v>
      </c>
      <c r="BC54" s="273">
        <v>0</v>
      </c>
      <c r="BD54" s="538">
        <f t="shared" si="156"/>
        <v>0</v>
      </c>
      <c r="BE54" s="273">
        <v>0</v>
      </c>
      <c r="BF54" s="538">
        <f>BE54*F54</f>
        <v>0</v>
      </c>
      <c r="BG54" s="273">
        <v>0</v>
      </c>
      <c r="BH54" s="538">
        <f>BG54*F54</f>
        <v>0</v>
      </c>
      <c r="BI54" s="273"/>
      <c r="BJ54" s="539"/>
      <c r="BK54" s="280">
        <f>BI54+BG54+BE54+BC54+BA54+AY54+AW54+AU54+AS54+AQ54+AO54+AM54+AK54+AI54+AG54+AE54+AC54+AA54</f>
        <v>0</v>
      </c>
      <c r="BL54" s="280">
        <f>BJ54+BH54+BF54+BD54+BB54+AZ54+AX54+AV54+AT54+AR54+AP54+AN54+AL54+AJ54+AH54+AF54+AD54+AB54</f>
        <v>0</v>
      </c>
      <c r="BM54" s="555" t="s">
        <v>518</v>
      </c>
      <c r="BO54" s="264"/>
      <c r="BP54" s="264"/>
      <c r="BQ54" s="264"/>
      <c r="BR54" s="264"/>
      <c r="BS54" s="264"/>
      <c r="BT54" s="264"/>
      <c r="BU54" s="264"/>
      <c r="BV54" s="264"/>
      <c r="BW54" s="280"/>
    </row>
    <row r="55" spans="1:75" ht="25.5" x14ac:dyDescent="0.25">
      <c r="A55" s="522"/>
      <c r="B55" s="511"/>
      <c r="C55" s="515"/>
      <c r="D55" s="556" t="s">
        <v>847</v>
      </c>
      <c r="E55" s="511" t="s">
        <v>238</v>
      </c>
      <c r="F55" s="557">
        <v>700000</v>
      </c>
      <c r="G55" s="558">
        <f t="shared" ref="G55:G60" si="157">BK55</f>
        <v>0</v>
      </c>
      <c r="H55" s="553">
        <f>BL55</f>
        <v>0</v>
      </c>
      <c r="I55" s="553"/>
      <c r="J55" s="553"/>
      <c r="K55" s="553">
        <f>H55*1</f>
        <v>0</v>
      </c>
      <c r="L55" s="559"/>
      <c r="M55" s="559"/>
      <c r="N55" s="559"/>
      <c r="O55" s="559"/>
      <c r="P55" s="559"/>
      <c r="Q55" s="553">
        <f>H55*0</f>
        <v>0</v>
      </c>
      <c r="R55" s="559">
        <f>H55*0</f>
        <v>0</v>
      </c>
      <c r="S55" s="273">
        <f>G55*0.25</f>
        <v>0</v>
      </c>
      <c r="T55" s="273">
        <f>G55*0.25</f>
        <v>0</v>
      </c>
      <c r="U55" s="273">
        <f>G55*0.25</f>
        <v>0</v>
      </c>
      <c r="V55" s="273">
        <f>G55*0.25</f>
        <v>0</v>
      </c>
      <c r="W55" s="538">
        <f>H55*0.25</f>
        <v>0</v>
      </c>
      <c r="X55" s="538">
        <f>H55*0.25</f>
        <v>0</v>
      </c>
      <c r="Y55" s="538">
        <f>H55*0.25</f>
        <v>0</v>
      </c>
      <c r="Z55" s="538">
        <f>H55*0.25</f>
        <v>0</v>
      </c>
      <c r="AA55" s="560">
        <v>0</v>
      </c>
      <c r="AB55" s="538">
        <f t="shared" si="149"/>
        <v>0</v>
      </c>
      <c r="AC55" s="560">
        <v>0</v>
      </c>
      <c r="AD55" s="538">
        <f t="shared" si="2"/>
        <v>0</v>
      </c>
      <c r="AE55" s="560">
        <v>0</v>
      </c>
      <c r="AF55" s="538">
        <f t="shared" si="3"/>
        <v>0</v>
      </c>
      <c r="AG55" s="560">
        <v>0</v>
      </c>
      <c r="AH55" s="538">
        <f t="shared" si="4"/>
        <v>0</v>
      </c>
      <c r="AI55" s="560">
        <v>0</v>
      </c>
      <c r="AJ55" s="538">
        <f t="shared" si="5"/>
        <v>0</v>
      </c>
      <c r="AK55" s="560">
        <v>0</v>
      </c>
      <c r="AL55" s="538">
        <f t="shared" si="6"/>
        <v>0</v>
      </c>
      <c r="AM55" s="560">
        <v>0</v>
      </c>
      <c r="AN55" s="538">
        <f>AM55*F55</f>
        <v>0</v>
      </c>
      <c r="AO55" s="560">
        <v>0</v>
      </c>
      <c r="AP55" s="538">
        <f t="shared" si="7"/>
        <v>0</v>
      </c>
      <c r="AQ55" s="560">
        <v>0</v>
      </c>
      <c r="AR55" s="538">
        <f t="shared" si="150"/>
        <v>0</v>
      </c>
      <c r="AS55" s="560">
        <v>0</v>
      </c>
      <c r="AT55" s="538">
        <f t="shared" si="151"/>
        <v>0</v>
      </c>
      <c r="AU55" s="560">
        <v>0</v>
      </c>
      <c r="AV55" s="538">
        <f t="shared" si="8"/>
        <v>0</v>
      </c>
      <c r="AW55" s="560">
        <v>0</v>
      </c>
      <c r="AX55" s="538">
        <f t="shared" si="9"/>
        <v>0</v>
      </c>
      <c r="AY55" s="560">
        <v>0</v>
      </c>
      <c r="AZ55" s="538">
        <f t="shared" si="10"/>
        <v>0</v>
      </c>
      <c r="BA55" s="560">
        <v>0</v>
      </c>
      <c r="BB55" s="538">
        <f t="shared" si="152"/>
        <v>0</v>
      </c>
      <c r="BC55" s="560">
        <v>0</v>
      </c>
      <c r="BD55" s="538">
        <f t="shared" si="156"/>
        <v>0</v>
      </c>
      <c r="BE55" s="560">
        <v>0</v>
      </c>
      <c r="BF55" s="538">
        <f t="shared" si="12"/>
        <v>0</v>
      </c>
      <c r="BG55" s="560">
        <v>0</v>
      </c>
      <c r="BH55" s="538">
        <f t="shared" si="13"/>
        <v>0</v>
      </c>
      <c r="BI55" s="560">
        <v>0</v>
      </c>
      <c r="BJ55" s="538">
        <f>BI55*F55</f>
        <v>0</v>
      </c>
      <c r="BK55" s="280">
        <f t="shared" si="153"/>
        <v>0</v>
      </c>
      <c r="BL55" s="280">
        <f t="shared" si="154"/>
        <v>0</v>
      </c>
      <c r="BM55" s="555" t="s">
        <v>518</v>
      </c>
      <c r="BN55" s="500"/>
      <c r="BO55" s="538"/>
      <c r="BP55" s="538"/>
      <c r="BQ55" s="264">
        <f>H55</f>
        <v>0</v>
      </c>
      <c r="BR55" s="538"/>
      <c r="BS55" s="264">
        <f t="shared" si="155"/>
        <v>0</v>
      </c>
      <c r="BT55" s="538"/>
      <c r="BU55" s="538"/>
      <c r="BV55" s="538"/>
      <c r="BW55" s="280">
        <f t="shared" si="16"/>
        <v>0</v>
      </c>
    </row>
    <row r="56" spans="1:75" x14ac:dyDescent="0.25">
      <c r="A56" s="522"/>
      <c r="B56" s="511"/>
      <c r="C56" s="515" t="s">
        <v>977</v>
      </c>
      <c r="D56" s="556" t="s">
        <v>661</v>
      </c>
      <c r="E56" s="511"/>
      <c r="F56" s="557">
        <v>700000</v>
      </c>
      <c r="G56" s="558">
        <f t="shared" si="157"/>
        <v>0</v>
      </c>
      <c r="H56" s="553">
        <f>BL56</f>
        <v>0</v>
      </c>
      <c r="I56" s="552">
        <f>H56*0.2</f>
        <v>0</v>
      </c>
      <c r="J56" s="552">
        <f>H56*0.8</f>
        <v>0</v>
      </c>
      <c r="K56" s="553"/>
      <c r="L56" s="559"/>
      <c r="M56" s="553">
        <v>0</v>
      </c>
      <c r="N56" s="559"/>
      <c r="O56" s="559"/>
      <c r="P56" s="559"/>
      <c r="Q56" s="552">
        <f>H56*0</f>
        <v>0</v>
      </c>
      <c r="R56" s="559"/>
      <c r="S56" s="273">
        <f>G56*0.25</f>
        <v>0</v>
      </c>
      <c r="T56" s="273">
        <f>G56*0.25</f>
        <v>0</v>
      </c>
      <c r="U56" s="273">
        <f>G56*0.25</f>
        <v>0</v>
      </c>
      <c r="V56" s="273">
        <f>G56*0.25</f>
        <v>0</v>
      </c>
      <c r="W56" s="538">
        <f>S56*F56</f>
        <v>0</v>
      </c>
      <c r="X56" s="538">
        <f>T56*F56</f>
        <v>0</v>
      </c>
      <c r="Y56" s="538">
        <f>U56*F56</f>
        <v>0</v>
      </c>
      <c r="Z56" s="538">
        <f>V56*F56</f>
        <v>0</v>
      </c>
      <c r="AA56" s="560">
        <v>0</v>
      </c>
      <c r="AB56" s="538">
        <f t="shared" si="149"/>
        <v>0</v>
      </c>
      <c r="AC56" s="560">
        <v>0</v>
      </c>
      <c r="AD56" s="538">
        <f t="shared" si="2"/>
        <v>0</v>
      </c>
      <c r="AE56" s="560">
        <v>0</v>
      </c>
      <c r="AF56" s="538">
        <f t="shared" si="3"/>
        <v>0</v>
      </c>
      <c r="AG56" s="560">
        <v>0</v>
      </c>
      <c r="AH56" s="538">
        <f t="shared" si="4"/>
        <v>0</v>
      </c>
      <c r="AI56" s="560">
        <v>0</v>
      </c>
      <c r="AJ56" s="538"/>
      <c r="AK56" s="560">
        <v>0</v>
      </c>
      <c r="AL56" s="538"/>
      <c r="AM56" s="560"/>
      <c r="AN56" s="538"/>
      <c r="AO56" s="560">
        <v>0</v>
      </c>
      <c r="AP56" s="538">
        <f t="shared" si="7"/>
        <v>0</v>
      </c>
      <c r="AQ56" s="560">
        <v>0</v>
      </c>
      <c r="AR56" s="538">
        <f t="shared" si="150"/>
        <v>0</v>
      </c>
      <c r="AS56" s="560">
        <v>0</v>
      </c>
      <c r="AT56" s="538">
        <f t="shared" si="151"/>
        <v>0</v>
      </c>
      <c r="AU56" s="560"/>
      <c r="AV56" s="538"/>
      <c r="AW56" s="560">
        <v>0</v>
      </c>
      <c r="AX56" s="538">
        <f t="shared" si="9"/>
        <v>0</v>
      </c>
      <c r="AY56" s="560"/>
      <c r="AZ56" s="538"/>
      <c r="BA56" s="560">
        <v>0</v>
      </c>
      <c r="BB56" s="538">
        <f t="shared" si="152"/>
        <v>0</v>
      </c>
      <c r="BC56" s="560">
        <v>0</v>
      </c>
      <c r="BD56" s="538">
        <f t="shared" si="156"/>
        <v>0</v>
      </c>
      <c r="BE56" s="560">
        <v>0</v>
      </c>
      <c r="BF56" s="538">
        <f t="shared" si="12"/>
        <v>0</v>
      </c>
      <c r="BG56" s="560">
        <v>0</v>
      </c>
      <c r="BH56" s="538">
        <f t="shared" si="13"/>
        <v>0</v>
      </c>
      <c r="BI56" s="560"/>
      <c r="BJ56" s="538"/>
      <c r="BK56" s="280">
        <f t="shared" si="153"/>
        <v>0</v>
      </c>
      <c r="BL56" s="280">
        <f t="shared" si="154"/>
        <v>0</v>
      </c>
      <c r="BM56" s="554" t="s">
        <v>863</v>
      </c>
      <c r="BN56" s="500"/>
      <c r="BO56" s="538">
        <f>H56</f>
        <v>0</v>
      </c>
      <c r="BP56" s="538"/>
      <c r="BQ56" s="264"/>
      <c r="BR56" s="538"/>
      <c r="BS56" s="264">
        <f t="shared" si="155"/>
        <v>0</v>
      </c>
      <c r="BT56" s="538"/>
      <c r="BU56" s="538"/>
      <c r="BV56" s="538"/>
      <c r="BW56" s="280">
        <f t="shared" si="16"/>
        <v>0</v>
      </c>
    </row>
    <row r="57" spans="1:75" x14ac:dyDescent="0.25">
      <c r="A57" s="522"/>
      <c r="B57" s="511"/>
      <c r="C57" s="515"/>
      <c r="D57" s="556" t="s">
        <v>617</v>
      </c>
      <c r="E57" s="511" t="s">
        <v>238</v>
      </c>
      <c r="F57" s="557">
        <v>800000</v>
      </c>
      <c r="G57" s="558">
        <f t="shared" si="157"/>
        <v>0</v>
      </c>
      <c r="H57" s="553">
        <f>G57*F57</f>
        <v>0</v>
      </c>
      <c r="I57" s="553"/>
      <c r="J57" s="553"/>
      <c r="K57" s="553"/>
      <c r="L57" s="559"/>
      <c r="M57" s="553">
        <f>H57</f>
        <v>0</v>
      </c>
      <c r="N57" s="559"/>
      <c r="O57" s="559"/>
      <c r="P57" s="559"/>
      <c r="Q57" s="553"/>
      <c r="R57" s="559"/>
      <c r="S57" s="273">
        <f>G57*0.25</f>
        <v>0</v>
      </c>
      <c r="T57" s="273">
        <f>G57*0.25</f>
        <v>0</v>
      </c>
      <c r="U57" s="273">
        <f>G57*0.25</f>
        <v>0</v>
      </c>
      <c r="V57" s="273">
        <f>G57*0.25</f>
        <v>0</v>
      </c>
      <c r="W57" s="538">
        <f>S57*F57</f>
        <v>0</v>
      </c>
      <c r="X57" s="538">
        <f>T57*F57</f>
        <v>0</v>
      </c>
      <c r="Y57" s="538">
        <f>U57*F57</f>
        <v>0</v>
      </c>
      <c r="Z57" s="538">
        <f>V57*F57</f>
        <v>0</v>
      </c>
      <c r="AA57" s="560">
        <v>0</v>
      </c>
      <c r="AB57" s="538">
        <f t="shared" si="149"/>
        <v>0</v>
      </c>
      <c r="AC57" s="560">
        <v>0</v>
      </c>
      <c r="AD57" s="538">
        <f t="shared" si="2"/>
        <v>0</v>
      </c>
      <c r="AE57" s="560">
        <v>0</v>
      </c>
      <c r="AF57" s="538">
        <f t="shared" si="3"/>
        <v>0</v>
      </c>
      <c r="AG57" s="560">
        <v>0</v>
      </c>
      <c r="AH57" s="538">
        <f t="shared" si="4"/>
        <v>0</v>
      </c>
      <c r="AI57" s="560">
        <v>0</v>
      </c>
      <c r="AJ57" s="538">
        <f t="shared" si="5"/>
        <v>0</v>
      </c>
      <c r="AK57" s="560">
        <v>0</v>
      </c>
      <c r="AL57" s="538">
        <f t="shared" si="6"/>
        <v>0</v>
      </c>
      <c r="AM57" s="560">
        <v>0</v>
      </c>
      <c r="AN57" s="538">
        <f t="shared" ref="AN57:AN63" si="158">AM57*F57</f>
        <v>0</v>
      </c>
      <c r="AO57" s="560">
        <v>0</v>
      </c>
      <c r="AP57" s="538">
        <f t="shared" si="7"/>
        <v>0</v>
      </c>
      <c r="AQ57" s="560">
        <v>0</v>
      </c>
      <c r="AR57" s="538">
        <f t="shared" si="150"/>
        <v>0</v>
      </c>
      <c r="AS57" s="560">
        <v>0</v>
      </c>
      <c r="AT57" s="538">
        <f t="shared" si="151"/>
        <v>0</v>
      </c>
      <c r="AU57" s="560">
        <v>0</v>
      </c>
      <c r="AV57" s="538">
        <f t="shared" si="8"/>
        <v>0</v>
      </c>
      <c r="AW57" s="560">
        <v>0</v>
      </c>
      <c r="AX57" s="538">
        <f t="shared" si="9"/>
        <v>0</v>
      </c>
      <c r="AY57" s="560">
        <v>0</v>
      </c>
      <c r="AZ57" s="538">
        <f t="shared" si="10"/>
        <v>0</v>
      </c>
      <c r="BA57" s="560">
        <v>0</v>
      </c>
      <c r="BB57" s="538">
        <f t="shared" si="152"/>
        <v>0</v>
      </c>
      <c r="BC57" s="560">
        <v>0</v>
      </c>
      <c r="BD57" s="538">
        <f t="shared" si="11"/>
        <v>0</v>
      </c>
      <c r="BE57" s="560">
        <v>0</v>
      </c>
      <c r="BF57" s="538">
        <f t="shared" si="12"/>
        <v>0</v>
      </c>
      <c r="BG57" s="560">
        <v>0</v>
      </c>
      <c r="BH57" s="538">
        <f t="shared" si="13"/>
        <v>0</v>
      </c>
      <c r="BI57" s="560"/>
      <c r="BJ57" s="538"/>
      <c r="BK57" s="280">
        <f t="shared" si="153"/>
        <v>0</v>
      </c>
      <c r="BL57" s="280">
        <f t="shared" si="154"/>
        <v>0</v>
      </c>
      <c r="BM57" s="555" t="s">
        <v>542</v>
      </c>
      <c r="BN57" s="500"/>
      <c r="BO57" s="538"/>
      <c r="BP57" s="538"/>
      <c r="BQ57" s="264">
        <f>H57</f>
        <v>0</v>
      </c>
      <c r="BR57" s="538"/>
      <c r="BS57" s="264">
        <f t="shared" si="155"/>
        <v>0</v>
      </c>
      <c r="BT57" s="538"/>
      <c r="BU57" s="538"/>
      <c r="BV57" s="538"/>
      <c r="BW57" s="280">
        <f t="shared" si="16"/>
        <v>0</v>
      </c>
    </row>
    <row r="58" spans="1:75" x14ac:dyDescent="0.25">
      <c r="A58" s="522"/>
      <c r="B58" s="511"/>
      <c r="C58" s="515" t="s">
        <v>1171</v>
      </c>
      <c r="D58" s="556" t="s">
        <v>618</v>
      </c>
      <c r="E58" s="511" t="s">
        <v>238</v>
      </c>
      <c r="F58" s="557">
        <v>0</v>
      </c>
      <c r="G58" s="558">
        <f>BK58</f>
        <v>0</v>
      </c>
      <c r="H58" s="553">
        <f>G58*F58</f>
        <v>0</v>
      </c>
      <c r="I58" s="552">
        <f>H58*0.2</f>
        <v>0</v>
      </c>
      <c r="J58" s="552">
        <f>H58*0.8</f>
        <v>0</v>
      </c>
      <c r="K58" s="553"/>
      <c r="L58" s="559"/>
      <c r="M58" s="553"/>
      <c r="N58" s="559"/>
      <c r="O58" s="559"/>
      <c r="P58" s="559"/>
      <c r="Q58" s="552">
        <v>0</v>
      </c>
      <c r="R58" s="559"/>
      <c r="S58" s="273"/>
      <c r="T58" s="273"/>
      <c r="U58" s="273">
        <v>17</v>
      </c>
      <c r="V58" s="273"/>
      <c r="W58" s="538"/>
      <c r="X58" s="538"/>
      <c r="Y58" s="538">
        <f>H58</f>
        <v>0</v>
      </c>
      <c r="Z58" s="538"/>
      <c r="AA58" s="560">
        <v>0</v>
      </c>
      <c r="AB58" s="538">
        <f t="shared" si="149"/>
        <v>0</v>
      </c>
      <c r="AC58" s="560">
        <v>0</v>
      </c>
      <c r="AD58" s="538">
        <f t="shared" si="2"/>
        <v>0</v>
      </c>
      <c r="AE58" s="560">
        <v>0</v>
      </c>
      <c r="AF58" s="538">
        <f t="shared" si="3"/>
        <v>0</v>
      </c>
      <c r="AG58" s="560">
        <v>0</v>
      </c>
      <c r="AH58" s="538">
        <f t="shared" si="4"/>
        <v>0</v>
      </c>
      <c r="AI58" s="560">
        <v>0</v>
      </c>
      <c r="AJ58" s="538">
        <f t="shared" si="5"/>
        <v>0</v>
      </c>
      <c r="AK58" s="560">
        <v>0</v>
      </c>
      <c r="AL58" s="538">
        <f t="shared" si="6"/>
        <v>0</v>
      </c>
      <c r="AM58" s="560">
        <v>0</v>
      </c>
      <c r="AN58" s="538">
        <f t="shared" si="158"/>
        <v>0</v>
      </c>
      <c r="AO58" s="560">
        <v>0</v>
      </c>
      <c r="AP58" s="538">
        <f t="shared" si="7"/>
        <v>0</v>
      </c>
      <c r="AQ58" s="560">
        <v>0</v>
      </c>
      <c r="AR58" s="538">
        <f t="shared" si="150"/>
        <v>0</v>
      </c>
      <c r="AS58" s="560">
        <v>0</v>
      </c>
      <c r="AT58" s="538">
        <f t="shared" si="151"/>
        <v>0</v>
      </c>
      <c r="AU58" s="560">
        <v>0</v>
      </c>
      <c r="AV58" s="538">
        <f t="shared" si="8"/>
        <v>0</v>
      </c>
      <c r="AW58" s="560">
        <v>0</v>
      </c>
      <c r="AX58" s="538">
        <f t="shared" si="9"/>
        <v>0</v>
      </c>
      <c r="AY58" s="560">
        <v>0</v>
      </c>
      <c r="AZ58" s="538">
        <f t="shared" si="10"/>
        <v>0</v>
      </c>
      <c r="BA58" s="560">
        <v>0</v>
      </c>
      <c r="BB58" s="538">
        <f t="shared" si="152"/>
        <v>0</v>
      </c>
      <c r="BC58" s="560">
        <v>0</v>
      </c>
      <c r="BD58" s="538">
        <f t="shared" si="11"/>
        <v>0</v>
      </c>
      <c r="BE58" s="560">
        <v>0</v>
      </c>
      <c r="BF58" s="538">
        <f t="shared" si="12"/>
        <v>0</v>
      </c>
      <c r="BG58" s="560">
        <v>0</v>
      </c>
      <c r="BH58" s="538">
        <f t="shared" si="13"/>
        <v>0</v>
      </c>
      <c r="BI58" s="560"/>
      <c r="BJ58" s="538"/>
      <c r="BK58" s="280">
        <f>BI58+BG58+BE58+BC58+BA58+AY58+AW58+AU58+AS58+AQ58+AO58+AM58+AK58+AI58+AG58+AE58+AC58+AA58</f>
        <v>0</v>
      </c>
      <c r="BL58" s="280">
        <f>BJ58+BH58+BF58+BD58+BB58+AZ58+AX58+AV58+AT58+AR58+AP58+AN58+AL58+AJ58+AH58+AF58+AD58+AB58</f>
        <v>0</v>
      </c>
      <c r="BM58" s="554" t="s">
        <v>863</v>
      </c>
      <c r="BN58" s="500"/>
      <c r="BO58" s="538"/>
      <c r="BP58" s="538"/>
      <c r="BQ58" s="264">
        <f>H58</f>
        <v>0</v>
      </c>
      <c r="BR58" s="538"/>
      <c r="BS58" s="264">
        <f t="shared" si="155"/>
        <v>0</v>
      </c>
      <c r="BT58" s="538"/>
      <c r="BU58" s="538"/>
      <c r="BV58" s="538"/>
      <c r="BW58" s="280">
        <f t="shared" si="16"/>
        <v>0</v>
      </c>
    </row>
    <row r="59" spans="1:75" x14ac:dyDescent="0.25">
      <c r="A59" s="522"/>
      <c r="B59" s="511"/>
      <c r="C59" s="515"/>
      <c r="D59" s="556" t="s">
        <v>846</v>
      </c>
      <c r="E59" s="511" t="s">
        <v>519</v>
      </c>
      <c r="F59" s="557">
        <v>300000</v>
      </c>
      <c r="G59" s="558">
        <f t="shared" si="157"/>
        <v>0</v>
      </c>
      <c r="H59" s="553">
        <f>BL59</f>
        <v>0</v>
      </c>
      <c r="I59" s="553"/>
      <c r="J59" s="553"/>
      <c r="K59" s="553">
        <f>H59*1</f>
        <v>0</v>
      </c>
      <c r="L59" s="559"/>
      <c r="M59" s="559"/>
      <c r="N59" s="559"/>
      <c r="O59" s="559"/>
      <c r="P59" s="559"/>
      <c r="Q59" s="553"/>
      <c r="R59" s="559"/>
      <c r="S59" s="273">
        <f>G59*0.25</f>
        <v>0</v>
      </c>
      <c r="T59" s="273">
        <f>G59*0.25</f>
        <v>0</v>
      </c>
      <c r="U59" s="273">
        <f>G59*0.25</f>
        <v>0</v>
      </c>
      <c r="V59" s="273">
        <f>G59*0.25</f>
        <v>0</v>
      </c>
      <c r="W59" s="538">
        <f>H59*0.25</f>
        <v>0</v>
      </c>
      <c r="X59" s="538">
        <f>H59*0.25</f>
        <v>0</v>
      </c>
      <c r="Y59" s="538">
        <f>H59*0.25</f>
        <v>0</v>
      </c>
      <c r="Z59" s="538">
        <f>H59*0.25</f>
        <v>0</v>
      </c>
      <c r="AA59" s="560">
        <v>0</v>
      </c>
      <c r="AB59" s="538">
        <f>AA59*F59</f>
        <v>0</v>
      </c>
      <c r="AC59" s="560">
        <v>0</v>
      </c>
      <c r="AD59" s="538">
        <f t="shared" si="2"/>
        <v>0</v>
      </c>
      <c r="AE59" s="560">
        <v>0</v>
      </c>
      <c r="AF59" s="538">
        <f t="shared" si="3"/>
        <v>0</v>
      </c>
      <c r="AG59" s="560">
        <v>0</v>
      </c>
      <c r="AH59" s="538">
        <f t="shared" si="4"/>
        <v>0</v>
      </c>
      <c r="AI59" s="560">
        <v>0</v>
      </c>
      <c r="AJ59" s="538">
        <f t="shared" si="5"/>
        <v>0</v>
      </c>
      <c r="AK59" s="560">
        <v>0</v>
      </c>
      <c r="AL59" s="538">
        <f t="shared" si="6"/>
        <v>0</v>
      </c>
      <c r="AM59" s="560">
        <v>0</v>
      </c>
      <c r="AN59" s="538">
        <f t="shared" si="158"/>
        <v>0</v>
      </c>
      <c r="AO59" s="560">
        <v>0</v>
      </c>
      <c r="AP59" s="538">
        <f t="shared" si="7"/>
        <v>0</v>
      </c>
      <c r="AQ59" s="560">
        <v>0</v>
      </c>
      <c r="AR59" s="538">
        <f t="shared" si="150"/>
        <v>0</v>
      </c>
      <c r="AS59" s="560">
        <v>0</v>
      </c>
      <c r="AT59" s="538">
        <f>AS59*F59</f>
        <v>0</v>
      </c>
      <c r="AU59" s="560">
        <v>0</v>
      </c>
      <c r="AV59" s="538">
        <f t="shared" si="8"/>
        <v>0</v>
      </c>
      <c r="AW59" s="560">
        <v>0</v>
      </c>
      <c r="AX59" s="538">
        <f t="shared" si="9"/>
        <v>0</v>
      </c>
      <c r="AY59" s="560">
        <v>0</v>
      </c>
      <c r="AZ59" s="538">
        <f t="shared" si="10"/>
        <v>0</v>
      </c>
      <c r="BA59" s="560">
        <v>0</v>
      </c>
      <c r="BB59" s="538">
        <f>BA59*F59</f>
        <v>0</v>
      </c>
      <c r="BC59" s="560">
        <v>0</v>
      </c>
      <c r="BD59" s="538">
        <f t="shared" si="11"/>
        <v>0</v>
      </c>
      <c r="BE59" s="560">
        <v>0</v>
      </c>
      <c r="BF59" s="538">
        <f t="shared" si="12"/>
        <v>0</v>
      </c>
      <c r="BG59" s="560">
        <v>0</v>
      </c>
      <c r="BH59" s="538">
        <f t="shared" si="13"/>
        <v>0</v>
      </c>
      <c r="BI59" s="560"/>
      <c r="BJ59" s="538"/>
      <c r="BK59" s="280">
        <f t="shared" si="153"/>
        <v>0</v>
      </c>
      <c r="BL59" s="280">
        <f t="shared" si="154"/>
        <v>0</v>
      </c>
      <c r="BM59" s="555" t="s">
        <v>518</v>
      </c>
      <c r="BN59" s="500"/>
      <c r="BO59" s="538"/>
      <c r="BP59" s="538"/>
      <c r="BQ59" s="264">
        <f>H59</f>
        <v>0</v>
      </c>
      <c r="BR59" s="538"/>
      <c r="BS59" s="264">
        <f t="shared" si="155"/>
        <v>0</v>
      </c>
      <c r="BT59" s="538"/>
      <c r="BU59" s="538"/>
      <c r="BV59" s="538"/>
      <c r="BW59" s="280">
        <f t="shared" si="16"/>
        <v>0</v>
      </c>
    </row>
    <row r="60" spans="1:75" x14ac:dyDescent="0.25">
      <c r="A60" s="522"/>
      <c r="B60" s="505"/>
      <c r="C60" s="515" t="s">
        <v>978</v>
      </c>
      <c r="D60" s="536" t="s">
        <v>426</v>
      </c>
      <c r="E60" s="519" t="s">
        <v>32</v>
      </c>
      <c r="F60" s="526">
        <v>10000</v>
      </c>
      <c r="G60" s="558">
        <f t="shared" si="157"/>
        <v>780</v>
      </c>
      <c r="H60" s="553">
        <f>G60*F60</f>
        <v>7800000</v>
      </c>
      <c r="I60" s="553">
        <f>0.2*H60</f>
        <v>1560000</v>
      </c>
      <c r="J60" s="553">
        <f>0.8*H60</f>
        <v>6240000</v>
      </c>
      <c r="K60" s="553"/>
      <c r="L60" s="553"/>
      <c r="M60" s="553"/>
      <c r="N60" s="553"/>
      <c r="O60" s="553"/>
      <c r="P60" s="553"/>
      <c r="Q60" s="553"/>
      <c r="R60" s="553"/>
      <c r="S60" s="560">
        <f>G60*0.3</f>
        <v>234</v>
      </c>
      <c r="T60" s="560">
        <f>G60*0.5</f>
        <v>390</v>
      </c>
      <c r="U60" s="560">
        <f>G60*0.2</f>
        <v>156</v>
      </c>
      <c r="V60" s="560">
        <f>G60*0</f>
        <v>0</v>
      </c>
      <c r="W60" s="538">
        <f>S60*F60</f>
        <v>2340000</v>
      </c>
      <c r="X60" s="538">
        <f>T60*F60</f>
        <v>3900000</v>
      </c>
      <c r="Y60" s="538">
        <f>U60*F60</f>
        <v>1560000</v>
      </c>
      <c r="Z60" s="538">
        <f>V60*F60</f>
        <v>0</v>
      </c>
      <c r="AA60" s="560">
        <v>40</v>
      </c>
      <c r="AB60" s="538">
        <f>AA60*F60</f>
        <v>400000</v>
      </c>
      <c r="AC60" s="560">
        <v>70</v>
      </c>
      <c r="AD60" s="538">
        <f t="shared" si="2"/>
        <v>700000</v>
      </c>
      <c r="AE60" s="560">
        <v>80</v>
      </c>
      <c r="AF60" s="538">
        <f t="shared" si="3"/>
        <v>800000</v>
      </c>
      <c r="AG60" s="560">
        <v>20</v>
      </c>
      <c r="AH60" s="538">
        <f t="shared" si="4"/>
        <v>200000</v>
      </c>
      <c r="AI60" s="560">
        <v>0</v>
      </c>
      <c r="AJ60" s="538">
        <f t="shared" si="5"/>
        <v>0</v>
      </c>
      <c r="AK60" s="560">
        <v>100</v>
      </c>
      <c r="AL60" s="538">
        <f t="shared" si="6"/>
        <v>1000000</v>
      </c>
      <c r="AM60" s="560">
        <v>150</v>
      </c>
      <c r="AN60" s="538">
        <f t="shared" si="158"/>
        <v>1500000</v>
      </c>
      <c r="AO60" s="560">
        <v>30</v>
      </c>
      <c r="AP60" s="538">
        <f t="shared" si="7"/>
        <v>300000</v>
      </c>
      <c r="AQ60" s="560">
        <v>40</v>
      </c>
      <c r="AR60" s="538">
        <f t="shared" si="150"/>
        <v>400000</v>
      </c>
      <c r="AS60" s="560">
        <v>40</v>
      </c>
      <c r="AT60" s="538">
        <f>AS60*F60</f>
        <v>400000</v>
      </c>
      <c r="AU60" s="560">
        <v>50</v>
      </c>
      <c r="AV60" s="538">
        <f t="shared" si="8"/>
        <v>500000</v>
      </c>
      <c r="AW60" s="560">
        <v>30</v>
      </c>
      <c r="AX60" s="538">
        <f t="shared" si="9"/>
        <v>300000</v>
      </c>
      <c r="AY60" s="538">
        <v>40</v>
      </c>
      <c r="AZ60" s="538">
        <f t="shared" si="10"/>
        <v>400000</v>
      </c>
      <c r="BA60" s="560">
        <v>20</v>
      </c>
      <c r="BB60" s="538">
        <f>BA60*F60</f>
        <v>200000</v>
      </c>
      <c r="BC60" s="560">
        <v>30</v>
      </c>
      <c r="BD60" s="538">
        <f t="shared" si="11"/>
        <v>300000</v>
      </c>
      <c r="BE60" s="560">
        <v>10</v>
      </c>
      <c r="BF60" s="538">
        <f t="shared" si="12"/>
        <v>100000</v>
      </c>
      <c r="BG60" s="560">
        <v>30</v>
      </c>
      <c r="BH60" s="538">
        <f t="shared" si="13"/>
        <v>300000</v>
      </c>
      <c r="BI60" s="560"/>
      <c r="BJ60" s="538">
        <f>BI60*F60</f>
        <v>0</v>
      </c>
      <c r="BK60" s="280">
        <f t="shared" si="153"/>
        <v>780</v>
      </c>
      <c r="BL60" s="280">
        <f t="shared" si="154"/>
        <v>7800000</v>
      </c>
      <c r="BM60" s="519" t="s">
        <v>534</v>
      </c>
      <c r="BN60" s="500"/>
      <c r="BO60" s="553"/>
      <c r="BP60" s="264"/>
      <c r="BQ60" s="264">
        <f>H60</f>
        <v>7800000</v>
      </c>
      <c r="BR60" s="264"/>
      <c r="BS60" s="264">
        <f t="shared" si="155"/>
        <v>7800000</v>
      </c>
      <c r="BT60" s="264"/>
      <c r="BU60" s="264"/>
      <c r="BV60" s="264"/>
      <c r="BW60" s="280">
        <f t="shared" si="16"/>
        <v>7800000</v>
      </c>
    </row>
    <row r="61" spans="1:75" ht="25.5" x14ac:dyDescent="0.25">
      <c r="A61" s="522"/>
      <c r="B61" s="505"/>
      <c r="C61" s="515" t="s">
        <v>979</v>
      </c>
      <c r="D61" s="536" t="s">
        <v>537</v>
      </c>
      <c r="E61" s="519" t="s">
        <v>84</v>
      </c>
      <c r="F61" s="526">
        <v>3000000</v>
      </c>
      <c r="G61" s="558">
        <f>BK61</f>
        <v>0</v>
      </c>
      <c r="H61" s="558">
        <f>BL61</f>
        <v>0</v>
      </c>
      <c r="I61" s="273">
        <f>H61*0.2</f>
        <v>0</v>
      </c>
      <c r="J61" s="273">
        <f>H61*0.8</f>
        <v>0</v>
      </c>
      <c r="K61" s="273"/>
      <c r="L61" s="273"/>
      <c r="M61" s="273"/>
      <c r="N61" s="273"/>
      <c r="O61" s="273"/>
      <c r="P61" s="273"/>
      <c r="Q61" s="273"/>
      <c r="R61" s="273"/>
      <c r="S61" s="273">
        <v>0</v>
      </c>
      <c r="T61" s="273">
        <v>0</v>
      </c>
      <c r="U61" s="273">
        <v>3</v>
      </c>
      <c r="V61" s="273">
        <v>12</v>
      </c>
      <c r="W61" s="273">
        <f>S61*F61</f>
        <v>0</v>
      </c>
      <c r="X61" s="273">
        <f>T61*F61</f>
        <v>0</v>
      </c>
      <c r="Y61" s="274">
        <f>H61*0.5</f>
        <v>0</v>
      </c>
      <c r="Z61" s="274">
        <f>H61*0.5</f>
        <v>0</v>
      </c>
      <c r="AA61" s="520">
        <v>0</v>
      </c>
      <c r="AB61" s="539">
        <f>AA61*F61</f>
        <v>0</v>
      </c>
      <c r="AC61" s="520">
        <v>0</v>
      </c>
      <c r="AD61" s="539">
        <f>AC61*F61</f>
        <v>0</v>
      </c>
      <c r="AE61" s="520">
        <v>0</v>
      </c>
      <c r="AF61" s="539">
        <f>AE61*F61</f>
        <v>0</v>
      </c>
      <c r="AG61" s="520">
        <v>0</v>
      </c>
      <c r="AH61" s="539">
        <f>AG61*F61</f>
        <v>0</v>
      </c>
      <c r="AI61" s="273">
        <v>0</v>
      </c>
      <c r="AJ61" s="539">
        <f>AI61*F61</f>
        <v>0</v>
      </c>
      <c r="AK61" s="273">
        <v>0</v>
      </c>
      <c r="AL61" s="539">
        <f>AK61*F61</f>
        <v>0</v>
      </c>
      <c r="AM61" s="273">
        <v>0</v>
      </c>
      <c r="AN61" s="539">
        <f t="shared" si="158"/>
        <v>0</v>
      </c>
      <c r="AO61" s="273">
        <v>0</v>
      </c>
      <c r="AP61" s="538">
        <f t="shared" si="7"/>
        <v>0</v>
      </c>
      <c r="AQ61" s="273">
        <v>0</v>
      </c>
      <c r="AR61" s="539">
        <f t="shared" si="150"/>
        <v>0</v>
      </c>
      <c r="AS61" s="273">
        <v>0</v>
      </c>
      <c r="AT61" s="539">
        <v>0</v>
      </c>
      <c r="AU61" s="273">
        <v>0</v>
      </c>
      <c r="AV61" s="539">
        <v>0</v>
      </c>
      <c r="AW61" s="273">
        <v>0</v>
      </c>
      <c r="AX61" s="539">
        <v>0</v>
      </c>
      <c r="AY61" s="273">
        <v>0</v>
      </c>
      <c r="AZ61" s="538">
        <f t="shared" si="10"/>
        <v>0</v>
      </c>
      <c r="BA61" s="273">
        <v>0</v>
      </c>
      <c r="BB61" s="539">
        <f>BA61*F61</f>
        <v>0</v>
      </c>
      <c r="BC61" s="273">
        <v>0</v>
      </c>
      <c r="BD61" s="538">
        <f t="shared" si="11"/>
        <v>0</v>
      </c>
      <c r="BE61" s="273">
        <v>0</v>
      </c>
      <c r="BF61" s="538">
        <f t="shared" si="12"/>
        <v>0</v>
      </c>
      <c r="BG61" s="273">
        <v>0</v>
      </c>
      <c r="BH61" s="539">
        <f>BG61*F61</f>
        <v>0</v>
      </c>
      <c r="BI61" s="273"/>
      <c r="BJ61" s="539"/>
      <c r="BK61" s="280">
        <f t="shared" si="153"/>
        <v>0</v>
      </c>
      <c r="BL61" s="280">
        <f t="shared" si="154"/>
        <v>0</v>
      </c>
      <c r="BM61" s="519" t="s">
        <v>209</v>
      </c>
      <c r="BO61" s="264">
        <f>H61</f>
        <v>0</v>
      </c>
      <c r="BP61" s="264"/>
      <c r="BQ61" s="264"/>
      <c r="BR61" s="264"/>
      <c r="BS61" s="264">
        <f t="shared" si="155"/>
        <v>0</v>
      </c>
      <c r="BT61" s="264"/>
      <c r="BU61" s="264"/>
      <c r="BV61" s="264"/>
      <c r="BW61" s="280">
        <f t="shared" si="16"/>
        <v>0</v>
      </c>
    </row>
    <row r="62" spans="1:75" ht="29.25" customHeight="1" x14ac:dyDescent="0.25">
      <c r="A62" s="522"/>
      <c r="B62" s="505"/>
      <c r="C62" s="515" t="s">
        <v>980</v>
      </c>
      <c r="D62" s="536" t="s">
        <v>626</v>
      </c>
      <c r="E62" s="519" t="s">
        <v>16</v>
      </c>
      <c r="F62" s="728">
        <v>1000000</v>
      </c>
      <c r="G62" s="558">
        <f>BK62</f>
        <v>3</v>
      </c>
      <c r="H62" s="558">
        <f>BL62</f>
        <v>3000000</v>
      </c>
      <c r="I62" s="553">
        <f>0.2*H62</f>
        <v>600000</v>
      </c>
      <c r="J62" s="553">
        <f>0.8*H62</f>
        <v>2400000</v>
      </c>
      <c r="K62" s="273"/>
      <c r="L62" s="273"/>
      <c r="M62" s="273"/>
      <c r="N62" s="273"/>
      <c r="O62" s="273"/>
      <c r="P62" s="273"/>
      <c r="Q62" s="520">
        <f>H62*0</f>
        <v>0</v>
      </c>
      <c r="R62" s="273"/>
      <c r="S62" s="273"/>
      <c r="T62" s="273"/>
      <c r="U62" s="273">
        <v>17</v>
      </c>
      <c r="V62" s="273"/>
      <c r="W62" s="273"/>
      <c r="X62" s="273"/>
      <c r="Y62" s="274">
        <f>H62</f>
        <v>3000000</v>
      </c>
      <c r="Z62" s="274"/>
      <c r="AA62" s="520">
        <v>0</v>
      </c>
      <c r="AB62" s="539">
        <f>(AA62*F62)</f>
        <v>0</v>
      </c>
      <c r="AC62" s="520">
        <v>0</v>
      </c>
      <c r="AD62" s="539">
        <f>AC62*F62</f>
        <v>0</v>
      </c>
      <c r="AE62" s="520">
        <v>0</v>
      </c>
      <c r="AF62" s="539">
        <f>(AE62*F62)</f>
        <v>0</v>
      </c>
      <c r="AG62" s="520">
        <v>0</v>
      </c>
      <c r="AH62" s="539">
        <f>(AG62*F62)</f>
        <v>0</v>
      </c>
      <c r="AI62" s="273">
        <v>0</v>
      </c>
      <c r="AJ62" s="539">
        <f>AI62*F62</f>
        <v>0</v>
      </c>
      <c r="AK62" s="273">
        <v>0</v>
      </c>
      <c r="AL62" s="539">
        <f>AK62*F62</f>
        <v>0</v>
      </c>
      <c r="AM62" s="273">
        <v>0</v>
      </c>
      <c r="AN62" s="539">
        <f t="shared" si="158"/>
        <v>0</v>
      </c>
      <c r="AO62" s="273">
        <v>0</v>
      </c>
      <c r="AP62" s="538">
        <f>(AO62*F62)</f>
        <v>0</v>
      </c>
      <c r="AQ62" s="273">
        <v>0</v>
      </c>
      <c r="AR62" s="539">
        <f>(AQ62*F62)</f>
        <v>0</v>
      </c>
      <c r="AS62" s="273">
        <v>0</v>
      </c>
      <c r="AT62" s="539">
        <f>(AS62*F62)</f>
        <v>0</v>
      </c>
      <c r="AU62" s="273">
        <v>0</v>
      </c>
      <c r="AV62" s="539">
        <f>(AU62*F62)</f>
        <v>0</v>
      </c>
      <c r="AW62" s="273">
        <v>0</v>
      </c>
      <c r="AX62" s="539">
        <f>AW62*F62</f>
        <v>0</v>
      </c>
      <c r="AY62" s="273">
        <v>0</v>
      </c>
      <c r="AZ62" s="539">
        <f>(AY62*F62)</f>
        <v>0</v>
      </c>
      <c r="BA62" s="273">
        <v>0</v>
      </c>
      <c r="BB62" s="539">
        <f>(BA62*F62)</f>
        <v>0</v>
      </c>
      <c r="BC62" s="273">
        <v>0</v>
      </c>
      <c r="BD62" s="538">
        <f>(BC62*F62)</f>
        <v>0</v>
      </c>
      <c r="BE62" s="273">
        <v>0</v>
      </c>
      <c r="BF62" s="538">
        <f>(BE62*F62)</f>
        <v>0</v>
      </c>
      <c r="BG62" s="273">
        <v>0</v>
      </c>
      <c r="BH62" s="539">
        <f>BG62*F62</f>
        <v>0</v>
      </c>
      <c r="BI62" s="273">
        <v>3</v>
      </c>
      <c r="BJ62" s="538">
        <f>BI62*F62</f>
        <v>3000000</v>
      </c>
      <c r="BK62" s="280">
        <f t="shared" si="153"/>
        <v>3</v>
      </c>
      <c r="BL62" s="280">
        <f t="shared" si="154"/>
        <v>3000000</v>
      </c>
      <c r="BM62" s="519" t="s">
        <v>209</v>
      </c>
      <c r="BO62" s="264"/>
      <c r="BP62" s="264"/>
      <c r="BQ62" s="264">
        <f>H62</f>
        <v>3000000</v>
      </c>
      <c r="BR62" s="264"/>
      <c r="BS62" s="264">
        <f t="shared" si="155"/>
        <v>3000000</v>
      </c>
      <c r="BT62" s="264"/>
      <c r="BU62" s="264"/>
      <c r="BV62" s="264"/>
      <c r="BW62" s="280">
        <f t="shared" si="16"/>
        <v>3000000</v>
      </c>
    </row>
    <row r="63" spans="1:75" ht="25.5" x14ac:dyDescent="0.25">
      <c r="A63" s="522"/>
      <c r="B63" s="505">
        <v>23610</v>
      </c>
      <c r="C63" s="515" t="s">
        <v>981</v>
      </c>
      <c r="D63" s="536" t="s">
        <v>655</v>
      </c>
      <c r="E63" s="519" t="s">
        <v>84</v>
      </c>
      <c r="F63" s="526">
        <v>1000000</v>
      </c>
      <c r="G63" s="558">
        <f>BK63</f>
        <v>0</v>
      </c>
      <c r="H63" s="553">
        <f>G63*F63</f>
        <v>0</v>
      </c>
      <c r="I63" s="520"/>
      <c r="J63" s="520">
        <f>H63*0.8</f>
        <v>0</v>
      </c>
      <c r="K63" s="520">
        <f t="shared" ref="K63:P63" si="159">K61</f>
        <v>0</v>
      </c>
      <c r="L63" s="520">
        <f t="shared" si="159"/>
        <v>0</v>
      </c>
      <c r="M63" s="520">
        <f t="shared" si="159"/>
        <v>0</v>
      </c>
      <c r="N63" s="520">
        <f t="shared" si="159"/>
        <v>0</v>
      </c>
      <c r="O63" s="520">
        <f t="shared" si="159"/>
        <v>0</v>
      </c>
      <c r="P63" s="520">
        <f t="shared" si="159"/>
        <v>0</v>
      </c>
      <c r="Q63" s="520">
        <f>H63*0.2</f>
        <v>0</v>
      </c>
      <c r="R63" s="520">
        <f>R61</f>
        <v>0</v>
      </c>
      <c r="S63" s="520">
        <v>0</v>
      </c>
      <c r="T63" s="520">
        <v>0</v>
      </c>
      <c r="U63" s="520">
        <v>0</v>
      </c>
      <c r="V63" s="520">
        <v>2</v>
      </c>
      <c r="W63" s="273">
        <f>S63*F63</f>
        <v>0</v>
      </c>
      <c r="X63" s="273">
        <f>T63*F63</f>
        <v>0</v>
      </c>
      <c r="Y63" s="274">
        <f>U63*F63</f>
        <v>0</v>
      </c>
      <c r="Z63" s="274">
        <f>H63*1</f>
        <v>0</v>
      </c>
      <c r="AA63" s="520">
        <v>0</v>
      </c>
      <c r="AB63" s="520">
        <f>AA63*F63</f>
        <v>0</v>
      </c>
      <c r="AC63" s="520">
        <v>0</v>
      </c>
      <c r="AD63" s="520">
        <f>AC63*F63</f>
        <v>0</v>
      </c>
      <c r="AE63" s="520">
        <v>0</v>
      </c>
      <c r="AF63" s="520">
        <f>AE63*F63</f>
        <v>0</v>
      </c>
      <c r="AG63" s="520">
        <v>0</v>
      </c>
      <c r="AH63" s="520">
        <f>AG63*F63</f>
        <v>0</v>
      </c>
      <c r="AI63" s="520">
        <v>0</v>
      </c>
      <c r="AJ63" s="520">
        <f>AI63*F63</f>
        <v>0</v>
      </c>
      <c r="AK63" s="520">
        <v>0</v>
      </c>
      <c r="AL63" s="520">
        <f>AK63*F63</f>
        <v>0</v>
      </c>
      <c r="AM63" s="520">
        <v>0</v>
      </c>
      <c r="AN63" s="520">
        <f t="shared" si="158"/>
        <v>0</v>
      </c>
      <c r="AO63" s="520">
        <v>0</v>
      </c>
      <c r="AP63" s="520">
        <f>AO63*F63</f>
        <v>0</v>
      </c>
      <c r="AQ63" s="520">
        <v>0</v>
      </c>
      <c r="AR63" s="539">
        <f t="shared" si="150"/>
        <v>0</v>
      </c>
      <c r="AS63" s="520">
        <v>0</v>
      </c>
      <c r="AT63" s="539">
        <f>AS63*F63</f>
        <v>0</v>
      </c>
      <c r="AU63" s="520">
        <v>0</v>
      </c>
      <c r="AV63" s="520">
        <f>(AU63*F63)</f>
        <v>0</v>
      </c>
      <c r="AW63" s="520">
        <v>0</v>
      </c>
      <c r="AX63" s="520">
        <f>AW63*F63</f>
        <v>0</v>
      </c>
      <c r="AY63" s="273">
        <v>0</v>
      </c>
      <c r="AZ63" s="520">
        <f>AY63*F63</f>
        <v>0</v>
      </c>
      <c r="BA63" s="273">
        <v>0</v>
      </c>
      <c r="BB63" s="520">
        <f>BA63*F63</f>
        <v>0</v>
      </c>
      <c r="BC63" s="520">
        <v>0</v>
      </c>
      <c r="BD63" s="538">
        <f t="shared" si="11"/>
        <v>0</v>
      </c>
      <c r="BE63" s="520">
        <v>0</v>
      </c>
      <c r="BF63" s="538">
        <f t="shared" si="12"/>
        <v>0</v>
      </c>
      <c r="BG63" s="520">
        <v>0</v>
      </c>
      <c r="BH63" s="539">
        <f>BG63*F63</f>
        <v>0</v>
      </c>
      <c r="BI63" s="520">
        <f>BI61</f>
        <v>0</v>
      </c>
      <c r="BJ63" s="520">
        <f>BJ61</f>
        <v>0</v>
      </c>
      <c r="BK63" s="280">
        <f t="shared" si="153"/>
        <v>0</v>
      </c>
      <c r="BL63" s="280">
        <f t="shared" si="154"/>
        <v>0</v>
      </c>
      <c r="BM63" s="519" t="s">
        <v>213</v>
      </c>
      <c r="BO63" s="264"/>
      <c r="BP63" s="264"/>
      <c r="BQ63" s="264">
        <f>H63</f>
        <v>0</v>
      </c>
      <c r="BR63" s="264"/>
      <c r="BS63" s="264">
        <f t="shared" si="155"/>
        <v>0</v>
      </c>
      <c r="BT63" s="264"/>
      <c r="BU63" s="264"/>
      <c r="BV63" s="264">
        <f>BT63+BU63</f>
        <v>0</v>
      </c>
      <c r="BW63" s="280">
        <f t="shared" si="16"/>
        <v>0</v>
      </c>
    </row>
    <row r="64" spans="1:75" s="499" customFormat="1" x14ac:dyDescent="0.25">
      <c r="A64" s="522"/>
      <c r="B64" s="514"/>
      <c r="C64" s="515"/>
      <c r="D64" s="551" t="s">
        <v>545</v>
      </c>
      <c r="E64" s="542"/>
      <c r="F64" s="561"/>
      <c r="G64" s="561">
        <f>SUM(G51:G63)</f>
        <v>783</v>
      </c>
      <c r="H64" s="561">
        <f>SUM(H51:H63)</f>
        <v>10800000</v>
      </c>
      <c r="I64" s="561">
        <f t="shared" ref="I64:BS64" si="160">SUM(I51:I63)</f>
        <v>2160000</v>
      </c>
      <c r="J64" s="561">
        <f t="shared" si="160"/>
        <v>8640000</v>
      </c>
      <c r="K64" s="561">
        <f t="shared" si="160"/>
        <v>0</v>
      </c>
      <c r="L64" s="561">
        <f t="shared" si="160"/>
        <v>0</v>
      </c>
      <c r="M64" s="561">
        <f t="shared" si="160"/>
        <v>0</v>
      </c>
      <c r="N64" s="561">
        <f t="shared" si="160"/>
        <v>0</v>
      </c>
      <c r="O64" s="561">
        <f t="shared" si="160"/>
        <v>0</v>
      </c>
      <c r="P64" s="561">
        <f t="shared" si="160"/>
        <v>0</v>
      </c>
      <c r="Q64" s="561">
        <f t="shared" si="160"/>
        <v>0</v>
      </c>
      <c r="R64" s="561">
        <f t="shared" si="160"/>
        <v>0</v>
      </c>
      <c r="S64" s="561">
        <f t="shared" si="160"/>
        <v>234</v>
      </c>
      <c r="T64" s="561">
        <f t="shared" si="160"/>
        <v>390</v>
      </c>
      <c r="U64" s="561">
        <f t="shared" si="160"/>
        <v>193</v>
      </c>
      <c r="V64" s="561">
        <f t="shared" si="160"/>
        <v>14</v>
      </c>
      <c r="W64" s="561">
        <f t="shared" si="160"/>
        <v>2340000</v>
      </c>
      <c r="X64" s="561">
        <f t="shared" si="160"/>
        <v>3900000</v>
      </c>
      <c r="Y64" s="561">
        <f t="shared" si="160"/>
        <v>4560000</v>
      </c>
      <c r="Z64" s="561">
        <f t="shared" si="160"/>
        <v>0</v>
      </c>
      <c r="AA64" s="561">
        <f t="shared" si="160"/>
        <v>40</v>
      </c>
      <c r="AB64" s="561">
        <f t="shared" si="160"/>
        <v>400000</v>
      </c>
      <c r="AC64" s="561">
        <f t="shared" si="160"/>
        <v>70</v>
      </c>
      <c r="AD64" s="561">
        <f t="shared" si="160"/>
        <v>700000</v>
      </c>
      <c r="AE64" s="561">
        <f t="shared" si="160"/>
        <v>80</v>
      </c>
      <c r="AF64" s="561">
        <f t="shared" si="160"/>
        <v>800000</v>
      </c>
      <c r="AG64" s="561">
        <f t="shared" si="160"/>
        <v>20</v>
      </c>
      <c r="AH64" s="561">
        <f t="shared" si="160"/>
        <v>200000</v>
      </c>
      <c r="AI64" s="561">
        <f t="shared" si="160"/>
        <v>0</v>
      </c>
      <c r="AJ64" s="561">
        <f t="shared" si="160"/>
        <v>0</v>
      </c>
      <c r="AK64" s="561">
        <f t="shared" si="160"/>
        <v>100</v>
      </c>
      <c r="AL64" s="561">
        <f t="shared" si="160"/>
        <v>1000000</v>
      </c>
      <c r="AM64" s="561">
        <f t="shared" si="160"/>
        <v>150</v>
      </c>
      <c r="AN64" s="561">
        <f t="shared" si="160"/>
        <v>1500000</v>
      </c>
      <c r="AO64" s="561">
        <f t="shared" si="160"/>
        <v>30</v>
      </c>
      <c r="AP64" s="561">
        <f t="shared" si="160"/>
        <v>300000</v>
      </c>
      <c r="AQ64" s="561">
        <f t="shared" si="160"/>
        <v>40</v>
      </c>
      <c r="AR64" s="561">
        <f t="shared" si="160"/>
        <v>400000</v>
      </c>
      <c r="AS64" s="561">
        <f t="shared" si="160"/>
        <v>40</v>
      </c>
      <c r="AT64" s="561">
        <f t="shared" si="160"/>
        <v>400000</v>
      </c>
      <c r="AU64" s="561">
        <f t="shared" si="160"/>
        <v>50</v>
      </c>
      <c r="AV64" s="561">
        <f t="shared" si="160"/>
        <v>500000</v>
      </c>
      <c r="AW64" s="561">
        <f t="shared" si="160"/>
        <v>30</v>
      </c>
      <c r="AX64" s="561">
        <f t="shared" si="160"/>
        <v>300000</v>
      </c>
      <c r="AY64" s="561">
        <f t="shared" si="160"/>
        <v>40</v>
      </c>
      <c r="AZ64" s="561">
        <f t="shared" si="160"/>
        <v>400000</v>
      </c>
      <c r="BA64" s="561">
        <f t="shared" si="160"/>
        <v>20</v>
      </c>
      <c r="BB64" s="561">
        <f t="shared" si="160"/>
        <v>200000</v>
      </c>
      <c r="BC64" s="561">
        <f t="shared" si="160"/>
        <v>30</v>
      </c>
      <c r="BD64" s="561">
        <f t="shared" si="160"/>
        <v>300000</v>
      </c>
      <c r="BE64" s="561">
        <f t="shared" si="160"/>
        <v>10</v>
      </c>
      <c r="BF64" s="561">
        <f t="shared" si="160"/>
        <v>100000</v>
      </c>
      <c r="BG64" s="561">
        <f t="shared" si="160"/>
        <v>30</v>
      </c>
      <c r="BH64" s="561">
        <f t="shared" si="160"/>
        <v>300000</v>
      </c>
      <c r="BI64" s="561">
        <f t="shared" si="160"/>
        <v>3</v>
      </c>
      <c r="BJ64" s="561">
        <f t="shared" si="160"/>
        <v>3000000</v>
      </c>
      <c r="BK64" s="561">
        <f t="shared" si="160"/>
        <v>783</v>
      </c>
      <c r="BL64" s="561">
        <f t="shared" si="160"/>
        <v>10800000</v>
      </c>
      <c r="BM64" s="561">
        <f t="shared" si="160"/>
        <v>0</v>
      </c>
      <c r="BN64" s="561"/>
      <c r="BO64" s="561">
        <f t="shared" si="160"/>
        <v>0</v>
      </c>
      <c r="BP64" s="561">
        <f t="shared" si="160"/>
        <v>0</v>
      </c>
      <c r="BQ64" s="561">
        <f t="shared" si="160"/>
        <v>10800000</v>
      </c>
      <c r="BR64" s="561">
        <f t="shared" si="160"/>
        <v>0</v>
      </c>
      <c r="BS64" s="561">
        <f t="shared" si="160"/>
        <v>10800000</v>
      </c>
      <c r="BT64" s="561">
        <f>SUM(BT51:BT63)</f>
        <v>0</v>
      </c>
      <c r="BU64" s="561">
        <f>SUM(BU51:BU63)</f>
        <v>0</v>
      </c>
      <c r="BV64" s="561">
        <f>SUM(BV51:BV63)</f>
        <v>0</v>
      </c>
      <c r="BW64" s="561">
        <f>SUM(BW51:BW63)</f>
        <v>10800000</v>
      </c>
    </row>
    <row r="65" spans="1:75" x14ac:dyDescent="0.25">
      <c r="A65" s="522"/>
      <c r="B65" s="505">
        <v>23620</v>
      </c>
      <c r="C65" s="515"/>
      <c r="D65" s="518" t="s">
        <v>415</v>
      </c>
      <c r="E65" s="519"/>
      <c r="F65" s="519"/>
      <c r="G65" s="520"/>
      <c r="H65" s="537"/>
      <c r="I65" s="537"/>
      <c r="J65" s="537"/>
      <c r="K65" s="537"/>
      <c r="L65" s="537"/>
      <c r="M65" s="537"/>
      <c r="N65" s="537"/>
      <c r="O65" s="537"/>
      <c r="P65" s="538"/>
      <c r="Q65" s="538"/>
      <c r="R65" s="538"/>
      <c r="S65" s="547"/>
      <c r="T65" s="547"/>
      <c r="U65" s="547"/>
      <c r="V65" s="547"/>
      <c r="W65" s="535"/>
      <c r="X65" s="535"/>
      <c r="Y65" s="535"/>
      <c r="Z65" s="535"/>
      <c r="AA65" s="520"/>
      <c r="AB65" s="539"/>
      <c r="AC65" s="520"/>
      <c r="AD65" s="539"/>
      <c r="AE65" s="520"/>
      <c r="AF65" s="539"/>
      <c r="AG65" s="520"/>
      <c r="AH65" s="539"/>
      <c r="AI65" s="520"/>
      <c r="AJ65" s="539"/>
      <c r="AK65" s="520"/>
      <c r="AL65" s="539"/>
      <c r="AM65" s="520"/>
      <c r="AN65" s="539"/>
      <c r="AO65" s="520"/>
      <c r="AP65" s="539"/>
      <c r="AQ65" s="520"/>
      <c r="AR65" s="539"/>
      <c r="AS65" s="520"/>
      <c r="AT65" s="539"/>
      <c r="AU65" s="520"/>
      <c r="AV65" s="539"/>
      <c r="AW65" s="520"/>
      <c r="AX65" s="539"/>
      <c r="AY65" s="273"/>
      <c r="AZ65" s="539"/>
      <c r="BA65" s="273"/>
      <c r="BB65" s="539"/>
      <c r="BC65" s="520"/>
      <c r="BD65" s="539"/>
      <c r="BE65" s="520"/>
      <c r="BF65" s="539"/>
      <c r="BG65" s="520"/>
      <c r="BH65" s="539"/>
      <c r="BI65" s="520"/>
      <c r="BJ65" s="539"/>
      <c r="BK65" s="520"/>
      <c r="BL65" s="539"/>
      <c r="BM65" s="519"/>
      <c r="BO65" s="264">
        <f>H65</f>
        <v>0</v>
      </c>
      <c r="BP65" s="264"/>
      <c r="BQ65" s="264"/>
      <c r="BR65" s="264"/>
      <c r="BS65" s="264">
        <f t="shared" ref="BS65:BS70" si="161">BO65+BP65+BQ65+BR65</f>
        <v>0</v>
      </c>
      <c r="BT65" s="264"/>
      <c r="BU65" s="264"/>
      <c r="BV65" s="264">
        <f>BT65+BU65</f>
        <v>0</v>
      </c>
      <c r="BW65" s="280">
        <f t="shared" si="16"/>
        <v>0</v>
      </c>
    </row>
    <row r="66" spans="1:75" s="736" customFormat="1" x14ac:dyDescent="0.25">
      <c r="A66" s="724"/>
      <c r="B66" s="725"/>
      <c r="C66" s="726" t="s">
        <v>982</v>
      </c>
      <c r="D66" s="165" t="s">
        <v>1222</v>
      </c>
      <c r="E66" s="727" t="s">
        <v>630</v>
      </c>
      <c r="F66" s="728"/>
      <c r="G66" s="729">
        <f t="shared" ref="G66:H70" si="162">BK66</f>
        <v>155</v>
      </c>
      <c r="H66" s="730">
        <f>BL66</f>
        <v>44335090</v>
      </c>
      <c r="I66" s="731">
        <f>H66*0.1</f>
        <v>4433509</v>
      </c>
      <c r="J66" s="731">
        <f>H66*0.8</f>
        <v>35468072</v>
      </c>
      <c r="K66" s="732"/>
      <c r="L66" s="732"/>
      <c r="M66" s="732"/>
      <c r="N66" s="732"/>
      <c r="O66" s="732"/>
      <c r="P66" s="732"/>
      <c r="Q66" s="733">
        <f>H66*0.1</f>
        <v>4433509</v>
      </c>
      <c r="R66" s="732"/>
      <c r="S66" s="732"/>
      <c r="T66" s="732">
        <f>G66*0.7</f>
        <v>108.5</v>
      </c>
      <c r="U66" s="732">
        <f>G66*0.3</f>
        <v>46.5</v>
      </c>
      <c r="V66" s="732">
        <f t="shared" ref="V66:Z66" si="163">BZ66</f>
        <v>0</v>
      </c>
      <c r="W66" s="732">
        <f t="shared" si="163"/>
        <v>0</v>
      </c>
      <c r="X66" s="733">
        <f>H66*0.7</f>
        <v>31034562.999999996</v>
      </c>
      <c r="Y66" s="733">
        <f>H66*0.3</f>
        <v>13300527</v>
      </c>
      <c r="Z66" s="732">
        <f t="shared" si="163"/>
        <v>0</v>
      </c>
      <c r="AA66" s="732">
        <v>9</v>
      </c>
      <c r="AB66" s="732">
        <v>2419440</v>
      </c>
      <c r="AC66" s="732">
        <v>6</v>
      </c>
      <c r="AD66" s="732">
        <v>1634300</v>
      </c>
      <c r="AE66" s="732">
        <v>8</v>
      </c>
      <c r="AF66" s="732">
        <v>1778000</v>
      </c>
      <c r="AG66" s="732">
        <v>11</v>
      </c>
      <c r="AH66" s="732">
        <v>4362000</v>
      </c>
      <c r="AI66" s="732">
        <v>6</v>
      </c>
      <c r="AJ66" s="732">
        <v>2883200</v>
      </c>
      <c r="AK66" s="732">
        <v>5</v>
      </c>
      <c r="AL66" s="732">
        <v>1712500</v>
      </c>
      <c r="AM66" s="732">
        <v>18</v>
      </c>
      <c r="AN66" s="732">
        <v>3813800</v>
      </c>
      <c r="AO66" s="732">
        <v>3</v>
      </c>
      <c r="AP66" s="732">
        <v>1056000</v>
      </c>
      <c r="AQ66" s="732">
        <v>7</v>
      </c>
      <c r="AR66" s="732">
        <v>3330000</v>
      </c>
      <c r="AS66" s="732">
        <v>16</v>
      </c>
      <c r="AT66" s="732">
        <v>5786000</v>
      </c>
      <c r="AU66" s="732">
        <v>18</v>
      </c>
      <c r="AV66" s="732">
        <v>3007000</v>
      </c>
      <c r="AW66" s="732">
        <v>5</v>
      </c>
      <c r="AX66" s="732">
        <v>1136450</v>
      </c>
      <c r="AY66" s="725">
        <v>7</v>
      </c>
      <c r="AZ66" s="732">
        <v>1573800</v>
      </c>
      <c r="BA66" s="725">
        <v>15</v>
      </c>
      <c r="BB66" s="732">
        <v>3327600</v>
      </c>
      <c r="BC66" s="732">
        <v>4</v>
      </c>
      <c r="BD66" s="732">
        <v>1445900</v>
      </c>
      <c r="BE66" s="732">
        <v>9</v>
      </c>
      <c r="BF66" s="732">
        <v>1773200</v>
      </c>
      <c r="BG66" s="732">
        <v>8</v>
      </c>
      <c r="BH66" s="732">
        <v>3295900</v>
      </c>
      <c r="BI66" s="732">
        <v>0</v>
      </c>
      <c r="BJ66" s="734">
        <f>BI66*F66</f>
        <v>0</v>
      </c>
      <c r="BK66" s="735">
        <f t="shared" ref="BK66:BL68" si="164">BI66+BG66+BE66+BC66+BA66+AY66+AW66+AU66+AS66+AQ66+AO66+AM66+AK66+AI66+AG66+AE66+AC66+AA66</f>
        <v>155</v>
      </c>
      <c r="BL66" s="735">
        <f t="shared" si="164"/>
        <v>44335090</v>
      </c>
      <c r="BM66" s="727" t="s">
        <v>1207</v>
      </c>
      <c r="BO66" s="737"/>
      <c r="BP66" s="737">
        <f t="shared" ref="BP66:BV68" si="165">SUM(BP63:BP65)</f>
        <v>0</v>
      </c>
      <c r="BQ66" s="737">
        <f>H66</f>
        <v>44335090</v>
      </c>
      <c r="BR66" s="737">
        <f t="shared" si="165"/>
        <v>0</v>
      </c>
      <c r="BS66" s="738">
        <f t="shared" si="161"/>
        <v>44335090</v>
      </c>
      <c r="BT66" s="737">
        <f t="shared" si="165"/>
        <v>0</v>
      </c>
      <c r="BU66" s="737">
        <f t="shared" si="165"/>
        <v>0</v>
      </c>
      <c r="BV66" s="737">
        <f t="shared" si="165"/>
        <v>0</v>
      </c>
      <c r="BW66" s="733">
        <f t="shared" si="16"/>
        <v>44335090</v>
      </c>
    </row>
    <row r="67" spans="1:75" s="499" customFormat="1" x14ac:dyDescent="0.25">
      <c r="A67" s="522"/>
      <c r="B67" s="513" t="s">
        <v>928</v>
      </c>
      <c r="C67" s="515" t="s">
        <v>1159</v>
      </c>
      <c r="D67" s="536" t="s">
        <v>1221</v>
      </c>
      <c r="E67" s="519" t="s">
        <v>630</v>
      </c>
      <c r="F67" s="526"/>
      <c r="G67" s="558">
        <f t="shared" ref="G67:G68" si="166">BK67</f>
        <v>148</v>
      </c>
      <c r="H67" s="553">
        <f t="shared" ref="H67:H68" si="167">BL67</f>
        <v>41842280</v>
      </c>
      <c r="I67" s="552">
        <f>H67*0.1</f>
        <v>4184228</v>
      </c>
      <c r="J67" s="552">
        <f>H67*0.8</f>
        <v>33473824</v>
      </c>
      <c r="K67" s="511"/>
      <c r="L67" s="511"/>
      <c r="M67" s="511"/>
      <c r="N67" s="511"/>
      <c r="O67" s="511"/>
      <c r="P67" s="511"/>
      <c r="Q67" s="562">
        <f>H67*0.1</f>
        <v>4184228</v>
      </c>
      <c r="R67" s="511"/>
      <c r="S67" s="511"/>
      <c r="T67" s="511">
        <f>G67*0.7</f>
        <v>103.6</v>
      </c>
      <c r="U67" s="511">
        <f>G67*0.3</f>
        <v>44.4</v>
      </c>
      <c r="V67" s="511">
        <f t="shared" ref="V67" si="168">BZ67</f>
        <v>0</v>
      </c>
      <c r="W67" s="511">
        <f t="shared" ref="W67" si="169">CA67</f>
        <v>0</v>
      </c>
      <c r="X67" s="562">
        <f>H67*0.7</f>
        <v>29289596</v>
      </c>
      <c r="Y67" s="562">
        <f>H67*0.3</f>
        <v>12552684</v>
      </c>
      <c r="Z67" s="511">
        <f t="shared" ref="Z67" si="170">CD67</f>
        <v>0</v>
      </c>
      <c r="AA67" s="511">
        <v>12</v>
      </c>
      <c r="AB67" s="511">
        <v>4052580</v>
      </c>
      <c r="AC67" s="511">
        <v>11</v>
      </c>
      <c r="AD67" s="511">
        <v>3499500</v>
      </c>
      <c r="AE67" s="511">
        <v>5</v>
      </c>
      <c r="AF67" s="511">
        <v>667600</v>
      </c>
      <c r="AG67" s="511">
        <v>14</v>
      </c>
      <c r="AH67" s="511">
        <v>2353100</v>
      </c>
      <c r="AI67" s="511">
        <v>3</v>
      </c>
      <c r="AJ67" s="511">
        <v>144000</v>
      </c>
      <c r="AK67" s="511">
        <v>11</v>
      </c>
      <c r="AL67" s="511">
        <v>5362100</v>
      </c>
      <c r="AM67" s="511">
        <v>11</v>
      </c>
      <c r="AN67" s="511">
        <v>2783500</v>
      </c>
      <c r="AO67" s="511">
        <v>11</v>
      </c>
      <c r="AP67" s="511">
        <v>1925000</v>
      </c>
      <c r="AQ67" s="511">
        <v>12</v>
      </c>
      <c r="AR67" s="511">
        <v>4082200</v>
      </c>
      <c r="AS67" s="511">
        <v>15</v>
      </c>
      <c r="AT67" s="511">
        <v>5616600</v>
      </c>
      <c r="AU67" s="511">
        <v>7</v>
      </c>
      <c r="AV67" s="511">
        <v>1890300</v>
      </c>
      <c r="AW67" s="511">
        <v>2</v>
      </c>
      <c r="AX67" s="511">
        <v>266500</v>
      </c>
      <c r="AY67" s="513">
        <v>6</v>
      </c>
      <c r="AZ67" s="511">
        <v>594100</v>
      </c>
      <c r="BA67" s="513">
        <v>7</v>
      </c>
      <c r="BB67" s="511">
        <v>1572500</v>
      </c>
      <c r="BC67" s="511">
        <v>7</v>
      </c>
      <c r="BD67" s="511">
        <v>1408000</v>
      </c>
      <c r="BE67" s="511">
        <v>11</v>
      </c>
      <c r="BF67" s="511">
        <v>4286200</v>
      </c>
      <c r="BG67" s="511">
        <v>3</v>
      </c>
      <c r="BH67" s="511">
        <v>1338500</v>
      </c>
      <c r="BI67" s="511">
        <v>0</v>
      </c>
      <c r="BJ67" s="538">
        <f>BI67*F67</f>
        <v>0</v>
      </c>
      <c r="BK67" s="280">
        <f t="shared" si="164"/>
        <v>148</v>
      </c>
      <c r="BL67" s="280">
        <f t="shared" si="164"/>
        <v>41842280</v>
      </c>
      <c r="BM67" s="519" t="s">
        <v>1207</v>
      </c>
      <c r="BO67" s="563"/>
      <c r="BP67" s="563">
        <f t="shared" si="165"/>
        <v>0</v>
      </c>
      <c r="BQ67" s="563">
        <f>H67</f>
        <v>41842280</v>
      </c>
      <c r="BR67" s="563">
        <f t="shared" si="165"/>
        <v>0</v>
      </c>
      <c r="BS67" s="264">
        <f t="shared" si="161"/>
        <v>41842280</v>
      </c>
      <c r="BT67" s="563">
        <f t="shared" si="165"/>
        <v>0</v>
      </c>
      <c r="BU67" s="563">
        <f t="shared" si="165"/>
        <v>0</v>
      </c>
      <c r="BV67" s="563">
        <f t="shared" si="165"/>
        <v>0</v>
      </c>
      <c r="BW67" s="562">
        <f t="shared" ref="BW67" si="171">BS67+BV67</f>
        <v>41842280</v>
      </c>
    </row>
    <row r="68" spans="1:75" s="499" customFormat="1" x14ac:dyDescent="0.25">
      <c r="A68" s="522"/>
      <c r="B68" s="513"/>
      <c r="C68" s="515"/>
      <c r="D68" s="536" t="s">
        <v>1183</v>
      </c>
      <c r="E68" s="519" t="s">
        <v>630</v>
      </c>
      <c r="F68" s="526"/>
      <c r="G68" s="558">
        <f t="shared" si="166"/>
        <v>124</v>
      </c>
      <c r="H68" s="553">
        <f t="shared" si="167"/>
        <v>49545780</v>
      </c>
      <c r="I68" s="552">
        <f>H68*0.1</f>
        <v>4954578</v>
      </c>
      <c r="J68" s="552">
        <f>H68*0.8</f>
        <v>39636624</v>
      </c>
      <c r="K68" s="511"/>
      <c r="L68" s="511"/>
      <c r="M68" s="511"/>
      <c r="N68" s="511"/>
      <c r="O68" s="511"/>
      <c r="P68" s="511"/>
      <c r="Q68" s="562">
        <f>H68*0.1</f>
        <v>4954578</v>
      </c>
      <c r="R68" s="511"/>
      <c r="S68" s="511"/>
      <c r="T68" s="511">
        <f>G68*0.7</f>
        <v>86.8</v>
      </c>
      <c r="U68" s="511">
        <f>G68*0.3</f>
        <v>37.199999999999996</v>
      </c>
      <c r="V68" s="511"/>
      <c r="W68" s="511"/>
      <c r="X68" s="562">
        <f>H68*0.7</f>
        <v>34682046</v>
      </c>
      <c r="Y68" s="562">
        <f>H68*0.3</f>
        <v>14863734</v>
      </c>
      <c r="Z68" s="511"/>
      <c r="AA68" s="511">
        <v>7</v>
      </c>
      <c r="AB68" s="511">
        <v>4403780</v>
      </c>
      <c r="AC68" s="511">
        <v>9</v>
      </c>
      <c r="AD68" s="511">
        <v>2461200</v>
      </c>
      <c r="AE68" s="511">
        <v>4</v>
      </c>
      <c r="AF68" s="511">
        <v>1269400</v>
      </c>
      <c r="AG68" s="511">
        <v>14</v>
      </c>
      <c r="AH68" s="511">
        <v>6188000</v>
      </c>
      <c r="AI68" s="511">
        <v>5</v>
      </c>
      <c r="AJ68" s="511">
        <v>2168000</v>
      </c>
      <c r="AK68" s="511">
        <v>10</v>
      </c>
      <c r="AL68" s="511">
        <v>7429000</v>
      </c>
      <c r="AM68" s="511">
        <v>6</v>
      </c>
      <c r="AN68" s="511">
        <v>1569200</v>
      </c>
      <c r="AO68" s="511">
        <v>6</v>
      </c>
      <c r="AP68" s="511">
        <v>778800</v>
      </c>
      <c r="AQ68" s="511">
        <v>9</v>
      </c>
      <c r="AR68" s="511">
        <v>4809100</v>
      </c>
      <c r="AS68" s="511">
        <v>9</v>
      </c>
      <c r="AT68" s="511">
        <v>3983300</v>
      </c>
      <c r="AU68" s="511">
        <v>7</v>
      </c>
      <c r="AV68" s="511">
        <v>1664000</v>
      </c>
      <c r="AW68" s="511">
        <v>5</v>
      </c>
      <c r="AX68" s="511">
        <v>2103500</v>
      </c>
      <c r="AY68" s="513">
        <v>6</v>
      </c>
      <c r="AZ68" s="511">
        <v>1237000</v>
      </c>
      <c r="BA68" s="513">
        <v>10</v>
      </c>
      <c r="BB68" s="511">
        <v>2246000</v>
      </c>
      <c r="BC68" s="511">
        <v>8</v>
      </c>
      <c r="BD68" s="511">
        <v>2694900</v>
      </c>
      <c r="BE68" s="511">
        <v>3</v>
      </c>
      <c r="BF68" s="511">
        <v>1497600</v>
      </c>
      <c r="BG68" s="511">
        <v>6</v>
      </c>
      <c r="BH68" s="511">
        <v>3043000</v>
      </c>
      <c r="BI68" s="511">
        <v>0</v>
      </c>
      <c r="BJ68" s="538">
        <v>0</v>
      </c>
      <c r="BK68" s="280">
        <f t="shared" si="164"/>
        <v>124</v>
      </c>
      <c r="BL68" s="280">
        <f t="shared" si="164"/>
        <v>49545780</v>
      </c>
      <c r="BM68" s="519" t="s">
        <v>1207</v>
      </c>
      <c r="BO68" s="563"/>
      <c r="BP68" s="563">
        <f t="shared" si="165"/>
        <v>0</v>
      </c>
      <c r="BQ68" s="563">
        <f>H68</f>
        <v>49545780</v>
      </c>
      <c r="BR68" s="563">
        <f t="shared" si="165"/>
        <v>0</v>
      </c>
      <c r="BS68" s="264">
        <f t="shared" si="161"/>
        <v>49545780</v>
      </c>
      <c r="BT68" s="563">
        <f t="shared" si="165"/>
        <v>0</v>
      </c>
      <c r="BU68" s="563">
        <f t="shared" si="165"/>
        <v>0</v>
      </c>
      <c r="BV68" s="563">
        <f t="shared" si="165"/>
        <v>0</v>
      </c>
      <c r="BW68" s="562">
        <f t="shared" ref="BW68" si="172">BS68+BV68</f>
        <v>49545780</v>
      </c>
    </row>
    <row r="69" spans="1:75" s="499" customFormat="1" x14ac:dyDescent="0.25">
      <c r="A69" s="522"/>
      <c r="B69" s="513"/>
      <c r="C69" s="515" t="s">
        <v>983</v>
      </c>
      <c r="D69" s="536" t="s">
        <v>1209</v>
      </c>
      <c r="E69" s="519" t="s">
        <v>630</v>
      </c>
      <c r="F69" s="526">
        <v>0</v>
      </c>
      <c r="G69" s="558">
        <f t="shared" si="162"/>
        <v>0</v>
      </c>
      <c r="H69" s="558">
        <f t="shared" si="162"/>
        <v>0</v>
      </c>
      <c r="I69" s="552">
        <f>H69*0.1</f>
        <v>0</v>
      </c>
      <c r="J69" s="552">
        <f>H69*0.8</f>
        <v>0</v>
      </c>
      <c r="K69" s="511"/>
      <c r="L69" s="511"/>
      <c r="M69" s="511"/>
      <c r="N69" s="511"/>
      <c r="O69" s="511"/>
      <c r="P69" s="511"/>
      <c r="Q69" s="562">
        <f>H69*0.1</f>
        <v>0</v>
      </c>
      <c r="R69" s="511"/>
      <c r="S69" s="511"/>
      <c r="T69" s="511">
        <f>G69*0.7</f>
        <v>0</v>
      </c>
      <c r="U69" s="511">
        <f>G69*0.3</f>
        <v>0</v>
      </c>
      <c r="V69" s="511">
        <f t="shared" ref="V69" si="173">BZ69</f>
        <v>0</v>
      </c>
      <c r="W69" s="511">
        <f t="shared" ref="W69" si="174">CA69</f>
        <v>0</v>
      </c>
      <c r="X69" s="562">
        <f>H69*0.7</f>
        <v>0</v>
      </c>
      <c r="Y69" s="562">
        <f>H69*0.3</f>
        <v>0</v>
      </c>
      <c r="Z69" s="511"/>
      <c r="AA69" s="520">
        <v>0</v>
      </c>
      <c r="AB69" s="520">
        <f>AA69*F69</f>
        <v>0</v>
      </c>
      <c r="AC69" s="520">
        <v>0</v>
      </c>
      <c r="AD69" s="520">
        <f>AC69*F69</f>
        <v>0</v>
      </c>
      <c r="AE69" s="520">
        <v>0</v>
      </c>
      <c r="AF69" s="520">
        <f>AE69*F69</f>
        <v>0</v>
      </c>
      <c r="AG69" s="520">
        <v>0</v>
      </c>
      <c r="AH69" s="520">
        <f>AG69*F69</f>
        <v>0</v>
      </c>
      <c r="AI69" s="520">
        <v>0</v>
      </c>
      <c r="AJ69" s="520">
        <f>AI69*F69</f>
        <v>0</v>
      </c>
      <c r="AK69" s="520">
        <v>0</v>
      </c>
      <c r="AL69" s="520">
        <f>AK69*F69</f>
        <v>0</v>
      </c>
      <c r="AM69" s="520">
        <v>0</v>
      </c>
      <c r="AN69" s="520">
        <f t="shared" ref="AN69" si="175">AM69*F69</f>
        <v>0</v>
      </c>
      <c r="AO69" s="520">
        <v>0</v>
      </c>
      <c r="AP69" s="520">
        <f>AO69*F69</f>
        <v>0</v>
      </c>
      <c r="AQ69" s="520">
        <v>0</v>
      </c>
      <c r="AR69" s="539">
        <f t="shared" ref="AR69" si="176">AQ69*F69</f>
        <v>0</v>
      </c>
      <c r="AS69" s="520">
        <v>0</v>
      </c>
      <c r="AT69" s="539">
        <f>AS69*F69</f>
        <v>0</v>
      </c>
      <c r="AU69" s="520">
        <v>0</v>
      </c>
      <c r="AV69" s="520">
        <f>(AU69*F69)</f>
        <v>0</v>
      </c>
      <c r="AW69" s="520">
        <v>0</v>
      </c>
      <c r="AX69" s="520">
        <f>AW69*F69</f>
        <v>0</v>
      </c>
      <c r="AY69" s="273">
        <v>0</v>
      </c>
      <c r="AZ69" s="520">
        <f>AY69*F69</f>
        <v>0</v>
      </c>
      <c r="BA69" s="273">
        <v>0</v>
      </c>
      <c r="BB69" s="520">
        <f>BA69*F69</f>
        <v>0</v>
      </c>
      <c r="BC69" s="520">
        <v>0</v>
      </c>
      <c r="BD69" s="538">
        <f t="shared" ref="BD69" si="177">BC69*F69</f>
        <v>0</v>
      </c>
      <c r="BE69" s="520">
        <v>0</v>
      </c>
      <c r="BF69" s="538">
        <f t="shared" ref="BF69" si="178">BE69*F69</f>
        <v>0</v>
      </c>
      <c r="BG69" s="520">
        <v>0</v>
      </c>
      <c r="BH69" s="539">
        <f>BG69*F69</f>
        <v>0</v>
      </c>
      <c r="BI69" s="520">
        <v>0</v>
      </c>
      <c r="BJ69" s="520">
        <f>BJ65</f>
        <v>0</v>
      </c>
      <c r="BK69" s="280">
        <f t="shared" ref="BK69" si="179">BI69+BG69+BE69+BC69+BA69+AY69+AW69+AU69+AS69+AQ69+AO69+AM69+AK69+AI69+AG69+AE69+AC69+AA69</f>
        <v>0</v>
      </c>
      <c r="BL69" s="280">
        <f t="shared" ref="BL69" si="180">BJ69+BH69+BF69+BD69+BB69+AZ69+AX69+AV69+AT69+AR69+AP69+AN69+AL69+AJ69+AH69+AF69+AD69+AB69</f>
        <v>0</v>
      </c>
      <c r="BM69" s="519" t="s">
        <v>1207</v>
      </c>
      <c r="BO69" s="563"/>
      <c r="BP69" s="563"/>
      <c r="BQ69" s="563">
        <f>H69</f>
        <v>0</v>
      </c>
      <c r="BR69" s="563"/>
      <c r="BS69" s="264">
        <f t="shared" si="161"/>
        <v>0</v>
      </c>
      <c r="BT69" s="563"/>
      <c r="BU69" s="563"/>
      <c r="BV69" s="563"/>
      <c r="BW69" s="562">
        <f t="shared" si="16"/>
        <v>0</v>
      </c>
    </row>
    <row r="70" spans="1:75" s="499" customFormat="1" x14ac:dyDescent="0.25">
      <c r="A70" s="522"/>
      <c r="B70" s="513"/>
      <c r="C70" s="515" t="s">
        <v>984</v>
      </c>
      <c r="D70" s="541" t="s">
        <v>611</v>
      </c>
      <c r="E70" s="519" t="s">
        <v>567</v>
      </c>
      <c r="F70" s="526">
        <v>0</v>
      </c>
      <c r="G70" s="558">
        <f t="shared" si="162"/>
        <v>1655</v>
      </c>
      <c r="H70" s="558">
        <f t="shared" si="162"/>
        <v>0</v>
      </c>
      <c r="I70" s="511"/>
      <c r="J70" s="511">
        <f>H70</f>
        <v>0</v>
      </c>
      <c r="K70" s="511"/>
      <c r="L70" s="511"/>
      <c r="M70" s="511"/>
      <c r="N70" s="511"/>
      <c r="O70" s="511"/>
      <c r="P70" s="511"/>
      <c r="Q70" s="511"/>
      <c r="R70" s="511"/>
      <c r="S70" s="511">
        <f>G70</f>
        <v>1655</v>
      </c>
      <c r="T70" s="511"/>
      <c r="U70" s="511"/>
      <c r="V70" s="511"/>
      <c r="W70" s="511">
        <f>H70</f>
        <v>0</v>
      </c>
      <c r="X70" s="511"/>
      <c r="Y70" s="511"/>
      <c r="Z70" s="511"/>
      <c r="AA70" s="511">
        <v>200</v>
      </c>
      <c r="AB70" s="511"/>
      <c r="AC70" s="511">
        <v>15</v>
      </c>
      <c r="AD70" s="511"/>
      <c r="AE70" s="511">
        <v>0</v>
      </c>
      <c r="AF70" s="511"/>
      <c r="AG70" s="511">
        <v>0</v>
      </c>
      <c r="AH70" s="511">
        <f t="shared" si="4"/>
        <v>0</v>
      </c>
      <c r="AI70" s="511">
        <v>20</v>
      </c>
      <c r="AJ70" s="511"/>
      <c r="AK70" s="511">
        <v>0</v>
      </c>
      <c r="AL70" s="511"/>
      <c r="AM70" s="511">
        <v>180</v>
      </c>
      <c r="AN70" s="511"/>
      <c r="AO70" s="511">
        <v>250</v>
      </c>
      <c r="AP70" s="511">
        <f t="shared" si="7"/>
        <v>0</v>
      </c>
      <c r="AQ70" s="511">
        <v>0</v>
      </c>
      <c r="AR70" s="511">
        <f>AQ70*F70</f>
        <v>0</v>
      </c>
      <c r="AS70" s="511">
        <v>200</v>
      </c>
      <c r="AT70" s="564">
        <v>0</v>
      </c>
      <c r="AU70" s="511">
        <v>250</v>
      </c>
      <c r="AV70" s="511">
        <f>AU70*F70</f>
        <v>0</v>
      </c>
      <c r="AW70" s="511">
        <v>200</v>
      </c>
      <c r="AX70" s="511">
        <f>AW70*F70</f>
        <v>0</v>
      </c>
      <c r="AY70" s="513">
        <v>10</v>
      </c>
      <c r="AZ70" s="511"/>
      <c r="BA70" s="513">
        <v>30</v>
      </c>
      <c r="BB70" s="511">
        <f>BA70*F70</f>
        <v>0</v>
      </c>
      <c r="BC70" s="511">
        <v>0</v>
      </c>
      <c r="BD70" s="511"/>
      <c r="BE70" s="511">
        <v>300</v>
      </c>
      <c r="BF70" s="511"/>
      <c r="BG70" s="511">
        <v>0</v>
      </c>
      <c r="BH70" s="511"/>
      <c r="BI70" s="511"/>
      <c r="BJ70" s="511"/>
      <c r="BK70" s="280">
        <f>BI70+BG70+BE70+BC70+BA70+AY70+AW70+AU70+AS70+AQ70+AO70+AM70+AK70+AI70+AG70+AE70+AC70+AA70</f>
        <v>1655</v>
      </c>
      <c r="BL70" s="280">
        <f>BJ70+BH70+BF70+BD70+BB70+AZ70+AX70+AV70+AT70+AR70+AP70+AN70+AL70+AJ70+AH70+AF70+AD70+AB70</f>
        <v>0</v>
      </c>
      <c r="BM70" s="519" t="s">
        <v>210</v>
      </c>
      <c r="BO70" s="563"/>
      <c r="BP70" s="563">
        <f>BL70</f>
        <v>0</v>
      </c>
      <c r="BQ70" s="563"/>
      <c r="BR70" s="563"/>
      <c r="BS70" s="563">
        <f t="shared" si="161"/>
        <v>0</v>
      </c>
      <c r="BT70" s="563"/>
      <c r="BU70" s="563"/>
      <c r="BV70" s="563"/>
      <c r="BW70" s="562">
        <f t="shared" si="16"/>
        <v>0</v>
      </c>
    </row>
    <row r="71" spans="1:75" s="499" customFormat="1" x14ac:dyDescent="0.25">
      <c r="A71" s="522"/>
      <c r="B71" s="513"/>
      <c r="C71" s="513"/>
      <c r="D71" s="541" t="s">
        <v>568</v>
      </c>
      <c r="E71" s="519"/>
      <c r="F71" s="526"/>
      <c r="G71" s="511">
        <f t="shared" ref="G71:AL71" si="181">SUM(G66:G70)</f>
        <v>2082</v>
      </c>
      <c r="H71" s="565">
        <f t="shared" si="181"/>
        <v>135723150</v>
      </c>
      <c r="I71" s="511">
        <f t="shared" si="181"/>
        <v>13572315</v>
      </c>
      <c r="J71" s="511">
        <f t="shared" si="181"/>
        <v>108578520</v>
      </c>
      <c r="K71" s="511">
        <f t="shared" si="181"/>
        <v>0</v>
      </c>
      <c r="L71" s="511">
        <f t="shared" si="181"/>
        <v>0</v>
      </c>
      <c r="M71" s="511">
        <f t="shared" si="181"/>
        <v>0</v>
      </c>
      <c r="N71" s="511">
        <f t="shared" si="181"/>
        <v>0</v>
      </c>
      <c r="O71" s="511">
        <f t="shared" si="181"/>
        <v>0</v>
      </c>
      <c r="P71" s="511">
        <f t="shared" si="181"/>
        <v>0</v>
      </c>
      <c r="Q71" s="511">
        <f t="shared" si="181"/>
        <v>13572315</v>
      </c>
      <c r="R71" s="511">
        <f t="shared" si="181"/>
        <v>0</v>
      </c>
      <c r="S71" s="511">
        <f t="shared" si="181"/>
        <v>1655</v>
      </c>
      <c r="T71" s="511">
        <f t="shared" si="181"/>
        <v>298.89999999999998</v>
      </c>
      <c r="U71" s="511">
        <f t="shared" si="181"/>
        <v>128.1</v>
      </c>
      <c r="V71" s="511">
        <f t="shared" si="181"/>
        <v>0</v>
      </c>
      <c r="W71" s="511">
        <f t="shared" si="181"/>
        <v>0</v>
      </c>
      <c r="X71" s="511">
        <f t="shared" si="181"/>
        <v>95006205</v>
      </c>
      <c r="Y71" s="511">
        <f t="shared" si="181"/>
        <v>40716945</v>
      </c>
      <c r="Z71" s="511">
        <f t="shared" si="181"/>
        <v>0</v>
      </c>
      <c r="AA71" s="511">
        <f t="shared" si="181"/>
        <v>228</v>
      </c>
      <c r="AB71" s="511">
        <f t="shared" si="181"/>
        <v>10875800</v>
      </c>
      <c r="AC71" s="511">
        <f t="shared" si="181"/>
        <v>41</v>
      </c>
      <c r="AD71" s="511">
        <f t="shared" si="181"/>
        <v>7595000</v>
      </c>
      <c r="AE71" s="511">
        <f t="shared" si="181"/>
        <v>17</v>
      </c>
      <c r="AF71" s="511">
        <f t="shared" si="181"/>
        <v>3715000</v>
      </c>
      <c r="AG71" s="511">
        <f t="shared" si="181"/>
        <v>39</v>
      </c>
      <c r="AH71" s="511">
        <f t="shared" si="181"/>
        <v>12903100</v>
      </c>
      <c r="AI71" s="511">
        <f t="shared" si="181"/>
        <v>34</v>
      </c>
      <c r="AJ71" s="511">
        <f t="shared" si="181"/>
        <v>5195200</v>
      </c>
      <c r="AK71" s="511">
        <f t="shared" si="181"/>
        <v>26</v>
      </c>
      <c r="AL71" s="511">
        <f t="shared" si="181"/>
        <v>14503600</v>
      </c>
      <c r="AM71" s="511">
        <f t="shared" ref="AM71:BM71" si="182">SUM(AM66:AM70)</f>
        <v>215</v>
      </c>
      <c r="AN71" s="511">
        <f t="shared" si="182"/>
        <v>8166500</v>
      </c>
      <c r="AO71" s="511">
        <f t="shared" si="182"/>
        <v>270</v>
      </c>
      <c r="AP71" s="511">
        <f t="shared" si="182"/>
        <v>3759800</v>
      </c>
      <c r="AQ71" s="511">
        <f t="shared" si="182"/>
        <v>28</v>
      </c>
      <c r="AR71" s="511">
        <f t="shared" si="182"/>
        <v>12221300</v>
      </c>
      <c r="AS71" s="511">
        <f t="shared" si="182"/>
        <v>240</v>
      </c>
      <c r="AT71" s="511">
        <f t="shared" si="182"/>
        <v>15385900</v>
      </c>
      <c r="AU71" s="511">
        <f t="shared" si="182"/>
        <v>282</v>
      </c>
      <c r="AV71" s="511">
        <f t="shared" si="182"/>
        <v>6561300</v>
      </c>
      <c r="AW71" s="511">
        <f t="shared" si="182"/>
        <v>212</v>
      </c>
      <c r="AX71" s="511">
        <f t="shared" si="182"/>
        <v>3506450</v>
      </c>
      <c r="AY71" s="513">
        <f t="shared" si="182"/>
        <v>29</v>
      </c>
      <c r="AZ71" s="511">
        <f t="shared" si="182"/>
        <v>3404900</v>
      </c>
      <c r="BA71" s="513">
        <f t="shared" si="182"/>
        <v>62</v>
      </c>
      <c r="BB71" s="511">
        <f t="shared" si="182"/>
        <v>7146100</v>
      </c>
      <c r="BC71" s="511">
        <f t="shared" si="182"/>
        <v>19</v>
      </c>
      <c r="BD71" s="511">
        <f t="shared" si="182"/>
        <v>5548800</v>
      </c>
      <c r="BE71" s="511">
        <f t="shared" si="182"/>
        <v>323</v>
      </c>
      <c r="BF71" s="511">
        <f t="shared" si="182"/>
        <v>7557000</v>
      </c>
      <c r="BG71" s="511">
        <f t="shared" si="182"/>
        <v>17</v>
      </c>
      <c r="BH71" s="511">
        <f t="shared" si="182"/>
        <v>7677400</v>
      </c>
      <c r="BI71" s="511">
        <f t="shared" si="182"/>
        <v>0</v>
      </c>
      <c r="BJ71" s="511">
        <f t="shared" si="182"/>
        <v>0</v>
      </c>
      <c r="BK71" s="511">
        <f t="shared" si="182"/>
        <v>2082</v>
      </c>
      <c r="BL71" s="511">
        <f t="shared" si="182"/>
        <v>135723150</v>
      </c>
      <c r="BM71" s="511">
        <f t="shared" si="182"/>
        <v>0</v>
      </c>
      <c r="BN71" s="511"/>
      <c r="BO71" s="511">
        <f t="shared" ref="BO71:BW71" si="183">SUM(BO66:BO70)</f>
        <v>0</v>
      </c>
      <c r="BP71" s="511">
        <f t="shared" si="183"/>
        <v>0</v>
      </c>
      <c r="BQ71" s="511">
        <f t="shared" si="183"/>
        <v>135723150</v>
      </c>
      <c r="BR71" s="511">
        <f t="shared" si="183"/>
        <v>0</v>
      </c>
      <c r="BS71" s="511">
        <f t="shared" si="183"/>
        <v>135723150</v>
      </c>
      <c r="BT71" s="511">
        <f t="shared" si="183"/>
        <v>0</v>
      </c>
      <c r="BU71" s="511">
        <f t="shared" si="183"/>
        <v>0</v>
      </c>
      <c r="BV71" s="511">
        <f t="shared" si="183"/>
        <v>0</v>
      </c>
      <c r="BW71" s="511">
        <f t="shared" si="183"/>
        <v>135723150</v>
      </c>
    </row>
    <row r="72" spans="1:75" x14ac:dyDescent="0.25">
      <c r="A72" s="522"/>
      <c r="B72" s="505">
        <v>23700</v>
      </c>
      <c r="C72" s="505"/>
      <c r="D72" s="518" t="s">
        <v>17</v>
      </c>
      <c r="E72" s="519" t="s">
        <v>111</v>
      </c>
      <c r="F72" s="526" t="s">
        <v>111</v>
      </c>
      <c r="G72" s="566">
        <f t="shared" ref="G72:AL72" si="184">G71+G64+G49+G42+G22+G14</f>
        <v>24475</v>
      </c>
      <c r="H72" s="566">
        <f t="shared" si="184"/>
        <v>307958150</v>
      </c>
      <c r="I72" s="566">
        <f t="shared" si="184"/>
        <v>18723315</v>
      </c>
      <c r="J72" s="566">
        <f t="shared" si="184"/>
        <v>170406520</v>
      </c>
      <c r="K72" s="566">
        <f t="shared" si="184"/>
        <v>0</v>
      </c>
      <c r="L72" s="566">
        <f t="shared" si="184"/>
        <v>0</v>
      </c>
      <c r="M72" s="566">
        <f t="shared" si="184"/>
        <v>0</v>
      </c>
      <c r="N72" s="566">
        <f t="shared" si="184"/>
        <v>0</v>
      </c>
      <c r="O72" s="566">
        <f t="shared" si="184"/>
        <v>102320000</v>
      </c>
      <c r="P72" s="566">
        <f t="shared" si="184"/>
        <v>0</v>
      </c>
      <c r="Q72" s="566">
        <f t="shared" si="184"/>
        <v>16508315</v>
      </c>
      <c r="R72" s="566">
        <f t="shared" si="184"/>
        <v>0</v>
      </c>
      <c r="S72" s="566">
        <f t="shared" si="184"/>
        <v>2547.8000000000002</v>
      </c>
      <c r="T72" s="566">
        <f t="shared" si="184"/>
        <v>11371.9</v>
      </c>
      <c r="U72" s="566">
        <f t="shared" si="184"/>
        <v>10617.300000000001</v>
      </c>
      <c r="V72" s="566">
        <f t="shared" si="184"/>
        <v>64</v>
      </c>
      <c r="W72" s="566">
        <f t="shared" si="184"/>
        <v>26384000</v>
      </c>
      <c r="X72" s="566">
        <f t="shared" si="184"/>
        <v>170686205</v>
      </c>
      <c r="Y72" s="566">
        <f t="shared" si="184"/>
        <v>99387945</v>
      </c>
      <c r="Z72" s="566">
        <f t="shared" si="184"/>
        <v>11500000</v>
      </c>
      <c r="AA72" s="566">
        <f t="shared" si="184"/>
        <v>1553</v>
      </c>
      <c r="AB72" s="566">
        <f t="shared" si="184"/>
        <v>20350800</v>
      </c>
      <c r="AC72" s="566">
        <f t="shared" si="184"/>
        <v>1690</v>
      </c>
      <c r="AD72" s="566">
        <f t="shared" si="184"/>
        <v>18300000</v>
      </c>
      <c r="AE72" s="566">
        <f t="shared" si="184"/>
        <v>1384</v>
      </c>
      <c r="AF72" s="566">
        <f t="shared" si="184"/>
        <v>12582000</v>
      </c>
      <c r="AG72" s="566">
        <f t="shared" si="184"/>
        <v>2170</v>
      </c>
      <c r="AH72" s="566">
        <f t="shared" si="184"/>
        <v>26018100</v>
      </c>
      <c r="AI72" s="566">
        <f t="shared" si="184"/>
        <v>414</v>
      </c>
      <c r="AJ72" s="566">
        <f t="shared" si="184"/>
        <v>10060200</v>
      </c>
      <c r="AK72" s="566">
        <f t="shared" si="184"/>
        <v>2026</v>
      </c>
      <c r="AL72" s="566">
        <f t="shared" si="184"/>
        <v>28063600</v>
      </c>
      <c r="AM72" s="566">
        <f t="shared" ref="AM72:BM72" si="185">AM71+AM64+AM49+AM42+AM22+AM14</f>
        <v>1083</v>
      </c>
      <c r="AN72" s="566">
        <f t="shared" si="185"/>
        <v>17196500</v>
      </c>
      <c r="AO72" s="566">
        <f t="shared" si="185"/>
        <v>1388</v>
      </c>
      <c r="AP72" s="566">
        <f t="shared" si="185"/>
        <v>12399800</v>
      </c>
      <c r="AQ72" s="566">
        <f t="shared" si="185"/>
        <v>147</v>
      </c>
      <c r="AR72" s="566">
        <f t="shared" si="185"/>
        <v>16866300</v>
      </c>
      <c r="AS72" s="566">
        <f t="shared" si="185"/>
        <v>1945</v>
      </c>
      <c r="AT72" s="566">
        <f t="shared" si="185"/>
        <v>29891400</v>
      </c>
      <c r="AU72" s="566">
        <f t="shared" si="185"/>
        <v>1741</v>
      </c>
      <c r="AV72" s="566">
        <f t="shared" si="185"/>
        <v>19646300</v>
      </c>
      <c r="AW72" s="566">
        <f t="shared" si="185"/>
        <v>2595</v>
      </c>
      <c r="AX72" s="566">
        <f t="shared" si="185"/>
        <v>16783950</v>
      </c>
      <c r="AY72" s="566">
        <f t="shared" si="185"/>
        <v>1574</v>
      </c>
      <c r="AZ72" s="566">
        <f t="shared" si="185"/>
        <v>14854900</v>
      </c>
      <c r="BA72" s="566">
        <f t="shared" si="185"/>
        <v>1381</v>
      </c>
      <c r="BB72" s="566">
        <f t="shared" si="185"/>
        <v>17431100</v>
      </c>
      <c r="BC72" s="566">
        <f t="shared" si="185"/>
        <v>125</v>
      </c>
      <c r="BD72" s="566">
        <f t="shared" si="185"/>
        <v>9573800</v>
      </c>
      <c r="BE72" s="566">
        <f t="shared" si="185"/>
        <v>2421</v>
      </c>
      <c r="BF72" s="566">
        <f t="shared" si="185"/>
        <v>19747000</v>
      </c>
      <c r="BG72" s="566">
        <f t="shared" si="185"/>
        <v>835</v>
      </c>
      <c r="BH72" s="566">
        <f t="shared" si="185"/>
        <v>15192400</v>
      </c>
      <c r="BI72" s="566">
        <f t="shared" si="185"/>
        <v>3</v>
      </c>
      <c r="BJ72" s="566">
        <f t="shared" si="185"/>
        <v>3000000</v>
      </c>
      <c r="BK72" s="566">
        <f t="shared" si="185"/>
        <v>24475</v>
      </c>
      <c r="BL72" s="566">
        <f t="shared" si="185"/>
        <v>307958150</v>
      </c>
      <c r="BM72" s="566">
        <f t="shared" si="185"/>
        <v>0</v>
      </c>
      <c r="BN72" s="566"/>
      <c r="BO72" s="566">
        <f t="shared" ref="BO72:BW72" si="186">BO71+BO64+BO49+BO42+BO22+BO14</f>
        <v>0</v>
      </c>
      <c r="BP72" s="566">
        <f t="shared" si="186"/>
        <v>0</v>
      </c>
      <c r="BQ72" s="566">
        <f t="shared" si="186"/>
        <v>307958150</v>
      </c>
      <c r="BR72" s="566">
        <f t="shared" si="186"/>
        <v>0</v>
      </c>
      <c r="BS72" s="566">
        <f t="shared" si="186"/>
        <v>307958150</v>
      </c>
      <c r="BT72" s="566">
        <f t="shared" si="186"/>
        <v>0</v>
      </c>
      <c r="BU72" s="566">
        <f t="shared" si="186"/>
        <v>0</v>
      </c>
      <c r="BV72" s="566">
        <f t="shared" si="186"/>
        <v>0</v>
      </c>
      <c r="BW72" s="566">
        <f t="shared" si="186"/>
        <v>307958150</v>
      </c>
    </row>
    <row r="74" spans="1:75" x14ac:dyDescent="0.25">
      <c r="H74" s="567">
        <f>SUM(I72:R72)</f>
        <v>307958150</v>
      </c>
      <c r="O74" s="567"/>
    </row>
    <row r="75" spans="1:75" x14ac:dyDescent="0.25">
      <c r="H75" s="568">
        <f>H74-H72</f>
        <v>0</v>
      </c>
      <c r="O75" s="568"/>
      <c r="W75" s="569">
        <f>SUM(W72:Z72)</f>
        <v>307958150</v>
      </c>
      <c r="BL75" s="570">
        <f>H72-BL72</f>
        <v>0</v>
      </c>
    </row>
    <row r="76" spans="1:75" x14ac:dyDescent="0.25">
      <c r="W76" s="570">
        <f>H72-W75</f>
        <v>0</v>
      </c>
    </row>
  </sheetData>
  <mergeCells count="38">
    <mergeCell ref="BW7:BW8"/>
    <mergeCell ref="BG6:BH7"/>
    <mergeCell ref="BI6:BJ7"/>
    <mergeCell ref="BK6:BL7"/>
    <mergeCell ref="A7:A8"/>
    <mergeCell ref="B7:B8"/>
    <mergeCell ref="D7:D8"/>
    <mergeCell ref="AW6:AX7"/>
    <mergeCell ref="AK6:AL7"/>
    <mergeCell ref="AY6:AZ7"/>
    <mergeCell ref="AM6:AN7"/>
    <mergeCell ref="BT7:BV7"/>
    <mergeCell ref="F7:F8"/>
    <mergeCell ref="AA6:AB7"/>
    <mergeCell ref="H7:H8"/>
    <mergeCell ref="AC6:AD7"/>
    <mergeCell ref="AE6:AF7"/>
    <mergeCell ref="BO7:BS7"/>
    <mergeCell ref="BA6:BB7"/>
    <mergeCell ref="BC6:BD7"/>
    <mergeCell ref="BE6:BF7"/>
    <mergeCell ref="AI6:AJ7"/>
    <mergeCell ref="AO6:AP7"/>
    <mergeCell ref="AQ6:AR7"/>
    <mergeCell ref="AS6:AT7"/>
    <mergeCell ref="AU6:AV7"/>
    <mergeCell ref="AG6:AH7"/>
    <mergeCell ref="W6:Z7"/>
    <mergeCell ref="E7:E8"/>
    <mergeCell ref="G7:G8"/>
    <mergeCell ref="A6:E6"/>
    <mergeCell ref="G6:H6"/>
    <mergeCell ref="I6:R6"/>
    <mergeCell ref="A1:B1"/>
    <mergeCell ref="D1:R1"/>
    <mergeCell ref="A2:B2"/>
    <mergeCell ref="D2:R2"/>
    <mergeCell ref="S6:V7"/>
  </mergeCells>
  <phoneticPr fontId="3" type="noConversion"/>
  <pageMargins left="0.47" right="0.54" top="0.75" bottom="0.75" header="0.3" footer="0.3"/>
  <pageSetup paperSize="9" scale="1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fitToPage="1"/>
  </sheetPr>
  <dimension ref="A1:FE60"/>
  <sheetViews>
    <sheetView topLeftCell="B1" zoomScaleNormal="100" workbookViewId="0">
      <pane xSplit="8" ySplit="8" topLeftCell="J36" activePane="bottomRight" state="frozen"/>
      <selection activeCell="B1" sqref="B1"/>
      <selection pane="topRight" activeCell="H1" sqref="H1"/>
      <selection pane="bottomLeft" activeCell="B9" sqref="B9"/>
      <selection pane="bottomRight" activeCell="J65" sqref="J65"/>
    </sheetView>
  </sheetViews>
  <sheetFormatPr defaultColWidth="14.42578125" defaultRowHeight="12.75" x14ac:dyDescent="0.25"/>
  <cols>
    <col min="1" max="1" width="43.42578125" style="576" bestFit="1" customWidth="1"/>
    <col min="2" max="2" width="6.42578125" style="576" customWidth="1"/>
    <col min="3" max="3" width="9" style="576" bestFit="1" customWidth="1"/>
    <col min="4" max="4" width="9" style="576" customWidth="1"/>
    <col min="5" max="5" width="48.5703125" style="576" bestFit="1" customWidth="1"/>
    <col min="6" max="6" width="5.140625" style="576" bestFit="1" customWidth="1"/>
    <col min="7" max="7" width="8.85546875" style="501" bestFit="1" customWidth="1"/>
    <col min="8" max="8" width="9.7109375" style="501" bestFit="1" customWidth="1"/>
    <col min="9" max="9" width="14.5703125" style="619" bestFit="1" customWidth="1"/>
    <col min="10" max="10" width="13.42578125" style="619" bestFit="1" customWidth="1"/>
    <col min="11" max="11" width="12.28515625" style="619" bestFit="1" customWidth="1"/>
    <col min="12" max="12" width="9.42578125" style="619" bestFit="1" customWidth="1"/>
    <col min="13" max="13" width="11.42578125" style="619" bestFit="1" customWidth="1"/>
    <col min="14" max="14" width="12.28515625" style="619" bestFit="1" customWidth="1"/>
    <col min="15" max="15" width="10.85546875" style="619" bestFit="1" customWidth="1"/>
    <col min="16" max="16" width="6.5703125" style="619" bestFit="1" customWidth="1"/>
    <col min="17" max="17" width="6.42578125" style="501" bestFit="1" customWidth="1"/>
    <col min="18" max="18" width="11.28515625" style="501" bestFit="1" customWidth="1"/>
    <col min="19" max="19" width="7" style="501" bestFit="1" customWidth="1"/>
    <col min="20" max="20" width="8" style="620" customWidth="1"/>
    <col min="21" max="23" width="6" style="620" customWidth="1"/>
    <col min="24" max="24" width="15.42578125" style="621" customWidth="1"/>
    <col min="25" max="27" width="13.42578125" style="621" customWidth="1"/>
    <col min="28" max="28" width="6.42578125" style="501" customWidth="1"/>
    <col min="29" max="29" width="11.28515625" style="576" customWidth="1"/>
    <col min="30" max="30" width="4.42578125" style="576" customWidth="1"/>
    <col min="31" max="31" width="11.28515625" style="576" customWidth="1"/>
    <col min="32" max="32" width="4.42578125" style="576" customWidth="1"/>
    <col min="33" max="33" width="11.28515625" style="576" customWidth="1"/>
    <col min="34" max="34" width="4.42578125" style="576" customWidth="1"/>
    <col min="35" max="35" width="11.28515625" style="576" customWidth="1"/>
    <col min="36" max="36" width="4.42578125" style="576" customWidth="1"/>
    <col min="37" max="37" width="11.28515625" style="576" customWidth="1"/>
    <col min="38" max="38" width="4.42578125" style="576" customWidth="1"/>
    <col min="39" max="39" width="12.5703125" style="576" customWidth="1"/>
    <col min="40" max="40" width="4.42578125" style="576" customWidth="1"/>
    <col min="41" max="41" width="11.28515625" style="576" customWidth="1"/>
    <col min="42" max="42" width="4.42578125" style="576" customWidth="1"/>
    <col min="43" max="43" width="11.28515625" style="576" customWidth="1"/>
    <col min="44" max="44" width="4.42578125" style="576" customWidth="1"/>
    <col min="45" max="45" width="11.28515625" style="576" customWidth="1"/>
    <col min="46" max="46" width="4.42578125" style="576" customWidth="1"/>
    <col min="47" max="47" width="11.28515625" style="576" customWidth="1"/>
    <col min="48" max="48" width="4.42578125" style="576" customWidth="1"/>
    <col min="49" max="49" width="11.28515625" style="576" customWidth="1"/>
    <col min="50" max="50" width="4.42578125" style="576" customWidth="1"/>
    <col min="51" max="51" width="11.28515625" style="576" customWidth="1"/>
    <col min="52" max="52" width="4.42578125" style="576" customWidth="1"/>
    <col min="53" max="53" width="11.28515625" style="576" customWidth="1"/>
    <col min="54" max="54" width="4.42578125" style="576" customWidth="1"/>
    <col min="55" max="55" width="12.42578125" style="576" customWidth="1"/>
    <col min="56" max="56" width="4.42578125" style="576" customWidth="1"/>
    <col min="57" max="57" width="11.28515625" style="576" customWidth="1"/>
    <col min="58" max="58" width="4.42578125" style="576" customWidth="1"/>
    <col min="59" max="59" width="11.28515625" style="576" customWidth="1"/>
    <col min="60" max="60" width="4.42578125" style="279" customWidth="1"/>
    <col min="61" max="61" width="11.28515625" style="279" customWidth="1"/>
    <col min="62" max="62" width="4.42578125" style="279" customWidth="1"/>
    <col min="63" max="63" width="11.28515625" style="279" customWidth="1"/>
    <col min="64" max="64" width="5" style="279" customWidth="1"/>
    <col min="65" max="65" width="12.28515625" style="279" customWidth="1"/>
    <col min="66" max="66" width="20.5703125" style="532" bestFit="1" customWidth="1"/>
    <col min="67" max="67" width="2" style="279" bestFit="1" customWidth="1"/>
    <col min="68" max="68" width="13.5703125" style="279" bestFit="1" customWidth="1"/>
    <col min="69" max="69" width="14.140625" style="279" bestFit="1" customWidth="1"/>
    <col min="70" max="70" width="13.5703125" style="279" bestFit="1" customWidth="1"/>
    <col min="71" max="71" width="6.28515625" style="279" bestFit="1" customWidth="1"/>
    <col min="72" max="72" width="14.85546875" style="279" bestFit="1" customWidth="1"/>
    <col min="73" max="73" width="10" style="279" bestFit="1" customWidth="1"/>
    <col min="74" max="74" width="13" style="279" bestFit="1" customWidth="1"/>
    <col min="75" max="75" width="13.42578125" style="279" bestFit="1" customWidth="1"/>
    <col min="76" max="76" width="13.5703125" style="279" bestFit="1" customWidth="1"/>
    <col min="77" max="161" width="14.42578125" style="279" customWidth="1"/>
    <col min="162" max="16384" width="14.42578125" style="576"/>
  </cols>
  <sheetData>
    <row r="1" spans="1:76" s="279" customFormat="1" x14ac:dyDescent="0.25">
      <c r="A1" s="864" t="s">
        <v>158</v>
      </c>
      <c r="B1" s="864"/>
      <c r="C1" s="864"/>
      <c r="D1" s="498"/>
      <c r="E1" s="865" t="s">
        <v>152</v>
      </c>
      <c r="F1" s="865"/>
      <c r="G1" s="865"/>
      <c r="H1" s="865"/>
      <c r="I1" s="865"/>
      <c r="J1" s="865"/>
      <c r="K1" s="865"/>
      <c r="L1" s="865"/>
      <c r="M1" s="865"/>
      <c r="N1" s="865"/>
      <c r="O1" s="865"/>
      <c r="P1" s="865"/>
      <c r="Q1" s="865"/>
      <c r="R1" s="865"/>
      <c r="S1" s="865"/>
      <c r="T1" s="571" t="s">
        <v>558</v>
      </c>
      <c r="U1" s="571"/>
      <c r="V1" s="571"/>
      <c r="W1" s="571"/>
      <c r="X1" s="572"/>
      <c r="Y1" s="572"/>
      <c r="Z1" s="572"/>
      <c r="AA1" s="572"/>
      <c r="AB1" s="501"/>
      <c r="BN1" s="532"/>
    </row>
    <row r="2" spans="1:76" s="279" customFormat="1" x14ac:dyDescent="0.2">
      <c r="A2" s="864" t="s">
        <v>154</v>
      </c>
      <c r="B2" s="864"/>
      <c r="C2" s="864"/>
      <c r="D2" s="498"/>
      <c r="E2" s="865" t="s">
        <v>153</v>
      </c>
      <c r="F2" s="865"/>
      <c r="G2" s="865"/>
      <c r="H2" s="865"/>
      <c r="I2" s="865"/>
      <c r="J2" s="865"/>
      <c r="K2" s="865"/>
      <c r="L2" s="865"/>
      <c r="M2" s="865"/>
      <c r="N2" s="865"/>
      <c r="O2" s="865"/>
      <c r="P2" s="865"/>
      <c r="Q2" s="865"/>
      <c r="R2" s="865"/>
      <c r="S2" s="865"/>
      <c r="T2" s="571"/>
      <c r="U2" s="571"/>
      <c r="V2" s="571"/>
      <c r="W2" s="571"/>
      <c r="X2" s="572"/>
      <c r="Y2" s="572"/>
      <c r="Z2" s="572"/>
      <c r="AA2" s="572"/>
      <c r="AB2" s="573" t="s">
        <v>287</v>
      </c>
      <c r="AC2" s="573">
        <v>8.34</v>
      </c>
      <c r="AD2" s="573"/>
      <c r="AE2" s="573">
        <v>2.85</v>
      </c>
      <c r="AF2" s="573"/>
      <c r="AG2" s="573">
        <v>8.3800000000000008</v>
      </c>
      <c r="AH2" s="573"/>
      <c r="AI2" s="573">
        <v>7.49</v>
      </c>
      <c r="AJ2" s="573"/>
      <c r="AK2" s="573">
        <v>3.33</v>
      </c>
      <c r="AL2" s="573"/>
      <c r="AM2" s="573">
        <v>6.64</v>
      </c>
      <c r="AN2" s="573"/>
      <c r="AO2" s="573">
        <v>3.67</v>
      </c>
      <c r="AP2" s="573"/>
      <c r="AQ2" s="573">
        <v>5.0599999999999996</v>
      </c>
      <c r="AR2" s="573"/>
      <c r="AS2" s="573">
        <v>5.94</v>
      </c>
      <c r="AT2" s="573"/>
      <c r="AU2" s="573">
        <v>6.85</v>
      </c>
      <c r="AV2" s="573"/>
      <c r="AW2" s="573">
        <v>7.45</v>
      </c>
      <c r="AX2" s="573"/>
      <c r="AY2" s="573">
        <v>5.13</v>
      </c>
      <c r="AZ2" s="573"/>
      <c r="BA2" s="573">
        <v>4.8600000000000003</v>
      </c>
      <c r="BB2" s="573"/>
      <c r="BC2" s="573">
        <v>5.79</v>
      </c>
      <c r="BD2" s="573"/>
      <c r="BE2" s="573">
        <v>5.3</v>
      </c>
      <c r="BF2" s="573"/>
      <c r="BG2" s="573">
        <v>3.47</v>
      </c>
      <c r="BH2" s="573"/>
      <c r="BI2" s="573">
        <v>9.42</v>
      </c>
      <c r="BJ2" s="573"/>
      <c r="BK2" s="573"/>
      <c r="BL2" s="573"/>
      <c r="BM2" s="573"/>
      <c r="BN2" s="532"/>
    </row>
    <row r="3" spans="1:76" s="279" customFormat="1" x14ac:dyDescent="0.2">
      <c r="A3" s="499" t="s">
        <v>155</v>
      </c>
      <c r="B3" s="499"/>
      <c r="C3" s="499"/>
      <c r="D3" s="498"/>
      <c r="E3" s="499" t="s">
        <v>1174</v>
      </c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571"/>
      <c r="U3" s="571"/>
      <c r="V3" s="571"/>
      <c r="W3" s="571"/>
      <c r="X3" s="572"/>
      <c r="Y3" s="572"/>
      <c r="Z3" s="572"/>
      <c r="AA3" s="572"/>
      <c r="AB3" s="573" t="s">
        <v>285</v>
      </c>
      <c r="AC3" s="573">
        <v>48</v>
      </c>
      <c r="AD3" s="573"/>
      <c r="AE3" s="573">
        <v>23</v>
      </c>
      <c r="AF3" s="573"/>
      <c r="AG3" s="573">
        <v>80</v>
      </c>
      <c r="AH3" s="573"/>
      <c r="AI3" s="573">
        <v>105</v>
      </c>
      <c r="AJ3" s="573"/>
      <c r="AK3" s="573">
        <v>43</v>
      </c>
      <c r="AL3" s="573"/>
      <c r="AM3" s="573">
        <v>75</v>
      </c>
      <c r="AN3" s="573"/>
      <c r="AO3" s="573">
        <v>41</v>
      </c>
      <c r="AP3" s="573"/>
      <c r="AQ3" s="573">
        <v>101</v>
      </c>
      <c r="AR3" s="573"/>
      <c r="AS3" s="573">
        <v>8</v>
      </c>
      <c r="AT3" s="573"/>
      <c r="AU3" s="573">
        <v>33</v>
      </c>
      <c r="AV3" s="573"/>
      <c r="AW3" s="573">
        <v>53</v>
      </c>
      <c r="AX3" s="573"/>
      <c r="AY3" s="573">
        <v>52</v>
      </c>
      <c r="AZ3" s="573"/>
      <c r="BA3" s="573">
        <v>76</v>
      </c>
      <c r="BB3" s="573"/>
      <c r="BC3" s="573">
        <v>82</v>
      </c>
      <c r="BD3" s="573"/>
      <c r="BE3" s="573">
        <v>104</v>
      </c>
      <c r="BF3" s="573"/>
      <c r="BG3" s="573">
        <v>147</v>
      </c>
      <c r="BH3" s="573"/>
      <c r="BI3" s="573">
        <v>54</v>
      </c>
      <c r="BJ3" s="573"/>
      <c r="BK3" s="573"/>
      <c r="BL3" s="573"/>
      <c r="BM3" s="573"/>
      <c r="BN3" s="532"/>
    </row>
    <row r="4" spans="1:76" s="279" customFormat="1" ht="16.5" customHeight="1" x14ac:dyDescent="0.2">
      <c r="A4" s="499" t="s">
        <v>165</v>
      </c>
      <c r="B4" s="499"/>
      <c r="C4" s="499"/>
      <c r="D4" s="498"/>
      <c r="E4" s="499" t="s">
        <v>91</v>
      </c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  <c r="T4" s="571"/>
      <c r="U4" s="571"/>
      <c r="V4" s="571"/>
      <c r="W4" s="571"/>
      <c r="X4" s="572"/>
      <c r="Y4" s="572"/>
      <c r="Z4" s="572"/>
      <c r="AA4" s="572"/>
      <c r="AB4" s="573" t="s">
        <v>286</v>
      </c>
      <c r="AC4" s="574">
        <f>AC3/1125*100</f>
        <v>4.2666666666666666</v>
      </c>
      <c r="AD4" s="574">
        <f t="shared" ref="AD4:BI4" si="0">AD3/1125*100</f>
        <v>0</v>
      </c>
      <c r="AE4" s="574">
        <f t="shared" si="0"/>
        <v>2.0444444444444447</v>
      </c>
      <c r="AF4" s="574">
        <f t="shared" si="0"/>
        <v>0</v>
      </c>
      <c r="AG4" s="574">
        <f t="shared" si="0"/>
        <v>7.1111111111111107</v>
      </c>
      <c r="AH4" s="574">
        <f t="shared" si="0"/>
        <v>0</v>
      </c>
      <c r="AI4" s="574">
        <f t="shared" si="0"/>
        <v>9.3333333333333339</v>
      </c>
      <c r="AJ4" s="574">
        <f t="shared" si="0"/>
        <v>0</v>
      </c>
      <c r="AK4" s="574">
        <f t="shared" si="0"/>
        <v>3.822222222222222</v>
      </c>
      <c r="AL4" s="574">
        <f t="shared" si="0"/>
        <v>0</v>
      </c>
      <c r="AM4" s="574">
        <f t="shared" si="0"/>
        <v>6.666666666666667</v>
      </c>
      <c r="AN4" s="574">
        <f t="shared" si="0"/>
        <v>0</v>
      </c>
      <c r="AO4" s="574">
        <f t="shared" si="0"/>
        <v>3.6444444444444448</v>
      </c>
      <c r="AP4" s="574">
        <f t="shared" si="0"/>
        <v>0</v>
      </c>
      <c r="AQ4" s="574">
        <f t="shared" si="0"/>
        <v>8.9777777777777779</v>
      </c>
      <c r="AR4" s="574">
        <f t="shared" si="0"/>
        <v>0</v>
      </c>
      <c r="AS4" s="574">
        <f t="shared" si="0"/>
        <v>0.71111111111111114</v>
      </c>
      <c r="AT4" s="574">
        <f t="shared" si="0"/>
        <v>0</v>
      </c>
      <c r="AU4" s="574">
        <f t="shared" si="0"/>
        <v>2.9333333333333331</v>
      </c>
      <c r="AV4" s="574">
        <f t="shared" si="0"/>
        <v>0</v>
      </c>
      <c r="AW4" s="574">
        <f t="shared" si="0"/>
        <v>4.7111111111111112</v>
      </c>
      <c r="AX4" s="574">
        <f t="shared" si="0"/>
        <v>0</v>
      </c>
      <c r="AY4" s="574">
        <f t="shared" si="0"/>
        <v>4.6222222222222218</v>
      </c>
      <c r="AZ4" s="574">
        <f t="shared" si="0"/>
        <v>0</v>
      </c>
      <c r="BA4" s="574">
        <f t="shared" si="0"/>
        <v>6.7555555555555546</v>
      </c>
      <c r="BB4" s="574">
        <f t="shared" si="0"/>
        <v>0</v>
      </c>
      <c r="BC4" s="574">
        <f t="shared" si="0"/>
        <v>7.2888888888888896</v>
      </c>
      <c r="BD4" s="574">
        <f t="shared" si="0"/>
        <v>0</v>
      </c>
      <c r="BE4" s="574">
        <f t="shared" si="0"/>
        <v>9.2444444444444436</v>
      </c>
      <c r="BF4" s="574">
        <f t="shared" si="0"/>
        <v>0</v>
      </c>
      <c r="BG4" s="574">
        <f t="shared" si="0"/>
        <v>13.066666666666665</v>
      </c>
      <c r="BH4" s="574">
        <f t="shared" si="0"/>
        <v>0</v>
      </c>
      <c r="BI4" s="574">
        <f t="shared" si="0"/>
        <v>4.8</v>
      </c>
      <c r="BJ4" s="573"/>
      <c r="BK4" s="573"/>
      <c r="BL4" s="573"/>
      <c r="BM4" s="573"/>
      <c r="BN4" s="532"/>
    </row>
    <row r="5" spans="1:76" s="279" customFormat="1" hidden="1" x14ac:dyDescent="0.2">
      <c r="A5" s="864" t="s">
        <v>166</v>
      </c>
      <c r="B5" s="864"/>
      <c r="C5" s="864"/>
      <c r="D5" s="498"/>
      <c r="E5" s="865" t="s">
        <v>167</v>
      </c>
      <c r="F5" s="865"/>
      <c r="G5" s="865"/>
      <c r="H5" s="865"/>
      <c r="I5" s="865"/>
      <c r="J5" s="865"/>
      <c r="K5" s="865"/>
      <c r="L5" s="865"/>
      <c r="M5" s="865"/>
      <c r="N5" s="865"/>
      <c r="O5" s="865"/>
      <c r="P5" s="865"/>
      <c r="Q5" s="865"/>
      <c r="R5" s="865"/>
      <c r="S5" s="865"/>
      <c r="T5" s="571"/>
      <c r="U5" s="571"/>
      <c r="V5" s="571"/>
      <c r="W5" s="571"/>
      <c r="X5" s="572"/>
      <c r="Y5" s="572"/>
      <c r="Z5" s="572"/>
      <c r="AA5" s="572"/>
      <c r="AB5" s="573"/>
      <c r="AC5" s="573"/>
      <c r="AD5" s="573"/>
      <c r="AE5" s="573"/>
      <c r="AF5" s="573"/>
      <c r="AG5" s="573"/>
      <c r="AH5" s="573"/>
      <c r="AI5" s="573"/>
      <c r="AJ5" s="573"/>
      <c r="AK5" s="573"/>
      <c r="AL5" s="573"/>
      <c r="AM5" s="573"/>
      <c r="AN5" s="573"/>
      <c r="AO5" s="573"/>
      <c r="AP5" s="573"/>
      <c r="AQ5" s="573"/>
      <c r="AR5" s="573"/>
      <c r="AS5" s="573"/>
      <c r="AT5" s="573"/>
      <c r="AU5" s="573"/>
      <c r="AV5" s="573"/>
      <c r="AW5" s="573"/>
      <c r="AX5" s="573"/>
      <c r="AY5" s="573"/>
      <c r="AZ5" s="573"/>
      <c r="BA5" s="573"/>
      <c r="BB5" s="573"/>
      <c r="BC5" s="573"/>
      <c r="BD5" s="573"/>
      <c r="BE5" s="573"/>
      <c r="BF5" s="573"/>
      <c r="BG5" s="573"/>
      <c r="BH5" s="573"/>
      <c r="BI5" s="573"/>
      <c r="BJ5" s="573"/>
      <c r="BK5" s="573"/>
      <c r="BL5" s="573"/>
      <c r="BM5" s="573"/>
      <c r="BN5" s="532"/>
    </row>
    <row r="6" spans="1:76" ht="16.5" hidden="1" customHeight="1" x14ac:dyDescent="0.25">
      <c r="A6" s="895"/>
      <c r="B6" s="896"/>
      <c r="C6" s="896"/>
      <c r="D6" s="896"/>
      <c r="E6" s="896"/>
      <c r="F6" s="897"/>
      <c r="G6" s="575"/>
      <c r="H6" s="898" t="s">
        <v>21</v>
      </c>
      <c r="I6" s="899"/>
      <c r="J6" s="885" t="s">
        <v>151</v>
      </c>
      <c r="K6" s="886"/>
      <c r="L6" s="886"/>
      <c r="M6" s="886"/>
      <c r="N6" s="886"/>
      <c r="O6" s="886"/>
      <c r="P6" s="886"/>
      <c r="Q6" s="886"/>
      <c r="R6" s="886"/>
      <c r="S6" s="887"/>
      <c r="T6" s="906" t="s">
        <v>60</v>
      </c>
      <c r="U6" s="907"/>
      <c r="V6" s="907"/>
      <c r="W6" s="908"/>
      <c r="X6" s="912" t="s">
        <v>6</v>
      </c>
      <c r="Y6" s="913"/>
      <c r="Z6" s="913"/>
      <c r="AA6" s="914"/>
      <c r="AB6" s="888" t="s">
        <v>179</v>
      </c>
      <c r="AC6" s="888"/>
      <c r="AD6" s="888" t="s">
        <v>180</v>
      </c>
      <c r="AE6" s="888"/>
      <c r="AF6" s="888" t="s">
        <v>181</v>
      </c>
      <c r="AG6" s="888"/>
      <c r="AH6" s="888" t="s">
        <v>182</v>
      </c>
      <c r="AI6" s="888"/>
      <c r="AJ6" s="888" t="s">
        <v>183</v>
      </c>
      <c r="AK6" s="888"/>
      <c r="AL6" s="888" t="s">
        <v>184</v>
      </c>
      <c r="AM6" s="888"/>
      <c r="AN6" s="888" t="s">
        <v>185</v>
      </c>
      <c r="AO6" s="888"/>
      <c r="AP6" s="888" t="s">
        <v>186</v>
      </c>
      <c r="AQ6" s="888"/>
      <c r="AR6" s="888" t="s">
        <v>187</v>
      </c>
      <c r="AS6" s="888"/>
      <c r="AT6" s="888" t="s">
        <v>188</v>
      </c>
      <c r="AU6" s="888"/>
      <c r="AV6" s="888" t="s">
        <v>189</v>
      </c>
      <c r="AW6" s="888"/>
      <c r="AX6" s="888" t="s">
        <v>190</v>
      </c>
      <c r="AY6" s="888"/>
      <c r="AZ6" s="888" t="s">
        <v>191</v>
      </c>
      <c r="BA6" s="888"/>
      <c r="BB6" s="888" t="s">
        <v>192</v>
      </c>
      <c r="BC6" s="888"/>
      <c r="BD6" s="888" t="s">
        <v>193</v>
      </c>
      <c r="BE6" s="888"/>
      <c r="BF6" s="888" t="s">
        <v>194</v>
      </c>
      <c r="BG6" s="888"/>
      <c r="BH6" s="888" t="s">
        <v>195</v>
      </c>
      <c r="BI6" s="888"/>
      <c r="BJ6" s="888" t="s">
        <v>196</v>
      </c>
      <c r="BK6" s="888"/>
      <c r="BL6" s="888" t="s">
        <v>17</v>
      </c>
      <c r="BM6" s="888"/>
      <c r="BN6" s="890" t="s">
        <v>229</v>
      </c>
    </row>
    <row r="7" spans="1:76" ht="26.25" customHeight="1" x14ac:dyDescent="0.2">
      <c r="A7" s="577" t="s">
        <v>13</v>
      </c>
      <c r="B7" s="577"/>
      <c r="C7" s="893" t="s">
        <v>56</v>
      </c>
      <c r="D7" s="578"/>
      <c r="E7" s="893" t="s">
        <v>12</v>
      </c>
      <c r="F7" s="893" t="s">
        <v>14</v>
      </c>
      <c r="G7" s="891" t="s">
        <v>33</v>
      </c>
      <c r="H7" s="891" t="s">
        <v>42</v>
      </c>
      <c r="I7" s="902" t="s">
        <v>15</v>
      </c>
      <c r="J7" s="579" t="s">
        <v>199</v>
      </c>
      <c r="K7" s="579" t="s">
        <v>200</v>
      </c>
      <c r="L7" s="579" t="s">
        <v>201</v>
      </c>
      <c r="M7" s="579" t="s">
        <v>202</v>
      </c>
      <c r="N7" s="579" t="s">
        <v>203</v>
      </c>
      <c r="O7" s="579" t="s">
        <v>204</v>
      </c>
      <c r="P7" s="579" t="s">
        <v>889</v>
      </c>
      <c r="Q7" s="579" t="s">
        <v>205</v>
      </c>
      <c r="R7" s="579" t="s">
        <v>206</v>
      </c>
      <c r="S7" s="579" t="s">
        <v>740</v>
      </c>
      <c r="T7" s="909"/>
      <c r="U7" s="910"/>
      <c r="V7" s="910"/>
      <c r="W7" s="911"/>
      <c r="X7" s="915"/>
      <c r="Y7" s="916"/>
      <c r="Z7" s="916"/>
      <c r="AA7" s="917"/>
      <c r="AB7" s="888"/>
      <c r="AC7" s="888"/>
      <c r="AD7" s="888" t="s">
        <v>43</v>
      </c>
      <c r="AE7" s="888"/>
      <c r="AF7" s="888" t="s">
        <v>44</v>
      </c>
      <c r="AG7" s="888"/>
      <c r="AH7" s="888" t="s">
        <v>45</v>
      </c>
      <c r="AI7" s="888"/>
      <c r="AJ7" s="888" t="s">
        <v>46</v>
      </c>
      <c r="AK7" s="888"/>
      <c r="AL7" s="888" t="s">
        <v>47</v>
      </c>
      <c r="AM7" s="888"/>
      <c r="AN7" s="888" t="s">
        <v>48</v>
      </c>
      <c r="AO7" s="888"/>
      <c r="AP7" s="888" t="s">
        <v>49</v>
      </c>
      <c r="AQ7" s="888"/>
      <c r="AR7" s="888" t="s">
        <v>50</v>
      </c>
      <c r="AS7" s="888"/>
      <c r="AT7" s="888" t="s">
        <v>51</v>
      </c>
      <c r="AU7" s="888"/>
      <c r="AV7" s="888" t="s">
        <v>52</v>
      </c>
      <c r="AW7" s="888"/>
      <c r="AX7" s="888" t="s">
        <v>53</v>
      </c>
      <c r="AY7" s="888"/>
      <c r="AZ7" s="888" t="s">
        <v>54</v>
      </c>
      <c r="BA7" s="888"/>
      <c r="BB7" s="888" t="s">
        <v>55</v>
      </c>
      <c r="BC7" s="888"/>
      <c r="BD7" s="888" t="s">
        <v>40</v>
      </c>
      <c r="BE7" s="888"/>
      <c r="BF7" s="888" t="s">
        <v>37</v>
      </c>
      <c r="BG7" s="888"/>
      <c r="BH7" s="888"/>
      <c r="BI7" s="888"/>
      <c r="BJ7" s="888"/>
      <c r="BK7" s="888"/>
      <c r="BL7" s="888"/>
      <c r="BM7" s="888"/>
      <c r="BN7" s="890"/>
      <c r="BP7" s="918" t="s">
        <v>227</v>
      </c>
      <c r="BQ7" s="918"/>
      <c r="BR7" s="918"/>
      <c r="BS7" s="918"/>
      <c r="BT7" s="918"/>
      <c r="BU7" s="918" t="s">
        <v>228</v>
      </c>
      <c r="BV7" s="918"/>
      <c r="BW7" s="918"/>
      <c r="BX7" s="890" t="s">
        <v>17</v>
      </c>
    </row>
    <row r="8" spans="1:76" ht="40.5" customHeight="1" x14ac:dyDescent="0.2">
      <c r="A8" s="580"/>
      <c r="B8" s="580"/>
      <c r="C8" s="894"/>
      <c r="D8" s="893" t="s">
        <v>56</v>
      </c>
      <c r="E8" s="900"/>
      <c r="F8" s="900"/>
      <c r="G8" s="901"/>
      <c r="H8" s="901"/>
      <c r="I8" s="903"/>
      <c r="J8" s="581"/>
      <c r="K8" s="581"/>
      <c r="L8" s="581"/>
      <c r="M8" s="581"/>
      <c r="N8" s="581"/>
      <c r="O8" s="581"/>
      <c r="P8" s="581"/>
      <c r="Q8" s="581"/>
      <c r="R8" s="581"/>
      <c r="S8" s="581"/>
      <c r="T8" s="582" t="s">
        <v>7</v>
      </c>
      <c r="U8" s="582" t="s">
        <v>8</v>
      </c>
      <c r="V8" s="582" t="s">
        <v>9</v>
      </c>
      <c r="W8" s="582" t="s">
        <v>10</v>
      </c>
      <c r="X8" s="583" t="s">
        <v>7</v>
      </c>
      <c r="Y8" s="583" t="s">
        <v>8</v>
      </c>
      <c r="Z8" s="583" t="s">
        <v>9</v>
      </c>
      <c r="AA8" s="583" t="s">
        <v>10</v>
      </c>
      <c r="AB8" s="584" t="s">
        <v>14</v>
      </c>
      <c r="AC8" s="585" t="s">
        <v>15</v>
      </c>
      <c r="AD8" s="585" t="s">
        <v>14</v>
      </c>
      <c r="AE8" s="585" t="s">
        <v>15</v>
      </c>
      <c r="AF8" s="585" t="s">
        <v>14</v>
      </c>
      <c r="AG8" s="585" t="s">
        <v>15</v>
      </c>
      <c r="AH8" s="585" t="s">
        <v>14</v>
      </c>
      <c r="AI8" s="585" t="s">
        <v>15</v>
      </c>
      <c r="AJ8" s="585" t="s">
        <v>14</v>
      </c>
      <c r="AK8" s="585" t="s">
        <v>15</v>
      </c>
      <c r="AL8" s="585" t="s">
        <v>14</v>
      </c>
      <c r="AM8" s="585" t="s">
        <v>15</v>
      </c>
      <c r="AN8" s="585" t="s">
        <v>14</v>
      </c>
      <c r="AO8" s="585" t="s">
        <v>15</v>
      </c>
      <c r="AP8" s="585" t="s">
        <v>14</v>
      </c>
      <c r="AQ8" s="585" t="s">
        <v>15</v>
      </c>
      <c r="AR8" s="585" t="s">
        <v>14</v>
      </c>
      <c r="AS8" s="585" t="s">
        <v>15</v>
      </c>
      <c r="AT8" s="585" t="s">
        <v>14</v>
      </c>
      <c r="AU8" s="585" t="s">
        <v>15</v>
      </c>
      <c r="AV8" s="585" t="s">
        <v>14</v>
      </c>
      <c r="AW8" s="585" t="s">
        <v>15</v>
      </c>
      <c r="AX8" s="585" t="s">
        <v>14</v>
      </c>
      <c r="AY8" s="585" t="s">
        <v>15</v>
      </c>
      <c r="AZ8" s="585" t="s">
        <v>14</v>
      </c>
      <c r="BA8" s="585" t="s">
        <v>15</v>
      </c>
      <c r="BB8" s="585" t="s">
        <v>14</v>
      </c>
      <c r="BC8" s="585" t="s">
        <v>15</v>
      </c>
      <c r="BD8" s="585" t="s">
        <v>14</v>
      </c>
      <c r="BE8" s="585" t="s">
        <v>15</v>
      </c>
      <c r="BF8" s="585" t="s">
        <v>14</v>
      </c>
      <c r="BG8" s="585" t="s">
        <v>15</v>
      </c>
      <c r="BH8" s="585" t="s">
        <v>14</v>
      </c>
      <c r="BI8" s="585" t="s">
        <v>15</v>
      </c>
      <c r="BJ8" s="585" t="s">
        <v>36</v>
      </c>
      <c r="BK8" s="585" t="s">
        <v>15</v>
      </c>
      <c r="BL8" s="585" t="s">
        <v>14</v>
      </c>
      <c r="BM8" s="585" t="s">
        <v>15</v>
      </c>
      <c r="BN8" s="905"/>
      <c r="BP8" s="586" t="s">
        <v>218</v>
      </c>
      <c r="BQ8" s="587" t="s">
        <v>219</v>
      </c>
      <c r="BR8" s="587" t="s">
        <v>220</v>
      </c>
      <c r="BS8" s="588" t="s">
        <v>221</v>
      </c>
      <c r="BT8" s="587" t="s">
        <v>222</v>
      </c>
      <c r="BU8" s="587" t="s">
        <v>223</v>
      </c>
      <c r="BV8" s="587" t="s">
        <v>224</v>
      </c>
      <c r="BW8" s="587" t="s">
        <v>225</v>
      </c>
      <c r="BX8" s="890"/>
    </row>
    <row r="9" spans="1:76" x14ac:dyDescent="0.2">
      <c r="A9" s="893" t="s">
        <v>91</v>
      </c>
      <c r="B9" s="578"/>
      <c r="C9" s="586">
        <v>31000</v>
      </c>
      <c r="D9" s="894"/>
      <c r="E9" s="589" t="s">
        <v>314</v>
      </c>
      <c r="F9" s="271"/>
      <c r="G9" s="272"/>
      <c r="H9" s="273"/>
      <c r="I9" s="275"/>
      <c r="J9" s="275"/>
      <c r="K9" s="275"/>
      <c r="L9" s="275"/>
      <c r="M9" s="275"/>
      <c r="N9" s="275"/>
      <c r="O9" s="275"/>
      <c r="P9" s="275"/>
      <c r="Q9" s="590"/>
      <c r="R9" s="590"/>
      <c r="S9" s="590"/>
      <c r="T9" s="591"/>
      <c r="U9" s="591"/>
      <c r="V9" s="592"/>
      <c r="W9" s="592"/>
      <c r="X9" s="593"/>
      <c r="Y9" s="593"/>
      <c r="Z9" s="593"/>
      <c r="AA9" s="593"/>
      <c r="AB9" s="594"/>
      <c r="AC9" s="594"/>
      <c r="AD9" s="594"/>
      <c r="AE9" s="594"/>
      <c r="AF9" s="594"/>
      <c r="AG9" s="594"/>
      <c r="AH9" s="594"/>
      <c r="AI9" s="594"/>
      <c r="AJ9" s="594"/>
      <c r="AK9" s="594"/>
      <c r="AL9" s="594"/>
      <c r="AM9" s="594"/>
      <c r="AN9" s="594"/>
      <c r="AO9" s="594"/>
      <c r="AP9" s="594"/>
      <c r="AQ9" s="594"/>
      <c r="AR9" s="594"/>
      <c r="AS9" s="594"/>
      <c r="AT9" s="594"/>
      <c r="AU9" s="594"/>
      <c r="AV9" s="594"/>
      <c r="AW9" s="594"/>
      <c r="AX9" s="594"/>
      <c r="AY9" s="594"/>
      <c r="AZ9" s="594"/>
      <c r="BA9" s="594"/>
      <c r="BB9" s="594"/>
      <c r="BC9" s="594"/>
      <c r="BD9" s="594"/>
      <c r="BE9" s="594"/>
      <c r="BF9" s="594"/>
      <c r="BG9" s="594"/>
      <c r="BH9" s="594"/>
      <c r="BI9" s="594"/>
      <c r="BJ9" s="594"/>
      <c r="BK9" s="594"/>
      <c r="BL9" s="594"/>
      <c r="BM9" s="594"/>
      <c r="BN9" s="271"/>
      <c r="BP9" s="264"/>
      <c r="BQ9" s="264"/>
      <c r="BR9" s="264"/>
      <c r="BS9" s="264"/>
      <c r="BT9" s="264"/>
      <c r="BU9" s="264"/>
      <c r="BV9" s="264"/>
      <c r="BW9" s="264"/>
      <c r="BX9" s="520"/>
    </row>
    <row r="10" spans="1:76" x14ac:dyDescent="0.2">
      <c r="A10" s="900"/>
      <c r="B10" s="595"/>
      <c r="C10" s="587">
        <v>31100</v>
      </c>
      <c r="D10" s="587"/>
      <c r="E10" s="589" t="s">
        <v>391</v>
      </c>
      <c r="F10" s="271"/>
      <c r="G10" s="272"/>
      <c r="H10" s="273"/>
      <c r="I10" s="275"/>
      <c r="J10" s="275"/>
      <c r="K10" s="275"/>
      <c r="L10" s="275"/>
      <c r="M10" s="275"/>
      <c r="N10" s="275"/>
      <c r="O10" s="275"/>
      <c r="P10" s="275"/>
      <c r="Q10" s="596"/>
      <c r="R10" s="596"/>
      <c r="S10" s="596"/>
      <c r="T10" s="592"/>
      <c r="U10" s="592"/>
      <c r="V10" s="592"/>
      <c r="W10" s="592"/>
      <c r="X10" s="593"/>
      <c r="Y10" s="593"/>
      <c r="Z10" s="593"/>
      <c r="AA10" s="593"/>
      <c r="AB10" s="277"/>
      <c r="AC10" s="277"/>
      <c r="AD10" s="277"/>
      <c r="AE10" s="277"/>
      <c r="AF10" s="277"/>
      <c r="AG10" s="277"/>
      <c r="AH10" s="277"/>
      <c r="AI10" s="277"/>
      <c r="AJ10" s="277"/>
      <c r="AK10" s="277"/>
      <c r="AL10" s="277"/>
      <c r="AM10" s="277"/>
      <c r="AN10" s="277"/>
      <c r="AO10" s="277"/>
      <c r="AP10" s="277"/>
      <c r="AQ10" s="277"/>
      <c r="AR10" s="277"/>
      <c r="AS10" s="277"/>
      <c r="AT10" s="277"/>
      <c r="AU10" s="277"/>
      <c r="AV10" s="277"/>
      <c r="AW10" s="277"/>
      <c r="AX10" s="277"/>
      <c r="AY10" s="277"/>
      <c r="AZ10" s="277"/>
      <c r="BA10" s="277"/>
      <c r="BB10" s="277"/>
      <c r="BC10" s="277"/>
      <c r="BD10" s="277"/>
      <c r="BE10" s="277"/>
      <c r="BF10" s="277"/>
      <c r="BG10" s="277"/>
      <c r="BH10" s="277"/>
      <c r="BI10" s="277"/>
      <c r="BJ10" s="277"/>
      <c r="BK10" s="277"/>
      <c r="BL10" s="277"/>
      <c r="BM10" s="277"/>
      <c r="BN10" s="271"/>
      <c r="BP10" s="264"/>
      <c r="BQ10" s="264"/>
      <c r="BR10" s="264"/>
      <c r="BS10" s="264"/>
      <c r="BT10" s="264"/>
      <c r="BU10" s="264"/>
      <c r="BV10" s="264"/>
      <c r="BW10" s="264"/>
      <c r="BX10" s="520"/>
    </row>
    <row r="11" spans="1:76" x14ac:dyDescent="0.2">
      <c r="A11" s="900"/>
      <c r="B11" s="595"/>
      <c r="C11" s="587"/>
      <c r="D11" s="587"/>
      <c r="E11" s="270" t="s">
        <v>554</v>
      </c>
      <c r="F11" s="271" t="s">
        <v>93</v>
      </c>
      <c r="G11" s="597">
        <v>500000</v>
      </c>
      <c r="H11" s="273">
        <f>BL11</f>
        <v>0</v>
      </c>
      <c r="I11" s="275">
        <f>H11*G11</f>
        <v>0</v>
      </c>
      <c r="J11" s="275"/>
      <c r="K11" s="275"/>
      <c r="L11" s="275"/>
      <c r="M11" s="275"/>
      <c r="N11" s="598">
        <f>I11</f>
        <v>0</v>
      </c>
      <c r="O11" s="275"/>
      <c r="P11" s="275"/>
      <c r="Q11" s="275"/>
      <c r="R11" s="275"/>
      <c r="S11" s="275"/>
      <c r="T11" s="592">
        <f>H11*0.25</f>
        <v>0</v>
      </c>
      <c r="U11" s="592">
        <f>H11*0.25</f>
        <v>0</v>
      </c>
      <c r="V11" s="592">
        <f>H11*0.25</f>
        <v>0</v>
      </c>
      <c r="W11" s="592">
        <f>H11*0.25</f>
        <v>0</v>
      </c>
      <c r="X11" s="275">
        <f>T11*G11</f>
        <v>0</v>
      </c>
      <c r="Y11" s="275">
        <f>U11*G11</f>
        <v>0</v>
      </c>
      <c r="Z11" s="275">
        <f>V11*G11</f>
        <v>0</v>
      </c>
      <c r="AA11" s="275">
        <f>W11*G11</f>
        <v>0</v>
      </c>
      <c r="AB11" s="277">
        <v>0</v>
      </c>
      <c r="AC11" s="278">
        <f>AB11*G11</f>
        <v>0</v>
      </c>
      <c r="AD11" s="277">
        <v>0</v>
      </c>
      <c r="AE11" s="278">
        <f>AD11*G11</f>
        <v>0</v>
      </c>
      <c r="AF11" s="277">
        <v>0</v>
      </c>
      <c r="AG11" s="278">
        <f>AF11*G11</f>
        <v>0</v>
      </c>
      <c r="AH11" s="277">
        <v>0</v>
      </c>
      <c r="AI11" s="278">
        <f>AH11*G11</f>
        <v>0</v>
      </c>
      <c r="AJ11" s="277">
        <v>0</v>
      </c>
      <c r="AK11" s="278">
        <f>AJ11*G11</f>
        <v>0</v>
      </c>
      <c r="AL11" s="277">
        <v>0</v>
      </c>
      <c r="AM11" s="278">
        <f>AL11*G11</f>
        <v>0</v>
      </c>
      <c r="AN11" s="277">
        <v>0</v>
      </c>
      <c r="AO11" s="278">
        <f>AN11*G11</f>
        <v>0</v>
      </c>
      <c r="AP11" s="277">
        <v>0</v>
      </c>
      <c r="AQ11" s="278">
        <f>AP11*G11</f>
        <v>0</v>
      </c>
      <c r="AR11" s="277">
        <v>0</v>
      </c>
      <c r="AS11" s="278">
        <f>AR11*G11</f>
        <v>0</v>
      </c>
      <c r="AT11" s="277">
        <v>0</v>
      </c>
      <c r="AU11" s="278">
        <f>AT11*G11</f>
        <v>0</v>
      </c>
      <c r="AV11" s="277">
        <v>0</v>
      </c>
      <c r="AW11" s="278">
        <f>AV11*G11</f>
        <v>0</v>
      </c>
      <c r="AX11" s="277">
        <v>0</v>
      </c>
      <c r="AY11" s="278">
        <f>AX11*G11</f>
        <v>0</v>
      </c>
      <c r="AZ11" s="277">
        <v>0</v>
      </c>
      <c r="BA11" s="278">
        <f>AZ11*G11</f>
        <v>0</v>
      </c>
      <c r="BB11" s="277">
        <v>0</v>
      </c>
      <c r="BC11" s="278">
        <f>BB11*G11</f>
        <v>0</v>
      </c>
      <c r="BD11" s="277">
        <v>0</v>
      </c>
      <c r="BE11" s="278">
        <f>BD11*G11</f>
        <v>0</v>
      </c>
      <c r="BF11" s="277">
        <v>0</v>
      </c>
      <c r="BG11" s="278">
        <f>BF11*G11</f>
        <v>0</v>
      </c>
      <c r="BH11" s="277">
        <v>0</v>
      </c>
      <c r="BI11" s="278">
        <f>BH11*G11</f>
        <v>0</v>
      </c>
      <c r="BJ11" s="277"/>
      <c r="BK11" s="278">
        <f>BJ11*G11</f>
        <v>0</v>
      </c>
      <c r="BL11" s="277">
        <f t="shared" ref="BL11:BM14" si="1">AB11+AD11+AF11+AH11+AJ11+AL11+AN11+AP11+AR11+AT11+AV11+AX11+AZ11+BB11+BD11+BF11+BH11+BJ11</f>
        <v>0</v>
      </c>
      <c r="BM11" s="277">
        <f t="shared" si="1"/>
        <v>0</v>
      </c>
      <c r="BN11" s="271" t="s">
        <v>290</v>
      </c>
      <c r="BP11" s="264">
        <f>BM11</f>
        <v>0</v>
      </c>
      <c r="BQ11" s="264"/>
      <c r="BR11" s="264"/>
      <c r="BS11" s="264"/>
      <c r="BT11" s="264">
        <f>BP11+BQ11+BR11+BS11</f>
        <v>0</v>
      </c>
      <c r="BU11" s="264"/>
      <c r="BV11" s="264"/>
      <c r="BW11" s="264">
        <f>BU11+BV11</f>
        <v>0</v>
      </c>
      <c r="BX11" s="280">
        <f>BT11+BW11</f>
        <v>0</v>
      </c>
    </row>
    <row r="12" spans="1:76" x14ac:dyDescent="0.2">
      <c r="A12" s="900"/>
      <c r="B12" s="595"/>
      <c r="C12" s="599"/>
      <c r="D12" s="599"/>
      <c r="E12" s="270" t="s">
        <v>92</v>
      </c>
      <c r="F12" s="271" t="s">
        <v>93</v>
      </c>
      <c r="G12" s="272" t="s">
        <v>389</v>
      </c>
      <c r="H12" s="273">
        <f>BL12</f>
        <v>0</v>
      </c>
      <c r="I12" s="275">
        <f>H12*G12</f>
        <v>0</v>
      </c>
      <c r="J12" s="275"/>
      <c r="K12" s="275"/>
      <c r="L12" s="275"/>
      <c r="M12" s="275"/>
      <c r="N12" s="598"/>
      <c r="O12" s="275"/>
      <c r="P12" s="275"/>
      <c r="Q12" s="275"/>
      <c r="R12" s="275"/>
      <c r="S12" s="275">
        <f>I12</f>
        <v>0</v>
      </c>
      <c r="T12" s="592">
        <f>H12*0.25</f>
        <v>0</v>
      </c>
      <c r="U12" s="592">
        <f>H12*0.25</f>
        <v>0</v>
      </c>
      <c r="V12" s="592">
        <f>H12*0.25</f>
        <v>0</v>
      </c>
      <c r="W12" s="592">
        <f>H12*0.25</f>
        <v>0</v>
      </c>
      <c r="X12" s="275">
        <f>T12*I12</f>
        <v>0</v>
      </c>
      <c r="Y12" s="275">
        <f>U12*I12</f>
        <v>0</v>
      </c>
      <c r="Z12" s="275">
        <f>V12*I12</f>
        <v>0</v>
      </c>
      <c r="AA12" s="275">
        <f>W12*I12</f>
        <v>0</v>
      </c>
      <c r="AB12" s="277">
        <v>0</v>
      </c>
      <c r="AC12" s="278">
        <f t="shared" ref="AC12:AC54" si="2">AB12*G12</f>
        <v>0</v>
      </c>
      <c r="AD12" s="277">
        <v>0</v>
      </c>
      <c r="AE12" s="278">
        <f t="shared" ref="AE12:AE54" si="3">AD12*G12</f>
        <v>0</v>
      </c>
      <c r="AF12" s="277">
        <v>0</v>
      </c>
      <c r="AG12" s="278">
        <f t="shared" ref="AG12:AG54" si="4">AF12*G12</f>
        <v>0</v>
      </c>
      <c r="AH12" s="277">
        <v>0</v>
      </c>
      <c r="AI12" s="278">
        <f t="shared" ref="AI12:AI54" si="5">AH12*G12</f>
        <v>0</v>
      </c>
      <c r="AJ12" s="277">
        <v>0</v>
      </c>
      <c r="AK12" s="278">
        <f t="shared" ref="AK12:AK54" si="6">AJ12*G12</f>
        <v>0</v>
      </c>
      <c r="AL12" s="277">
        <v>0</v>
      </c>
      <c r="AM12" s="278">
        <f t="shared" ref="AM12:AM54" si="7">AL12*G12</f>
        <v>0</v>
      </c>
      <c r="AN12" s="277">
        <v>0</v>
      </c>
      <c r="AO12" s="278">
        <f t="shared" ref="AO12:AO54" si="8">AN12*G12</f>
        <v>0</v>
      </c>
      <c r="AP12" s="277">
        <v>0</v>
      </c>
      <c r="AQ12" s="278">
        <f t="shared" ref="AQ12:AQ54" si="9">AP12*G12</f>
        <v>0</v>
      </c>
      <c r="AR12" s="277">
        <v>0</v>
      </c>
      <c r="AS12" s="278">
        <f t="shared" ref="AS12:AS54" si="10">AR12*G12</f>
        <v>0</v>
      </c>
      <c r="AT12" s="277">
        <v>0</v>
      </c>
      <c r="AU12" s="278">
        <f t="shared" ref="AU12:AU54" si="11">AT12*G12</f>
        <v>0</v>
      </c>
      <c r="AV12" s="277">
        <v>0</v>
      </c>
      <c r="AW12" s="278">
        <f t="shared" ref="AW12:AW54" si="12">AV12*G12</f>
        <v>0</v>
      </c>
      <c r="AX12" s="277">
        <v>0</v>
      </c>
      <c r="AY12" s="278">
        <f t="shared" ref="AY12:AY54" si="13">AX12*G12</f>
        <v>0</v>
      </c>
      <c r="AZ12" s="277">
        <v>0</v>
      </c>
      <c r="BA12" s="278">
        <f t="shared" ref="BA12:BA54" si="14">AZ12*G12</f>
        <v>0</v>
      </c>
      <c r="BB12" s="277">
        <v>0</v>
      </c>
      <c r="BC12" s="278">
        <f t="shared" ref="BC12:BC54" si="15">BB12*G12</f>
        <v>0</v>
      </c>
      <c r="BD12" s="277">
        <v>0</v>
      </c>
      <c r="BE12" s="278">
        <f t="shared" ref="BE12:BE54" si="16">BD12*G12</f>
        <v>0</v>
      </c>
      <c r="BF12" s="277">
        <v>0</v>
      </c>
      <c r="BG12" s="278">
        <f t="shared" ref="BG12:BG54" si="17">BF12*G12</f>
        <v>0</v>
      </c>
      <c r="BH12" s="277">
        <v>0</v>
      </c>
      <c r="BI12" s="278">
        <f>BH12*G12</f>
        <v>0</v>
      </c>
      <c r="BJ12" s="277"/>
      <c r="BK12" s="278">
        <f>BJ12*G12</f>
        <v>0</v>
      </c>
      <c r="BL12" s="277">
        <f t="shared" si="1"/>
        <v>0</v>
      </c>
      <c r="BM12" s="278">
        <f t="shared" si="1"/>
        <v>0</v>
      </c>
      <c r="BN12" s="271" t="s">
        <v>555</v>
      </c>
      <c r="BP12" s="264">
        <f>BM12</f>
        <v>0</v>
      </c>
      <c r="BQ12" s="264"/>
      <c r="BR12" s="264"/>
      <c r="BS12" s="264"/>
      <c r="BT12" s="264">
        <f t="shared" ref="BT12:BT27" si="18">BP12+BQ12+BR12+BS12</f>
        <v>0</v>
      </c>
      <c r="BU12" s="264"/>
      <c r="BV12" s="264"/>
      <c r="BW12" s="264">
        <f t="shared" ref="BW12:BW20" si="19">BU12+BV12</f>
        <v>0</v>
      </c>
      <c r="BX12" s="280">
        <f>BT12+BW12</f>
        <v>0</v>
      </c>
    </row>
    <row r="13" spans="1:76" x14ac:dyDescent="0.2">
      <c r="A13" s="900"/>
      <c r="B13" s="595"/>
      <c r="C13" s="599"/>
      <c r="D13" s="599"/>
      <c r="E13" s="270" t="s">
        <v>612</v>
      </c>
      <c r="F13" s="271" t="s">
        <v>613</v>
      </c>
      <c r="G13" s="272">
        <v>0</v>
      </c>
      <c r="H13" s="273">
        <f>BL13</f>
        <v>0</v>
      </c>
      <c r="I13" s="275">
        <f>H13*G13</f>
        <v>0</v>
      </c>
      <c r="J13" s="275"/>
      <c r="K13" s="275"/>
      <c r="L13" s="275"/>
      <c r="M13" s="275"/>
      <c r="N13" s="598">
        <f>I13</f>
        <v>0</v>
      </c>
      <c r="O13" s="275"/>
      <c r="P13" s="275"/>
      <c r="Q13" s="275"/>
      <c r="R13" s="275"/>
      <c r="S13" s="275"/>
      <c r="T13" s="592">
        <f>H13*0.25</f>
        <v>0</v>
      </c>
      <c r="U13" s="592">
        <f>H13*0.25</f>
        <v>0</v>
      </c>
      <c r="V13" s="592">
        <f>H13*0.25</f>
        <v>0</v>
      </c>
      <c r="W13" s="592">
        <f>H13*0.25</f>
        <v>0</v>
      </c>
      <c r="X13" s="275">
        <f>T13*I13</f>
        <v>0</v>
      </c>
      <c r="Y13" s="275">
        <f>U13*I13</f>
        <v>0</v>
      </c>
      <c r="Z13" s="275">
        <f>V13*I13</f>
        <v>0</v>
      </c>
      <c r="AA13" s="275">
        <f>W13*I13</f>
        <v>0</v>
      </c>
      <c r="AB13" s="277"/>
      <c r="AC13" s="278"/>
      <c r="AD13" s="277">
        <v>0</v>
      </c>
      <c r="AE13" s="278">
        <f t="shared" si="3"/>
        <v>0</v>
      </c>
      <c r="AF13" s="277">
        <v>0</v>
      </c>
      <c r="AG13" s="278"/>
      <c r="AH13" s="277">
        <v>0</v>
      </c>
      <c r="AI13" s="278"/>
      <c r="AJ13" s="277"/>
      <c r="AK13" s="278"/>
      <c r="AL13" s="277"/>
      <c r="AM13" s="278"/>
      <c r="AN13" s="277">
        <v>0</v>
      </c>
      <c r="AO13" s="278">
        <f t="shared" si="8"/>
        <v>0</v>
      </c>
      <c r="AP13" s="277"/>
      <c r="AQ13" s="278"/>
      <c r="AR13" s="277"/>
      <c r="AS13" s="278"/>
      <c r="AT13" s="277">
        <v>0</v>
      </c>
      <c r="AU13" s="278">
        <f t="shared" si="11"/>
        <v>0</v>
      </c>
      <c r="AV13" s="277"/>
      <c r="AW13" s="278"/>
      <c r="AX13" s="277">
        <v>0</v>
      </c>
      <c r="AY13" s="278">
        <f t="shared" si="13"/>
        <v>0</v>
      </c>
      <c r="AZ13" s="277"/>
      <c r="BA13" s="278"/>
      <c r="BB13" s="277">
        <v>0</v>
      </c>
      <c r="BC13" s="278"/>
      <c r="BD13" s="277"/>
      <c r="BE13" s="278"/>
      <c r="BF13" s="277"/>
      <c r="BG13" s="278"/>
      <c r="BH13" s="277"/>
      <c r="BI13" s="278"/>
      <c r="BJ13" s="277"/>
      <c r="BK13" s="278"/>
      <c r="BL13" s="277">
        <f t="shared" si="1"/>
        <v>0</v>
      </c>
      <c r="BM13" s="278">
        <f t="shared" si="1"/>
        <v>0</v>
      </c>
      <c r="BN13" s="271" t="s">
        <v>290</v>
      </c>
      <c r="BP13" s="264"/>
      <c r="BQ13" s="264"/>
      <c r="BR13" s="264"/>
      <c r="BS13" s="264"/>
      <c r="BT13" s="264"/>
      <c r="BU13" s="264"/>
      <c r="BV13" s="264"/>
      <c r="BW13" s="264"/>
      <c r="BX13" s="280"/>
    </row>
    <row r="14" spans="1:76" x14ac:dyDescent="0.2">
      <c r="A14" s="900"/>
      <c r="B14" s="595"/>
      <c r="C14" s="599"/>
      <c r="D14" s="269" t="s">
        <v>985</v>
      </c>
      <c r="E14" s="270" t="s">
        <v>1205</v>
      </c>
      <c r="F14" s="271" t="s">
        <v>16</v>
      </c>
      <c r="G14" s="597">
        <v>80000</v>
      </c>
      <c r="H14" s="273">
        <f>BL14</f>
        <v>26</v>
      </c>
      <c r="I14" s="275">
        <f>H14*G14</f>
        <v>2080000</v>
      </c>
      <c r="J14" s="278">
        <f>I14*0</f>
        <v>0</v>
      </c>
      <c r="K14" s="278">
        <f>I14*0.6</f>
        <v>1248000</v>
      </c>
      <c r="L14" s="600"/>
      <c r="M14" s="600"/>
      <c r="N14" s="600"/>
      <c r="O14" s="600"/>
      <c r="P14" s="600"/>
      <c r="Q14" s="600"/>
      <c r="R14" s="278">
        <f>I14*0.4</f>
        <v>832000</v>
      </c>
      <c r="S14" s="600"/>
      <c r="T14" s="277">
        <f>H14*0.4</f>
        <v>10.4</v>
      </c>
      <c r="U14" s="276">
        <f>H14*0.4</f>
        <v>10.4</v>
      </c>
      <c r="V14" s="277">
        <f>H14*0.1</f>
        <v>2.6</v>
      </c>
      <c r="W14" s="277">
        <f>H14*0.1</f>
        <v>2.6</v>
      </c>
      <c r="X14" s="278">
        <f>T14*G14</f>
        <v>832000</v>
      </c>
      <c r="Y14" s="278">
        <f>U14*G14</f>
        <v>832000</v>
      </c>
      <c r="Z14" s="278">
        <f>V14*G14</f>
        <v>208000</v>
      </c>
      <c r="AA14" s="278">
        <f>W14*G14</f>
        <v>208000</v>
      </c>
      <c r="AB14" s="277">
        <v>0</v>
      </c>
      <c r="AC14" s="277">
        <f t="shared" si="2"/>
        <v>0</v>
      </c>
      <c r="AD14" s="277">
        <v>10</v>
      </c>
      <c r="AE14" s="277">
        <f t="shared" si="3"/>
        <v>800000</v>
      </c>
      <c r="AF14" s="277">
        <v>0</v>
      </c>
      <c r="AG14" s="277">
        <f t="shared" si="4"/>
        <v>0</v>
      </c>
      <c r="AH14" s="277">
        <v>2</v>
      </c>
      <c r="AI14" s="277">
        <f t="shared" si="5"/>
        <v>160000</v>
      </c>
      <c r="AJ14" s="277">
        <v>2</v>
      </c>
      <c r="AK14" s="277">
        <f t="shared" si="6"/>
        <v>160000</v>
      </c>
      <c r="AL14" s="277">
        <v>2</v>
      </c>
      <c r="AM14" s="277">
        <f t="shared" si="7"/>
        <v>160000</v>
      </c>
      <c r="AN14" s="277">
        <v>0</v>
      </c>
      <c r="AO14" s="277">
        <f t="shared" si="8"/>
        <v>0</v>
      </c>
      <c r="AP14" s="277">
        <v>1</v>
      </c>
      <c r="AQ14" s="277">
        <f t="shared" si="9"/>
        <v>80000</v>
      </c>
      <c r="AR14" s="277">
        <v>1</v>
      </c>
      <c r="AS14" s="277">
        <f t="shared" si="10"/>
        <v>80000</v>
      </c>
      <c r="AT14" s="277">
        <v>0</v>
      </c>
      <c r="AU14" s="277">
        <f t="shared" si="11"/>
        <v>0</v>
      </c>
      <c r="AV14" s="277">
        <v>1</v>
      </c>
      <c r="AW14" s="277">
        <f t="shared" si="12"/>
        <v>80000</v>
      </c>
      <c r="AX14" s="277">
        <v>3</v>
      </c>
      <c r="AY14" s="277">
        <f t="shared" si="13"/>
        <v>240000</v>
      </c>
      <c r="AZ14" s="277">
        <v>0</v>
      </c>
      <c r="BA14" s="277">
        <f t="shared" si="14"/>
        <v>0</v>
      </c>
      <c r="BB14" s="277">
        <v>1</v>
      </c>
      <c r="BC14" s="277">
        <f t="shared" si="15"/>
        <v>80000</v>
      </c>
      <c r="BD14" s="277">
        <v>1</v>
      </c>
      <c r="BE14" s="277">
        <f t="shared" si="16"/>
        <v>80000</v>
      </c>
      <c r="BF14" s="277">
        <v>1</v>
      </c>
      <c r="BG14" s="277">
        <f t="shared" si="17"/>
        <v>80000</v>
      </c>
      <c r="BH14" s="277">
        <v>0</v>
      </c>
      <c r="BI14" s="277">
        <f>BH14*G14</f>
        <v>0</v>
      </c>
      <c r="BJ14" s="277">
        <v>1</v>
      </c>
      <c r="BK14" s="278">
        <f>BJ14*G14</f>
        <v>80000</v>
      </c>
      <c r="BL14" s="277">
        <f t="shared" si="1"/>
        <v>26</v>
      </c>
      <c r="BM14" s="277">
        <f t="shared" si="1"/>
        <v>2080000</v>
      </c>
      <c r="BN14" s="271" t="s">
        <v>1228</v>
      </c>
      <c r="BP14" s="264">
        <f>BM14</f>
        <v>2080000</v>
      </c>
      <c r="BQ14" s="264"/>
      <c r="BR14" s="264"/>
      <c r="BS14" s="264"/>
      <c r="BT14" s="264">
        <f t="shared" si="18"/>
        <v>2080000</v>
      </c>
      <c r="BU14" s="264"/>
      <c r="BV14" s="264"/>
      <c r="BW14" s="264">
        <f t="shared" si="19"/>
        <v>0</v>
      </c>
      <c r="BX14" s="280">
        <f>BT14+BW14</f>
        <v>2080000</v>
      </c>
    </row>
    <row r="15" spans="1:76" s="281" customFormat="1" x14ac:dyDescent="0.2">
      <c r="A15" s="900"/>
      <c r="B15" s="595"/>
      <c r="C15" s="601">
        <v>31200</v>
      </c>
      <c r="D15" s="601"/>
      <c r="E15" s="602" t="s">
        <v>392</v>
      </c>
      <c r="F15" s="602" t="s">
        <v>111</v>
      </c>
      <c r="G15" s="603"/>
      <c r="H15" s="513">
        <f>SUM(H11:H14)</f>
        <v>26</v>
      </c>
      <c r="I15" s="513">
        <f t="shared" ref="I15:BM15" si="20">SUM(I11:I14)</f>
        <v>2080000</v>
      </c>
      <c r="J15" s="513">
        <f t="shared" si="20"/>
        <v>0</v>
      </c>
      <c r="K15" s="513">
        <f t="shared" si="20"/>
        <v>1248000</v>
      </c>
      <c r="L15" s="513">
        <f t="shared" si="20"/>
        <v>0</v>
      </c>
      <c r="M15" s="513">
        <f t="shared" si="20"/>
        <v>0</v>
      </c>
      <c r="N15" s="513">
        <f t="shared" si="20"/>
        <v>0</v>
      </c>
      <c r="O15" s="513">
        <f t="shared" si="20"/>
        <v>0</v>
      </c>
      <c r="P15" s="513">
        <f t="shared" si="20"/>
        <v>0</v>
      </c>
      <c r="Q15" s="513">
        <f t="shared" si="20"/>
        <v>0</v>
      </c>
      <c r="R15" s="513">
        <f t="shared" si="20"/>
        <v>832000</v>
      </c>
      <c r="S15" s="513">
        <f t="shared" si="20"/>
        <v>0</v>
      </c>
      <c r="T15" s="513">
        <f t="shared" si="20"/>
        <v>10.4</v>
      </c>
      <c r="U15" s="513">
        <f t="shared" si="20"/>
        <v>10.4</v>
      </c>
      <c r="V15" s="513">
        <f t="shared" si="20"/>
        <v>2.6</v>
      </c>
      <c r="W15" s="513">
        <f t="shared" si="20"/>
        <v>2.6</v>
      </c>
      <c r="X15" s="513">
        <f t="shared" si="20"/>
        <v>832000</v>
      </c>
      <c r="Y15" s="513">
        <f t="shared" si="20"/>
        <v>832000</v>
      </c>
      <c r="Z15" s="513">
        <f t="shared" si="20"/>
        <v>208000</v>
      </c>
      <c r="AA15" s="513">
        <f t="shared" si="20"/>
        <v>208000</v>
      </c>
      <c r="AB15" s="513">
        <f t="shared" si="20"/>
        <v>0</v>
      </c>
      <c r="AC15" s="513">
        <f t="shared" si="20"/>
        <v>0</v>
      </c>
      <c r="AD15" s="513">
        <f t="shared" si="20"/>
        <v>10</v>
      </c>
      <c r="AE15" s="513">
        <f t="shared" si="20"/>
        <v>800000</v>
      </c>
      <c r="AF15" s="513">
        <f t="shared" si="20"/>
        <v>0</v>
      </c>
      <c r="AG15" s="513">
        <f t="shared" si="20"/>
        <v>0</v>
      </c>
      <c r="AH15" s="513">
        <f t="shared" si="20"/>
        <v>2</v>
      </c>
      <c r="AI15" s="513">
        <f t="shared" si="20"/>
        <v>160000</v>
      </c>
      <c r="AJ15" s="513">
        <f t="shared" si="20"/>
        <v>2</v>
      </c>
      <c r="AK15" s="513">
        <f t="shared" si="20"/>
        <v>160000</v>
      </c>
      <c r="AL15" s="513">
        <f t="shared" si="20"/>
        <v>2</v>
      </c>
      <c r="AM15" s="513">
        <f t="shared" si="20"/>
        <v>160000</v>
      </c>
      <c r="AN15" s="513">
        <f t="shared" si="20"/>
        <v>0</v>
      </c>
      <c r="AO15" s="513">
        <f t="shared" si="20"/>
        <v>0</v>
      </c>
      <c r="AP15" s="513">
        <f t="shared" si="20"/>
        <v>1</v>
      </c>
      <c r="AQ15" s="513">
        <f t="shared" si="20"/>
        <v>80000</v>
      </c>
      <c r="AR15" s="513">
        <f t="shared" si="20"/>
        <v>1</v>
      </c>
      <c r="AS15" s="513">
        <f t="shared" si="20"/>
        <v>80000</v>
      </c>
      <c r="AT15" s="513">
        <f t="shared" si="20"/>
        <v>0</v>
      </c>
      <c r="AU15" s="513">
        <f t="shared" si="20"/>
        <v>0</v>
      </c>
      <c r="AV15" s="513">
        <f t="shared" si="20"/>
        <v>1</v>
      </c>
      <c r="AW15" s="513">
        <f t="shared" si="20"/>
        <v>80000</v>
      </c>
      <c r="AX15" s="513">
        <f t="shared" si="20"/>
        <v>3</v>
      </c>
      <c r="AY15" s="513">
        <f t="shared" si="20"/>
        <v>240000</v>
      </c>
      <c r="AZ15" s="513">
        <f t="shared" si="20"/>
        <v>0</v>
      </c>
      <c r="BA15" s="513">
        <f t="shared" si="20"/>
        <v>0</v>
      </c>
      <c r="BB15" s="513">
        <f t="shared" si="20"/>
        <v>1</v>
      </c>
      <c r="BC15" s="513">
        <f t="shared" si="20"/>
        <v>80000</v>
      </c>
      <c r="BD15" s="513">
        <f t="shared" si="20"/>
        <v>1</v>
      </c>
      <c r="BE15" s="513">
        <f t="shared" si="20"/>
        <v>80000</v>
      </c>
      <c r="BF15" s="513">
        <f t="shared" si="20"/>
        <v>1</v>
      </c>
      <c r="BG15" s="513">
        <f t="shared" si="20"/>
        <v>80000</v>
      </c>
      <c r="BH15" s="513">
        <f t="shared" si="20"/>
        <v>0</v>
      </c>
      <c r="BI15" s="513">
        <f t="shared" si="20"/>
        <v>0</v>
      </c>
      <c r="BJ15" s="513">
        <v>1</v>
      </c>
      <c r="BK15" s="513">
        <f t="shared" si="20"/>
        <v>80000</v>
      </c>
      <c r="BL15" s="513">
        <f t="shared" si="20"/>
        <v>26</v>
      </c>
      <c r="BM15" s="513">
        <f t="shared" si="20"/>
        <v>2080000</v>
      </c>
      <c r="BN15" s="513">
        <f t="shared" ref="BN15:BX15" si="21">SUM(BN11:BN14)</f>
        <v>0</v>
      </c>
      <c r="BO15" s="513">
        <f t="shared" si="21"/>
        <v>0</v>
      </c>
      <c r="BP15" s="513">
        <f t="shared" si="21"/>
        <v>2080000</v>
      </c>
      <c r="BQ15" s="513">
        <f t="shared" si="21"/>
        <v>0</v>
      </c>
      <c r="BR15" s="513">
        <f t="shared" si="21"/>
        <v>0</v>
      </c>
      <c r="BS15" s="513">
        <f t="shared" si="21"/>
        <v>0</v>
      </c>
      <c r="BT15" s="513">
        <f t="shared" si="21"/>
        <v>2080000</v>
      </c>
      <c r="BU15" s="513">
        <f t="shared" si="21"/>
        <v>0</v>
      </c>
      <c r="BV15" s="513">
        <f t="shared" si="21"/>
        <v>0</v>
      </c>
      <c r="BW15" s="513">
        <f t="shared" si="21"/>
        <v>0</v>
      </c>
      <c r="BX15" s="513">
        <f t="shared" si="21"/>
        <v>2080000</v>
      </c>
    </row>
    <row r="16" spans="1:76" x14ac:dyDescent="0.2">
      <c r="A16" s="900"/>
      <c r="B16" s="595"/>
      <c r="C16" s="604">
        <v>31210</v>
      </c>
      <c r="D16" s="604"/>
      <c r="E16" s="589" t="s">
        <v>393</v>
      </c>
      <c r="F16" s="271"/>
      <c r="G16" s="272"/>
      <c r="H16" s="273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6"/>
      <c r="U16" s="276"/>
      <c r="V16" s="276"/>
      <c r="W16" s="276"/>
      <c r="X16" s="275"/>
      <c r="Y16" s="275"/>
      <c r="Z16" s="275"/>
      <c r="AA16" s="275"/>
      <c r="AB16" s="277"/>
      <c r="AC16" s="278"/>
      <c r="AD16" s="277"/>
      <c r="AE16" s="278"/>
      <c r="AF16" s="277"/>
      <c r="AG16" s="278"/>
      <c r="AH16" s="277"/>
      <c r="AI16" s="278"/>
      <c r="AJ16" s="277"/>
      <c r="AK16" s="278"/>
      <c r="AL16" s="277"/>
      <c r="AM16" s="278"/>
      <c r="AN16" s="277"/>
      <c r="AO16" s="278"/>
      <c r="AP16" s="277"/>
      <c r="AQ16" s="278"/>
      <c r="AR16" s="277"/>
      <c r="AS16" s="278"/>
      <c r="AT16" s="277"/>
      <c r="AU16" s="278"/>
      <c r="AV16" s="277"/>
      <c r="AW16" s="278"/>
      <c r="AX16" s="277"/>
      <c r="AY16" s="278"/>
      <c r="AZ16" s="277"/>
      <c r="BA16" s="278"/>
      <c r="BB16" s="277"/>
      <c r="BC16" s="278"/>
      <c r="BD16" s="277"/>
      <c r="BE16" s="278"/>
      <c r="BF16" s="277"/>
      <c r="BG16" s="278"/>
      <c r="BH16" s="277"/>
      <c r="BI16" s="278"/>
      <c r="BJ16" s="277"/>
      <c r="BK16" s="278"/>
      <c r="BL16" s="277"/>
      <c r="BM16" s="278"/>
      <c r="BN16" s="271"/>
      <c r="BP16" s="264">
        <f>I16</f>
        <v>0</v>
      </c>
      <c r="BQ16" s="264"/>
      <c r="BR16" s="264"/>
      <c r="BS16" s="264"/>
      <c r="BT16" s="264">
        <f t="shared" si="18"/>
        <v>0</v>
      </c>
      <c r="BU16" s="264"/>
      <c r="BV16" s="264"/>
      <c r="BW16" s="264">
        <f t="shared" si="19"/>
        <v>0</v>
      </c>
      <c r="BX16" s="280">
        <f t="shared" ref="BX16:BX54" si="22">BT16+BW16</f>
        <v>0</v>
      </c>
    </row>
    <row r="17" spans="1:161" x14ac:dyDescent="0.2">
      <c r="A17" s="900"/>
      <c r="B17" s="595"/>
      <c r="C17" s="604">
        <v>31220</v>
      </c>
      <c r="D17" s="604"/>
      <c r="E17" s="270" t="s">
        <v>94</v>
      </c>
      <c r="F17" s="271" t="s">
        <v>93</v>
      </c>
      <c r="G17" s="597">
        <v>0</v>
      </c>
      <c r="H17" s="273">
        <f>BL17</f>
        <v>295</v>
      </c>
      <c r="I17" s="275">
        <f>H17*G17</f>
        <v>0</v>
      </c>
      <c r="J17" s="275"/>
      <c r="K17" s="275"/>
      <c r="L17" s="275"/>
      <c r="M17" s="275"/>
      <c r="N17" s="275"/>
      <c r="O17" s="275"/>
      <c r="P17" s="275">
        <f>I17</f>
        <v>0</v>
      </c>
      <c r="Q17" s="275"/>
      <c r="R17" s="275"/>
      <c r="S17" s="275"/>
      <c r="T17" s="276">
        <f>H17*0.25</f>
        <v>73.75</v>
      </c>
      <c r="U17" s="276">
        <f>H17*0.25</f>
        <v>73.75</v>
      </c>
      <c r="V17" s="276">
        <f>H17*0.25</f>
        <v>73.75</v>
      </c>
      <c r="W17" s="276">
        <f>H17*0.25</f>
        <v>73.75</v>
      </c>
      <c r="X17" s="275">
        <f>T17*I17</f>
        <v>0</v>
      </c>
      <c r="Y17" s="275">
        <f>U17*I17</f>
        <v>0</v>
      </c>
      <c r="Z17" s="275">
        <f>V17*I17</f>
        <v>0</v>
      </c>
      <c r="AA17" s="275">
        <f>W17*I17</f>
        <v>0</v>
      </c>
      <c r="AB17" s="277">
        <v>0</v>
      </c>
      <c r="AC17" s="278">
        <f t="shared" si="2"/>
        <v>0</v>
      </c>
      <c r="AD17" s="277">
        <v>0</v>
      </c>
      <c r="AE17" s="278">
        <f t="shared" si="3"/>
        <v>0</v>
      </c>
      <c r="AF17" s="277">
        <v>0</v>
      </c>
      <c r="AG17" s="278">
        <f t="shared" si="4"/>
        <v>0</v>
      </c>
      <c r="AH17" s="277">
        <v>0</v>
      </c>
      <c r="AI17" s="278">
        <f t="shared" si="5"/>
        <v>0</v>
      </c>
      <c r="AJ17" s="277">
        <v>0</v>
      </c>
      <c r="AK17" s="278">
        <f t="shared" si="6"/>
        <v>0</v>
      </c>
      <c r="AL17" s="277">
        <v>0</v>
      </c>
      <c r="AM17" s="278">
        <f t="shared" si="7"/>
        <v>0</v>
      </c>
      <c r="AN17" s="277">
        <v>0</v>
      </c>
      <c r="AO17" s="278">
        <f t="shared" si="8"/>
        <v>0</v>
      </c>
      <c r="AP17" s="277">
        <v>20</v>
      </c>
      <c r="AQ17" s="278">
        <f t="shared" si="9"/>
        <v>0</v>
      </c>
      <c r="AR17" s="277">
        <v>0</v>
      </c>
      <c r="AS17" s="278">
        <f t="shared" si="10"/>
        <v>0</v>
      </c>
      <c r="AT17" s="277">
        <v>0</v>
      </c>
      <c r="AU17" s="278">
        <f t="shared" si="11"/>
        <v>0</v>
      </c>
      <c r="AV17" s="277">
        <v>0</v>
      </c>
      <c r="AW17" s="278">
        <f t="shared" si="12"/>
        <v>0</v>
      </c>
      <c r="AX17" s="277">
        <v>100</v>
      </c>
      <c r="AY17" s="278">
        <f t="shared" si="13"/>
        <v>0</v>
      </c>
      <c r="AZ17" s="277">
        <v>175</v>
      </c>
      <c r="BA17" s="278">
        <f t="shared" si="14"/>
        <v>0</v>
      </c>
      <c r="BB17" s="277">
        <v>0</v>
      </c>
      <c r="BC17" s="278">
        <f t="shared" si="15"/>
        <v>0</v>
      </c>
      <c r="BD17" s="277">
        <v>0</v>
      </c>
      <c r="BE17" s="278">
        <f t="shared" si="16"/>
        <v>0</v>
      </c>
      <c r="BF17" s="277">
        <v>0</v>
      </c>
      <c r="BG17" s="278">
        <f t="shared" si="17"/>
        <v>0</v>
      </c>
      <c r="BH17" s="277">
        <v>0</v>
      </c>
      <c r="BI17" s="278">
        <f>BH17*G17</f>
        <v>0</v>
      </c>
      <c r="BJ17" s="277"/>
      <c r="BK17" s="278">
        <f>BJ17*G17</f>
        <v>0</v>
      </c>
      <c r="BL17" s="277">
        <f>AB17+AD17+AF17+AH17+AJ17+AL17+AN17+AP17+AR17+AT17+AV17+AX17+AZ17+BB17+BD17+BF17+BH17+BJ17</f>
        <v>295</v>
      </c>
      <c r="BM17" s="278">
        <f>AC17+AE17+AG17+AI17+AK17+AM17+AO17+AQ17+AS17+AU17+AW17+AY17+BA17+BC17+BE17+BG17+BI17+BK17</f>
        <v>0</v>
      </c>
      <c r="BN17" s="271" t="s">
        <v>403</v>
      </c>
      <c r="BP17" s="264">
        <f>I17</f>
        <v>0</v>
      </c>
      <c r="BQ17" s="264"/>
      <c r="BR17" s="264"/>
      <c r="BS17" s="264"/>
      <c r="BT17" s="264">
        <f t="shared" si="18"/>
        <v>0</v>
      </c>
      <c r="BU17" s="264"/>
      <c r="BV17" s="264"/>
      <c r="BW17" s="264">
        <f t="shared" si="19"/>
        <v>0</v>
      </c>
      <c r="BX17" s="280">
        <f t="shared" si="22"/>
        <v>0</v>
      </c>
    </row>
    <row r="18" spans="1:161" x14ac:dyDescent="0.2">
      <c r="A18" s="900"/>
      <c r="B18" s="595"/>
      <c r="C18" s="604">
        <v>31230</v>
      </c>
      <c r="D18" s="604"/>
      <c r="E18" s="270" t="s">
        <v>95</v>
      </c>
      <c r="F18" s="271" t="s">
        <v>96</v>
      </c>
      <c r="G18" s="272" t="s">
        <v>335</v>
      </c>
      <c r="H18" s="273">
        <f>BL18</f>
        <v>0</v>
      </c>
      <c r="I18" s="275">
        <f>H18*G18</f>
        <v>0</v>
      </c>
      <c r="J18" s="275"/>
      <c r="K18" s="275"/>
      <c r="L18" s="275"/>
      <c r="M18" s="275"/>
      <c r="N18" s="275">
        <f>I18</f>
        <v>0</v>
      </c>
      <c r="O18" s="275"/>
      <c r="P18" s="275"/>
      <c r="Q18" s="275"/>
      <c r="R18" s="275"/>
      <c r="S18" s="275"/>
      <c r="T18" s="276">
        <f>H18*0.25</f>
        <v>0</v>
      </c>
      <c r="U18" s="276">
        <f>H18*0.25</f>
        <v>0</v>
      </c>
      <c r="V18" s="276">
        <f>H18*0.25</f>
        <v>0</v>
      </c>
      <c r="W18" s="276">
        <f>H18*0.25</f>
        <v>0</v>
      </c>
      <c r="X18" s="275">
        <f>T18*I18</f>
        <v>0</v>
      </c>
      <c r="Y18" s="275">
        <f>U18*I18</f>
        <v>0</v>
      </c>
      <c r="Z18" s="275">
        <f>V18*I18</f>
        <v>0</v>
      </c>
      <c r="AA18" s="275">
        <f>W18*I18</f>
        <v>0</v>
      </c>
      <c r="AB18" s="277"/>
      <c r="AC18" s="278">
        <f t="shared" si="2"/>
        <v>0</v>
      </c>
      <c r="AD18" s="277">
        <v>0</v>
      </c>
      <c r="AE18" s="278">
        <f t="shared" si="3"/>
        <v>0</v>
      </c>
      <c r="AF18" s="277">
        <v>0</v>
      </c>
      <c r="AG18" s="278">
        <f t="shared" si="4"/>
        <v>0</v>
      </c>
      <c r="AH18" s="277">
        <v>0</v>
      </c>
      <c r="AI18" s="278">
        <f t="shared" si="5"/>
        <v>0</v>
      </c>
      <c r="AJ18" s="277">
        <v>0</v>
      </c>
      <c r="AK18" s="278">
        <f t="shared" si="6"/>
        <v>0</v>
      </c>
      <c r="AL18" s="277">
        <v>0</v>
      </c>
      <c r="AM18" s="278">
        <f t="shared" si="7"/>
        <v>0</v>
      </c>
      <c r="AN18" s="277"/>
      <c r="AO18" s="278">
        <f t="shared" si="8"/>
        <v>0</v>
      </c>
      <c r="AP18" s="277">
        <v>0</v>
      </c>
      <c r="AQ18" s="278">
        <f t="shared" si="9"/>
        <v>0</v>
      </c>
      <c r="AR18" s="277">
        <v>0</v>
      </c>
      <c r="AS18" s="278">
        <f t="shared" si="10"/>
        <v>0</v>
      </c>
      <c r="AT18" s="277">
        <v>0</v>
      </c>
      <c r="AU18" s="278">
        <f t="shared" si="11"/>
        <v>0</v>
      </c>
      <c r="AV18" s="277">
        <v>0</v>
      </c>
      <c r="AW18" s="278">
        <f t="shared" si="12"/>
        <v>0</v>
      </c>
      <c r="AX18" s="277">
        <v>0</v>
      </c>
      <c r="AY18" s="278">
        <f t="shared" si="13"/>
        <v>0</v>
      </c>
      <c r="AZ18" s="277">
        <v>0</v>
      </c>
      <c r="BA18" s="278">
        <f t="shared" si="14"/>
        <v>0</v>
      </c>
      <c r="BB18" s="277">
        <v>0</v>
      </c>
      <c r="BC18" s="278">
        <f t="shared" si="15"/>
        <v>0</v>
      </c>
      <c r="BD18" s="277"/>
      <c r="BE18" s="278">
        <f t="shared" si="16"/>
        <v>0</v>
      </c>
      <c r="BF18" s="277"/>
      <c r="BG18" s="278">
        <f t="shared" si="17"/>
        <v>0</v>
      </c>
      <c r="BH18" s="277">
        <v>0</v>
      </c>
      <c r="BI18" s="278">
        <f>BH18*G18</f>
        <v>0</v>
      </c>
      <c r="BJ18" s="277"/>
      <c r="BK18" s="278">
        <f>BJ18*G18</f>
        <v>0</v>
      </c>
      <c r="BL18" s="277">
        <f>AB18+AD18+AF18+AH18+AJ18+AL18+AN18+AP18+AR18+AT18+AV18+AX18+AZ18+BB18+BD18+BF18+BH18+BJ18</f>
        <v>0</v>
      </c>
      <c r="BM18" s="278">
        <f>AC18+AE18+AG18+AI18+AK18+AM18+AO18+AQ18+AS18+AU18+AW18+AY18+BA18+BC18+BE18+BG18+BI18+BK18</f>
        <v>0</v>
      </c>
      <c r="BN18" s="271" t="s">
        <v>290</v>
      </c>
      <c r="BP18" s="264">
        <f>I18</f>
        <v>0</v>
      </c>
      <c r="BQ18" s="264"/>
      <c r="BR18" s="264"/>
      <c r="BS18" s="264"/>
      <c r="BT18" s="264">
        <f t="shared" si="18"/>
        <v>0</v>
      </c>
      <c r="BU18" s="264"/>
      <c r="BV18" s="264"/>
      <c r="BW18" s="264">
        <f t="shared" si="19"/>
        <v>0</v>
      </c>
      <c r="BX18" s="280">
        <f t="shared" si="22"/>
        <v>0</v>
      </c>
    </row>
    <row r="19" spans="1:161" s="281" customFormat="1" x14ac:dyDescent="0.2">
      <c r="A19" s="900"/>
      <c r="B19" s="595"/>
      <c r="C19" s="587"/>
      <c r="D19" s="587"/>
      <c r="E19" s="589" t="s">
        <v>394</v>
      </c>
      <c r="F19" s="605" t="s">
        <v>111</v>
      </c>
      <c r="G19" s="603"/>
      <c r="H19" s="513">
        <f t="shared" ref="H19:BS19" si="23">SUM(H17:H18)</f>
        <v>295</v>
      </c>
      <c r="I19" s="513">
        <f t="shared" si="23"/>
        <v>0</v>
      </c>
      <c r="J19" s="513">
        <f t="shared" si="23"/>
        <v>0</v>
      </c>
      <c r="K19" s="513">
        <f t="shared" si="23"/>
        <v>0</v>
      </c>
      <c r="L19" s="513">
        <f t="shared" si="23"/>
        <v>0</v>
      </c>
      <c r="M19" s="513">
        <f t="shared" si="23"/>
        <v>0</v>
      </c>
      <c r="N19" s="513">
        <f t="shared" si="23"/>
        <v>0</v>
      </c>
      <c r="O19" s="513">
        <f t="shared" si="23"/>
        <v>0</v>
      </c>
      <c r="P19" s="513">
        <f t="shared" si="23"/>
        <v>0</v>
      </c>
      <c r="Q19" s="513">
        <f t="shared" si="23"/>
        <v>0</v>
      </c>
      <c r="R19" s="513">
        <f t="shared" si="23"/>
        <v>0</v>
      </c>
      <c r="S19" s="513">
        <f t="shared" si="23"/>
        <v>0</v>
      </c>
      <c r="T19" s="513">
        <f t="shared" si="23"/>
        <v>73.75</v>
      </c>
      <c r="U19" s="513">
        <f t="shared" si="23"/>
        <v>73.75</v>
      </c>
      <c r="V19" s="513">
        <f t="shared" si="23"/>
        <v>73.75</v>
      </c>
      <c r="W19" s="513">
        <f t="shared" si="23"/>
        <v>73.75</v>
      </c>
      <c r="X19" s="513">
        <f t="shared" si="23"/>
        <v>0</v>
      </c>
      <c r="Y19" s="513">
        <f t="shared" si="23"/>
        <v>0</v>
      </c>
      <c r="Z19" s="513">
        <f t="shared" si="23"/>
        <v>0</v>
      </c>
      <c r="AA19" s="513">
        <f t="shared" si="23"/>
        <v>0</v>
      </c>
      <c r="AB19" s="513">
        <f t="shared" si="23"/>
        <v>0</v>
      </c>
      <c r="AC19" s="513">
        <f t="shared" si="23"/>
        <v>0</v>
      </c>
      <c r="AD19" s="513">
        <f t="shared" si="23"/>
        <v>0</v>
      </c>
      <c r="AE19" s="513">
        <f t="shared" si="23"/>
        <v>0</v>
      </c>
      <c r="AF19" s="513">
        <f t="shared" si="23"/>
        <v>0</v>
      </c>
      <c r="AG19" s="513">
        <f t="shared" si="23"/>
        <v>0</v>
      </c>
      <c r="AH19" s="513">
        <f t="shared" si="23"/>
        <v>0</v>
      </c>
      <c r="AI19" s="513">
        <f t="shared" si="23"/>
        <v>0</v>
      </c>
      <c r="AJ19" s="513">
        <f t="shared" si="23"/>
        <v>0</v>
      </c>
      <c r="AK19" s="513">
        <f t="shared" si="23"/>
        <v>0</v>
      </c>
      <c r="AL19" s="513">
        <f t="shared" si="23"/>
        <v>0</v>
      </c>
      <c r="AM19" s="513">
        <f t="shared" si="23"/>
        <v>0</v>
      </c>
      <c r="AN19" s="513">
        <f t="shared" si="23"/>
        <v>0</v>
      </c>
      <c r="AO19" s="513">
        <f t="shared" si="23"/>
        <v>0</v>
      </c>
      <c r="AP19" s="513">
        <f t="shared" si="23"/>
        <v>20</v>
      </c>
      <c r="AQ19" s="513">
        <f t="shared" si="23"/>
        <v>0</v>
      </c>
      <c r="AR19" s="513">
        <f t="shared" si="23"/>
        <v>0</v>
      </c>
      <c r="AS19" s="513">
        <f t="shared" si="23"/>
        <v>0</v>
      </c>
      <c r="AT19" s="513">
        <f t="shared" si="23"/>
        <v>0</v>
      </c>
      <c r="AU19" s="513">
        <f t="shared" si="23"/>
        <v>0</v>
      </c>
      <c r="AV19" s="513">
        <f t="shared" si="23"/>
        <v>0</v>
      </c>
      <c r="AW19" s="513">
        <f t="shared" si="23"/>
        <v>0</v>
      </c>
      <c r="AX19" s="513">
        <f t="shared" si="23"/>
        <v>100</v>
      </c>
      <c r="AY19" s="513">
        <f t="shared" si="23"/>
        <v>0</v>
      </c>
      <c r="AZ19" s="513">
        <f t="shared" si="23"/>
        <v>175</v>
      </c>
      <c r="BA19" s="513">
        <f t="shared" si="23"/>
        <v>0</v>
      </c>
      <c r="BB19" s="513">
        <f t="shared" si="23"/>
        <v>0</v>
      </c>
      <c r="BC19" s="513">
        <f t="shared" si="23"/>
        <v>0</v>
      </c>
      <c r="BD19" s="513">
        <f t="shared" si="23"/>
        <v>0</v>
      </c>
      <c r="BE19" s="513">
        <f t="shared" si="23"/>
        <v>0</v>
      </c>
      <c r="BF19" s="513">
        <f t="shared" si="23"/>
        <v>0</v>
      </c>
      <c r="BG19" s="513">
        <f t="shared" si="23"/>
        <v>0</v>
      </c>
      <c r="BH19" s="513">
        <f t="shared" si="23"/>
        <v>0</v>
      </c>
      <c r="BI19" s="513">
        <f t="shared" si="23"/>
        <v>0</v>
      </c>
      <c r="BJ19" s="513">
        <f t="shared" si="23"/>
        <v>0</v>
      </c>
      <c r="BK19" s="513">
        <f t="shared" si="23"/>
        <v>0</v>
      </c>
      <c r="BL19" s="513">
        <f t="shared" si="23"/>
        <v>295</v>
      </c>
      <c r="BM19" s="513">
        <f t="shared" si="23"/>
        <v>0</v>
      </c>
      <c r="BN19" s="513">
        <f t="shared" si="23"/>
        <v>0</v>
      </c>
      <c r="BO19" s="513">
        <f t="shared" si="23"/>
        <v>0</v>
      </c>
      <c r="BP19" s="513">
        <f t="shared" si="23"/>
        <v>0</v>
      </c>
      <c r="BQ19" s="513">
        <f t="shared" si="23"/>
        <v>0</v>
      </c>
      <c r="BR19" s="513">
        <f t="shared" si="23"/>
        <v>0</v>
      </c>
      <c r="BS19" s="513">
        <f t="shared" si="23"/>
        <v>0</v>
      </c>
      <c r="BT19" s="513">
        <f t="shared" ref="BT19:BX19" si="24">SUM(BT17:BT18)</f>
        <v>0</v>
      </c>
      <c r="BU19" s="513">
        <f t="shared" si="24"/>
        <v>0</v>
      </c>
      <c r="BV19" s="513">
        <f t="shared" si="24"/>
        <v>0</v>
      </c>
      <c r="BW19" s="513">
        <f t="shared" si="24"/>
        <v>0</v>
      </c>
      <c r="BX19" s="513">
        <f t="shared" si="24"/>
        <v>0</v>
      </c>
      <c r="BY19" s="499"/>
      <c r="BZ19" s="499"/>
      <c r="CA19" s="499"/>
      <c r="CB19" s="499"/>
      <c r="CC19" s="499"/>
      <c r="CD19" s="499"/>
      <c r="CE19" s="499"/>
      <c r="CF19" s="499"/>
      <c r="CG19" s="499"/>
      <c r="CH19" s="499"/>
      <c r="CI19" s="499"/>
      <c r="CJ19" s="499"/>
      <c r="CK19" s="499"/>
      <c r="CL19" s="499"/>
      <c r="CM19" s="499"/>
      <c r="CN19" s="499"/>
      <c r="CO19" s="499"/>
      <c r="CP19" s="499"/>
      <c r="CQ19" s="499"/>
      <c r="CR19" s="499"/>
      <c r="CS19" s="499"/>
      <c r="CT19" s="499"/>
      <c r="CU19" s="499"/>
      <c r="CV19" s="499"/>
      <c r="CW19" s="499"/>
      <c r="CX19" s="499"/>
      <c r="CY19" s="499"/>
      <c r="CZ19" s="499"/>
      <c r="DA19" s="499"/>
      <c r="DB19" s="499"/>
      <c r="DC19" s="499"/>
      <c r="DD19" s="499"/>
      <c r="DE19" s="499"/>
      <c r="DF19" s="499"/>
      <c r="DG19" s="499"/>
      <c r="DH19" s="499"/>
      <c r="DI19" s="499"/>
      <c r="DJ19" s="499"/>
      <c r="DK19" s="499"/>
      <c r="DL19" s="499"/>
      <c r="DM19" s="499"/>
      <c r="DN19" s="499"/>
      <c r="DO19" s="499"/>
      <c r="DP19" s="499"/>
      <c r="DQ19" s="499"/>
      <c r="DR19" s="499"/>
      <c r="DS19" s="499"/>
      <c r="DT19" s="499"/>
      <c r="DU19" s="499"/>
      <c r="DV19" s="499"/>
      <c r="DW19" s="499"/>
      <c r="DX19" s="499"/>
      <c r="DY19" s="499"/>
      <c r="DZ19" s="499"/>
      <c r="EA19" s="499"/>
      <c r="EB19" s="499"/>
      <c r="EC19" s="499"/>
      <c r="ED19" s="499"/>
      <c r="EE19" s="499"/>
      <c r="EF19" s="499"/>
      <c r="EG19" s="499"/>
      <c r="EH19" s="499"/>
      <c r="EI19" s="499"/>
      <c r="EJ19" s="499"/>
      <c r="EK19" s="499"/>
      <c r="EL19" s="499"/>
      <c r="EM19" s="499"/>
      <c r="EN19" s="499"/>
      <c r="EO19" s="499"/>
      <c r="EP19" s="499"/>
      <c r="EQ19" s="499"/>
      <c r="ER19" s="499"/>
      <c r="ES19" s="499"/>
      <c r="ET19" s="499"/>
      <c r="EU19" s="499"/>
      <c r="EV19" s="499"/>
      <c r="EW19" s="499"/>
      <c r="EX19" s="499"/>
      <c r="EY19" s="499"/>
      <c r="EZ19" s="499"/>
      <c r="FA19" s="499"/>
      <c r="FB19" s="499"/>
      <c r="FC19" s="499"/>
      <c r="FD19" s="499"/>
      <c r="FE19" s="499"/>
    </row>
    <row r="20" spans="1:161" x14ac:dyDescent="0.2">
      <c r="A20" s="900"/>
      <c r="B20" s="595"/>
      <c r="C20" s="604">
        <v>31240</v>
      </c>
      <c r="D20" s="604"/>
      <c r="E20" s="589" t="s">
        <v>395</v>
      </c>
      <c r="F20" s="271"/>
      <c r="G20" s="272"/>
      <c r="H20" s="273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6"/>
      <c r="U20" s="276"/>
      <c r="V20" s="276"/>
      <c r="W20" s="276"/>
      <c r="X20" s="275"/>
      <c r="Y20" s="275"/>
      <c r="Z20" s="275"/>
      <c r="AA20" s="275"/>
      <c r="AB20" s="277"/>
      <c r="AC20" s="278"/>
      <c r="AD20" s="277"/>
      <c r="AE20" s="278"/>
      <c r="AF20" s="277"/>
      <c r="AG20" s="278"/>
      <c r="AH20" s="277"/>
      <c r="AI20" s="278"/>
      <c r="AJ20" s="277"/>
      <c r="AK20" s="278"/>
      <c r="AL20" s="277"/>
      <c r="AM20" s="278"/>
      <c r="AN20" s="277"/>
      <c r="AO20" s="278"/>
      <c r="AP20" s="277"/>
      <c r="AQ20" s="278"/>
      <c r="AR20" s="277"/>
      <c r="AS20" s="278"/>
      <c r="AT20" s="277"/>
      <c r="AU20" s="278"/>
      <c r="AV20" s="277"/>
      <c r="AW20" s="278"/>
      <c r="AX20" s="277"/>
      <c r="AY20" s="278"/>
      <c r="AZ20" s="277"/>
      <c r="BA20" s="278"/>
      <c r="BB20" s="277"/>
      <c r="BC20" s="278"/>
      <c r="BD20" s="277"/>
      <c r="BE20" s="278"/>
      <c r="BF20" s="277"/>
      <c r="BG20" s="278"/>
      <c r="BH20" s="277"/>
      <c r="BI20" s="278"/>
      <c r="BJ20" s="277"/>
      <c r="BK20" s="278"/>
      <c r="BL20" s="277"/>
      <c r="BM20" s="278"/>
      <c r="BN20" s="271"/>
      <c r="BP20" s="264">
        <f t="shared" ref="BP20:BP27" si="25">I20</f>
        <v>0</v>
      </c>
      <c r="BQ20" s="264"/>
      <c r="BR20" s="264"/>
      <c r="BS20" s="264"/>
      <c r="BT20" s="264">
        <f t="shared" si="18"/>
        <v>0</v>
      </c>
      <c r="BU20" s="264"/>
      <c r="BV20" s="264"/>
      <c r="BW20" s="264">
        <f t="shared" si="19"/>
        <v>0</v>
      </c>
      <c r="BX20" s="280">
        <f t="shared" si="22"/>
        <v>0</v>
      </c>
    </row>
    <row r="21" spans="1:161" x14ac:dyDescent="0.2">
      <c r="A21" s="900"/>
      <c r="B21" s="595"/>
      <c r="C21" s="587">
        <v>31300</v>
      </c>
      <c r="D21" s="587"/>
      <c r="E21" s="270" t="s">
        <v>541</v>
      </c>
      <c r="F21" s="271" t="s">
        <v>519</v>
      </c>
      <c r="G21" s="597">
        <v>400000</v>
      </c>
      <c r="H21" s="547">
        <f t="shared" ref="H21:I27" si="26">BL21</f>
        <v>0</v>
      </c>
      <c r="I21" s="278">
        <f t="shared" ref="I21:I27" si="27">H21*G21</f>
        <v>0</v>
      </c>
      <c r="J21" s="278"/>
      <c r="K21" s="278"/>
      <c r="L21" s="278"/>
      <c r="M21" s="278"/>
      <c r="N21" s="278">
        <f>I21</f>
        <v>0</v>
      </c>
      <c r="O21" s="278"/>
      <c r="P21" s="278"/>
      <c r="Q21" s="278"/>
      <c r="R21" s="278"/>
      <c r="S21" s="278"/>
      <c r="T21" s="276">
        <f>H21*0.25</f>
        <v>0</v>
      </c>
      <c r="U21" s="276">
        <f>H21*0.25</f>
        <v>0</v>
      </c>
      <c r="V21" s="276">
        <f>H21*0.25</f>
        <v>0</v>
      </c>
      <c r="W21" s="276">
        <f>H21*0.25</f>
        <v>0</v>
      </c>
      <c r="X21" s="275">
        <f>T21*G21</f>
        <v>0</v>
      </c>
      <c r="Y21" s="275">
        <f>U21*G21</f>
        <v>0</v>
      </c>
      <c r="Z21" s="275">
        <f>V21*G21</f>
        <v>0</v>
      </c>
      <c r="AA21" s="275">
        <f>W21*G21</f>
        <v>0</v>
      </c>
      <c r="AB21" s="277">
        <v>0</v>
      </c>
      <c r="AC21" s="278">
        <f t="shared" si="2"/>
        <v>0</v>
      </c>
      <c r="AD21" s="277">
        <v>0</v>
      </c>
      <c r="AE21" s="278">
        <f t="shared" si="3"/>
        <v>0</v>
      </c>
      <c r="AF21" s="277">
        <v>0</v>
      </c>
      <c r="AG21" s="278">
        <f t="shared" si="4"/>
        <v>0</v>
      </c>
      <c r="AH21" s="277">
        <v>0</v>
      </c>
      <c r="AI21" s="278">
        <f t="shared" si="5"/>
        <v>0</v>
      </c>
      <c r="AJ21" s="277">
        <v>0</v>
      </c>
      <c r="AK21" s="278">
        <f t="shared" si="6"/>
        <v>0</v>
      </c>
      <c r="AL21" s="277">
        <v>0</v>
      </c>
      <c r="AM21" s="278">
        <f t="shared" si="7"/>
        <v>0</v>
      </c>
      <c r="AN21" s="277">
        <v>0</v>
      </c>
      <c r="AO21" s="278">
        <f t="shared" si="8"/>
        <v>0</v>
      </c>
      <c r="AP21" s="277">
        <v>0</v>
      </c>
      <c r="AQ21" s="278">
        <f t="shared" si="9"/>
        <v>0</v>
      </c>
      <c r="AR21" s="277">
        <v>0</v>
      </c>
      <c r="AS21" s="278">
        <f t="shared" si="10"/>
        <v>0</v>
      </c>
      <c r="AT21" s="277">
        <v>0</v>
      </c>
      <c r="AU21" s="278">
        <f t="shared" si="11"/>
        <v>0</v>
      </c>
      <c r="AV21" s="277">
        <v>0</v>
      </c>
      <c r="AW21" s="278">
        <f t="shared" si="12"/>
        <v>0</v>
      </c>
      <c r="AX21" s="277">
        <v>0</v>
      </c>
      <c r="AY21" s="278">
        <f t="shared" si="13"/>
        <v>0</v>
      </c>
      <c r="AZ21" s="277">
        <v>0</v>
      </c>
      <c r="BA21" s="278">
        <f t="shared" si="14"/>
        <v>0</v>
      </c>
      <c r="BB21" s="277">
        <v>0</v>
      </c>
      <c r="BC21" s="278">
        <f t="shared" si="15"/>
        <v>0</v>
      </c>
      <c r="BD21" s="277">
        <v>0</v>
      </c>
      <c r="BE21" s="278">
        <f t="shared" si="16"/>
        <v>0</v>
      </c>
      <c r="BF21" s="277">
        <v>0</v>
      </c>
      <c r="BG21" s="278">
        <f t="shared" si="17"/>
        <v>0</v>
      </c>
      <c r="BH21" s="277">
        <v>0</v>
      </c>
      <c r="BI21" s="278">
        <f t="shared" ref="BI21:BI27" si="28">BH21*G21</f>
        <v>0</v>
      </c>
      <c r="BJ21" s="277"/>
      <c r="BK21" s="278">
        <f>BJ21*G21</f>
        <v>0</v>
      </c>
      <c r="BL21" s="277">
        <f t="shared" ref="BL21:BM27" si="29">AB21+AD21+AF21+AH21+AJ21+AL21+AN21+AP21+AR21+AT21+AV21+AX21+AZ21+BB21+BD21+BF21+BH21+BJ21</f>
        <v>0</v>
      </c>
      <c r="BM21" s="278">
        <f t="shared" si="29"/>
        <v>0</v>
      </c>
      <c r="BN21" s="271" t="s">
        <v>404</v>
      </c>
      <c r="BP21" s="264">
        <f t="shared" si="25"/>
        <v>0</v>
      </c>
      <c r="BQ21" s="264"/>
      <c r="BR21" s="264"/>
      <c r="BS21" s="264"/>
      <c r="BT21" s="264">
        <f t="shared" si="18"/>
        <v>0</v>
      </c>
      <c r="BU21" s="264"/>
      <c r="BV21" s="264"/>
      <c r="BW21" s="264"/>
      <c r="BX21" s="280">
        <f t="shared" si="22"/>
        <v>0</v>
      </c>
    </row>
    <row r="22" spans="1:161" x14ac:dyDescent="0.2">
      <c r="A22" s="900"/>
      <c r="B22" s="595"/>
      <c r="C22" s="604">
        <v>31310</v>
      </c>
      <c r="D22" s="604"/>
      <c r="E22" s="270" t="s">
        <v>523</v>
      </c>
      <c r="F22" s="271" t="s">
        <v>238</v>
      </c>
      <c r="G22" s="272">
        <v>1000000</v>
      </c>
      <c r="H22" s="547">
        <f t="shared" si="26"/>
        <v>0</v>
      </c>
      <c r="I22" s="278">
        <f t="shared" si="27"/>
        <v>0</v>
      </c>
      <c r="J22" s="275"/>
      <c r="K22" s="275"/>
      <c r="L22" s="275"/>
      <c r="M22" s="275"/>
      <c r="N22" s="278">
        <f>I22</f>
        <v>0</v>
      </c>
      <c r="O22" s="275"/>
      <c r="P22" s="275"/>
      <c r="Q22" s="275"/>
      <c r="R22" s="275"/>
      <c r="S22" s="275"/>
      <c r="T22" s="276">
        <f>H22*0.25</f>
        <v>0</v>
      </c>
      <c r="U22" s="276">
        <f>H22*0.25</f>
        <v>0</v>
      </c>
      <c r="V22" s="276">
        <f>H22*0.25</f>
        <v>0</v>
      </c>
      <c r="W22" s="276">
        <f>H22*0.25</f>
        <v>0</v>
      </c>
      <c r="X22" s="275">
        <f>T22*G22</f>
        <v>0</v>
      </c>
      <c r="Y22" s="275">
        <f>U22*G22</f>
        <v>0</v>
      </c>
      <c r="Z22" s="275">
        <f>V22*G22</f>
        <v>0</v>
      </c>
      <c r="AA22" s="275">
        <f>W22*G22</f>
        <v>0</v>
      </c>
      <c r="AB22" s="277">
        <v>0</v>
      </c>
      <c r="AC22" s="278">
        <f t="shared" si="2"/>
        <v>0</v>
      </c>
      <c r="AD22" s="277">
        <v>0</v>
      </c>
      <c r="AE22" s="278">
        <f t="shared" si="3"/>
        <v>0</v>
      </c>
      <c r="AF22" s="277">
        <v>0</v>
      </c>
      <c r="AG22" s="278">
        <f t="shared" si="4"/>
        <v>0</v>
      </c>
      <c r="AH22" s="277">
        <v>0</v>
      </c>
      <c r="AI22" s="278">
        <f t="shared" si="5"/>
        <v>0</v>
      </c>
      <c r="AJ22" s="277">
        <v>0</v>
      </c>
      <c r="AK22" s="278">
        <f t="shared" si="6"/>
        <v>0</v>
      </c>
      <c r="AL22" s="277">
        <v>0</v>
      </c>
      <c r="AM22" s="278">
        <f t="shared" si="7"/>
        <v>0</v>
      </c>
      <c r="AN22" s="277">
        <v>0</v>
      </c>
      <c r="AO22" s="278">
        <f t="shared" si="8"/>
        <v>0</v>
      </c>
      <c r="AP22" s="277">
        <v>0</v>
      </c>
      <c r="AQ22" s="278">
        <f t="shared" si="9"/>
        <v>0</v>
      </c>
      <c r="AR22" s="277">
        <v>0</v>
      </c>
      <c r="AS22" s="278">
        <f t="shared" si="10"/>
        <v>0</v>
      </c>
      <c r="AT22" s="277">
        <v>0</v>
      </c>
      <c r="AU22" s="278">
        <f t="shared" si="11"/>
        <v>0</v>
      </c>
      <c r="AV22" s="277">
        <v>0</v>
      </c>
      <c r="AW22" s="278">
        <f t="shared" si="12"/>
        <v>0</v>
      </c>
      <c r="AX22" s="277">
        <v>0</v>
      </c>
      <c r="AY22" s="278">
        <f t="shared" si="13"/>
        <v>0</v>
      </c>
      <c r="AZ22" s="277">
        <v>0</v>
      </c>
      <c r="BA22" s="278">
        <f t="shared" si="14"/>
        <v>0</v>
      </c>
      <c r="BB22" s="277">
        <v>0</v>
      </c>
      <c r="BC22" s="278">
        <f t="shared" si="15"/>
        <v>0</v>
      </c>
      <c r="BD22" s="277">
        <v>0</v>
      </c>
      <c r="BE22" s="278">
        <f t="shared" si="16"/>
        <v>0</v>
      </c>
      <c r="BF22" s="277">
        <v>0</v>
      </c>
      <c r="BG22" s="278">
        <f t="shared" si="17"/>
        <v>0</v>
      </c>
      <c r="BH22" s="277">
        <v>0</v>
      </c>
      <c r="BI22" s="278">
        <f t="shared" si="28"/>
        <v>0</v>
      </c>
      <c r="BJ22" s="277"/>
      <c r="BK22" s="278">
        <f>BJ22*G22</f>
        <v>0</v>
      </c>
      <c r="BL22" s="277">
        <f t="shared" si="29"/>
        <v>0</v>
      </c>
      <c r="BM22" s="278">
        <f t="shared" si="29"/>
        <v>0</v>
      </c>
      <c r="BN22" s="271" t="s">
        <v>404</v>
      </c>
      <c r="BP22" s="264">
        <f t="shared" si="25"/>
        <v>0</v>
      </c>
      <c r="BQ22" s="264"/>
      <c r="BR22" s="264"/>
      <c r="BS22" s="264"/>
      <c r="BT22" s="264">
        <f t="shared" si="18"/>
        <v>0</v>
      </c>
      <c r="BU22" s="264"/>
      <c r="BV22" s="264"/>
      <c r="BW22" s="264">
        <f>BU22+BV22</f>
        <v>0</v>
      </c>
      <c r="BX22" s="280">
        <f t="shared" si="22"/>
        <v>0</v>
      </c>
    </row>
    <row r="23" spans="1:161" x14ac:dyDescent="0.2">
      <c r="A23" s="900"/>
      <c r="B23" s="595"/>
      <c r="C23" s="604"/>
      <c r="D23" s="604"/>
      <c r="E23" s="270" t="s">
        <v>897</v>
      </c>
      <c r="F23" s="271" t="s">
        <v>238</v>
      </c>
      <c r="G23" s="272">
        <v>500000</v>
      </c>
      <c r="H23" s="547">
        <f t="shared" si="26"/>
        <v>0</v>
      </c>
      <c r="I23" s="547">
        <f t="shared" si="26"/>
        <v>0</v>
      </c>
      <c r="J23" s="275"/>
      <c r="K23" s="275"/>
      <c r="L23" s="275"/>
      <c r="M23" s="275"/>
      <c r="N23" s="278">
        <f>I23</f>
        <v>0</v>
      </c>
      <c r="O23" s="275"/>
      <c r="P23" s="275"/>
      <c r="Q23" s="275"/>
      <c r="R23" s="275"/>
      <c r="S23" s="275"/>
      <c r="T23" s="276"/>
      <c r="U23" s="276"/>
      <c r="V23" s="276"/>
      <c r="W23" s="276">
        <v>0</v>
      </c>
      <c r="X23" s="275">
        <f t="shared" ref="X23:X24" si="30">T23*G23</f>
        <v>0</v>
      </c>
      <c r="Y23" s="275">
        <f t="shared" ref="Y23:Y24" si="31">U23*G23</f>
        <v>0</v>
      </c>
      <c r="Z23" s="275">
        <f t="shared" ref="Z23:Z24" si="32">V23*G23</f>
        <v>0</v>
      </c>
      <c r="AA23" s="275">
        <f t="shared" ref="AA23:AA24" si="33">W23*G23</f>
        <v>0</v>
      </c>
      <c r="AB23" s="277">
        <v>0</v>
      </c>
      <c r="AC23" s="278">
        <f t="shared" si="2"/>
        <v>0</v>
      </c>
      <c r="AD23" s="277">
        <v>0</v>
      </c>
      <c r="AE23" s="278">
        <f t="shared" si="3"/>
        <v>0</v>
      </c>
      <c r="AF23" s="277">
        <v>0</v>
      </c>
      <c r="AG23" s="278">
        <f t="shared" si="4"/>
        <v>0</v>
      </c>
      <c r="AH23" s="277">
        <v>0</v>
      </c>
      <c r="AI23" s="278">
        <f t="shared" si="5"/>
        <v>0</v>
      </c>
      <c r="AJ23" s="277">
        <v>0</v>
      </c>
      <c r="AK23" s="278">
        <f t="shared" si="6"/>
        <v>0</v>
      </c>
      <c r="AL23" s="277">
        <v>0</v>
      </c>
      <c r="AM23" s="278">
        <f t="shared" si="7"/>
        <v>0</v>
      </c>
      <c r="AN23" s="277">
        <v>0</v>
      </c>
      <c r="AO23" s="278">
        <v>0</v>
      </c>
      <c r="AP23" s="277">
        <v>0</v>
      </c>
      <c r="AQ23" s="278">
        <f t="shared" si="9"/>
        <v>0</v>
      </c>
      <c r="AR23" s="277">
        <v>0</v>
      </c>
      <c r="AS23" s="278">
        <f t="shared" si="10"/>
        <v>0</v>
      </c>
      <c r="AT23" s="277">
        <v>0</v>
      </c>
      <c r="AU23" s="278">
        <f t="shared" si="11"/>
        <v>0</v>
      </c>
      <c r="AV23" s="277">
        <v>0</v>
      </c>
      <c r="AW23" s="278">
        <f t="shared" si="12"/>
        <v>0</v>
      </c>
      <c r="AX23" s="277">
        <v>0</v>
      </c>
      <c r="AY23" s="278">
        <f t="shared" si="13"/>
        <v>0</v>
      </c>
      <c r="AZ23" s="277">
        <v>0</v>
      </c>
      <c r="BA23" s="278">
        <f t="shared" si="14"/>
        <v>0</v>
      </c>
      <c r="BB23" s="277">
        <v>0</v>
      </c>
      <c r="BC23" s="278">
        <f t="shared" si="15"/>
        <v>0</v>
      </c>
      <c r="BD23" s="277">
        <v>0</v>
      </c>
      <c r="BE23" s="278">
        <f t="shared" si="16"/>
        <v>0</v>
      </c>
      <c r="BF23" s="277">
        <v>0</v>
      </c>
      <c r="BG23" s="278">
        <f t="shared" si="17"/>
        <v>0</v>
      </c>
      <c r="BH23" s="277">
        <v>0</v>
      </c>
      <c r="BI23" s="278">
        <f t="shared" si="28"/>
        <v>0</v>
      </c>
      <c r="BJ23" s="277"/>
      <c r="BK23" s="278"/>
      <c r="BL23" s="277">
        <f t="shared" ref="BL23" si="34">AB23+AD23+AF23+AH23+AJ23+AL23+AN23+AP23+AR23+AT23+AV23+AX23+AZ23+BB23+BD23+BF23+BH23+BJ23</f>
        <v>0</v>
      </c>
      <c r="BM23" s="278">
        <f t="shared" ref="BM23" si="35">AC23+AE23+AG23+AI23+AK23+AM23+AO23+AQ23+AS23+AU23+AW23+AY23+BA23+BC23+BE23+BG23+BI23+BK23</f>
        <v>0</v>
      </c>
      <c r="BN23" s="271" t="s">
        <v>404</v>
      </c>
      <c r="BP23" s="264">
        <f t="shared" si="25"/>
        <v>0</v>
      </c>
      <c r="BQ23" s="264"/>
      <c r="BR23" s="264"/>
      <c r="BS23" s="264"/>
      <c r="BT23" s="264">
        <f t="shared" si="18"/>
        <v>0</v>
      </c>
      <c r="BU23" s="264"/>
      <c r="BV23" s="264"/>
      <c r="BW23" s="264"/>
      <c r="BX23" s="280">
        <f t="shared" si="22"/>
        <v>0</v>
      </c>
    </row>
    <row r="24" spans="1:161" x14ac:dyDescent="0.2">
      <c r="A24" s="900"/>
      <c r="B24" s="595"/>
      <c r="C24" s="604"/>
      <c r="D24" s="604"/>
      <c r="E24" s="270" t="s">
        <v>910</v>
      </c>
      <c r="F24" s="271" t="s">
        <v>238</v>
      </c>
      <c r="G24" s="272">
        <v>700000</v>
      </c>
      <c r="H24" s="547">
        <f t="shared" si="26"/>
        <v>0</v>
      </c>
      <c r="I24" s="278">
        <f t="shared" si="27"/>
        <v>0</v>
      </c>
      <c r="J24" s="275"/>
      <c r="K24" s="275"/>
      <c r="L24" s="275">
        <f>I24</f>
        <v>0</v>
      </c>
      <c r="M24" s="275"/>
      <c r="N24" s="278"/>
      <c r="O24" s="275"/>
      <c r="P24" s="275"/>
      <c r="Q24" s="275"/>
      <c r="R24" s="275"/>
      <c r="S24" s="275"/>
      <c r="T24" s="276"/>
      <c r="U24" s="276"/>
      <c r="V24" s="276"/>
      <c r="W24" s="276"/>
      <c r="X24" s="275">
        <f t="shared" si="30"/>
        <v>0</v>
      </c>
      <c r="Y24" s="275">
        <f t="shared" si="31"/>
        <v>0</v>
      </c>
      <c r="Z24" s="275">
        <f t="shared" si="32"/>
        <v>0</v>
      </c>
      <c r="AA24" s="275">
        <f t="shared" si="33"/>
        <v>0</v>
      </c>
      <c r="AB24" s="277"/>
      <c r="AC24" s="278"/>
      <c r="AD24" s="277">
        <v>0</v>
      </c>
      <c r="AE24" s="278"/>
      <c r="AF24" s="277">
        <v>0</v>
      </c>
      <c r="AG24" s="278"/>
      <c r="AH24" s="277">
        <v>0</v>
      </c>
      <c r="AI24" s="278"/>
      <c r="AJ24" s="277"/>
      <c r="AK24" s="278"/>
      <c r="AL24" s="277">
        <v>0</v>
      </c>
      <c r="AM24" s="278"/>
      <c r="AN24" s="277">
        <v>0</v>
      </c>
      <c r="AO24" s="278">
        <f>AN24*G24</f>
        <v>0</v>
      </c>
      <c r="AP24" s="277"/>
      <c r="AQ24" s="278"/>
      <c r="AR24" s="277"/>
      <c r="AS24" s="278"/>
      <c r="AT24" s="277"/>
      <c r="AU24" s="278"/>
      <c r="AV24" s="277"/>
      <c r="AW24" s="278"/>
      <c r="AX24" s="277"/>
      <c r="AY24" s="278"/>
      <c r="AZ24" s="277"/>
      <c r="BA24" s="278"/>
      <c r="BB24" s="277">
        <v>0</v>
      </c>
      <c r="BC24" s="278"/>
      <c r="BD24" s="277"/>
      <c r="BE24" s="278"/>
      <c r="BF24" s="277"/>
      <c r="BG24" s="278"/>
      <c r="BH24" s="277"/>
      <c r="BI24" s="278"/>
      <c r="BJ24" s="277"/>
      <c r="BK24" s="278"/>
      <c r="BL24" s="277">
        <f t="shared" ref="BL24" si="36">AB24+AD24+AF24+AH24+AJ24+AL24+AN24+AP24+AR24+AT24+AV24+AX24+AZ24+BB24+BD24+BF24+BH24+BJ24</f>
        <v>0</v>
      </c>
      <c r="BM24" s="278">
        <f t="shared" ref="BM24" si="37">AC24+AE24+AG24+AI24+AK24+AM24+AO24+AQ24+AS24+AU24+AW24+AY24+BA24+BC24+BE24+BG24+BI24+BK24</f>
        <v>0</v>
      </c>
      <c r="BN24" s="271" t="s">
        <v>911</v>
      </c>
      <c r="BP24" s="264"/>
      <c r="BQ24" s="264"/>
      <c r="BR24" s="264"/>
      <c r="BS24" s="264"/>
      <c r="BT24" s="264"/>
      <c r="BU24" s="264"/>
      <c r="BV24" s="264"/>
      <c r="BW24" s="264"/>
      <c r="BX24" s="280"/>
    </row>
    <row r="25" spans="1:161" x14ac:dyDescent="0.2">
      <c r="A25" s="900"/>
      <c r="B25" s="595"/>
      <c r="C25" s="604"/>
      <c r="D25" s="604"/>
      <c r="E25" s="270" t="s">
        <v>524</v>
      </c>
      <c r="F25" s="271" t="s">
        <v>238</v>
      </c>
      <c r="G25" s="272">
        <v>1200000</v>
      </c>
      <c r="H25" s="547">
        <f t="shared" si="26"/>
        <v>0</v>
      </c>
      <c r="I25" s="278">
        <f t="shared" si="27"/>
        <v>0</v>
      </c>
      <c r="J25" s="275"/>
      <c r="K25" s="275"/>
      <c r="L25" s="275"/>
      <c r="M25" s="275"/>
      <c r="N25" s="278">
        <f>I25</f>
        <v>0</v>
      </c>
      <c r="O25" s="275"/>
      <c r="P25" s="275"/>
      <c r="Q25" s="275"/>
      <c r="R25" s="275"/>
      <c r="S25" s="275"/>
      <c r="T25" s="276">
        <f>H25*0.25</f>
        <v>0</v>
      </c>
      <c r="U25" s="276">
        <f>H25*0.25</f>
        <v>0</v>
      </c>
      <c r="V25" s="276">
        <f>H25*0.25</f>
        <v>0</v>
      </c>
      <c r="W25" s="276">
        <f>H25*0.25</f>
        <v>0</v>
      </c>
      <c r="X25" s="275">
        <f>T25*I25</f>
        <v>0</v>
      </c>
      <c r="Y25" s="275">
        <f>U25*I25</f>
        <v>0</v>
      </c>
      <c r="Z25" s="275">
        <f>V25*I25</f>
        <v>0</v>
      </c>
      <c r="AA25" s="275">
        <f>W25*I25</f>
        <v>0</v>
      </c>
      <c r="AB25" s="277">
        <v>0</v>
      </c>
      <c r="AC25" s="278"/>
      <c r="AD25" s="277">
        <v>0</v>
      </c>
      <c r="AE25" s="278"/>
      <c r="AF25" s="277">
        <v>0</v>
      </c>
      <c r="AG25" s="278">
        <f t="shared" si="4"/>
        <v>0</v>
      </c>
      <c r="AH25" s="277">
        <v>0</v>
      </c>
      <c r="AI25" s="278">
        <f t="shared" si="5"/>
        <v>0</v>
      </c>
      <c r="AJ25" s="277">
        <v>0</v>
      </c>
      <c r="AK25" s="278">
        <f t="shared" si="6"/>
        <v>0</v>
      </c>
      <c r="AL25" s="277">
        <v>0</v>
      </c>
      <c r="AM25" s="278"/>
      <c r="AN25" s="277"/>
      <c r="AO25" s="278"/>
      <c r="AP25" s="277">
        <v>0</v>
      </c>
      <c r="AQ25" s="278"/>
      <c r="AR25" s="277"/>
      <c r="AS25" s="278"/>
      <c r="AT25" s="277"/>
      <c r="AU25" s="278"/>
      <c r="AV25" s="277"/>
      <c r="AW25" s="278"/>
      <c r="AX25" s="277"/>
      <c r="AY25" s="278"/>
      <c r="AZ25" s="277"/>
      <c r="BA25" s="278"/>
      <c r="BB25" s="277">
        <v>0</v>
      </c>
      <c r="BC25" s="278"/>
      <c r="BD25" s="277"/>
      <c r="BE25" s="278"/>
      <c r="BF25" s="277">
        <v>0</v>
      </c>
      <c r="BG25" s="278"/>
      <c r="BH25" s="277">
        <v>0</v>
      </c>
      <c r="BI25" s="278">
        <f t="shared" si="28"/>
        <v>0</v>
      </c>
      <c r="BJ25" s="277"/>
      <c r="BK25" s="278"/>
      <c r="BL25" s="277">
        <f t="shared" si="29"/>
        <v>0</v>
      </c>
      <c r="BM25" s="278">
        <f t="shared" si="29"/>
        <v>0</v>
      </c>
      <c r="BN25" s="271" t="s">
        <v>404</v>
      </c>
      <c r="BP25" s="264">
        <f t="shared" si="25"/>
        <v>0</v>
      </c>
      <c r="BQ25" s="264"/>
      <c r="BR25" s="264"/>
      <c r="BS25" s="264"/>
      <c r="BT25" s="264">
        <f t="shared" si="18"/>
        <v>0</v>
      </c>
      <c r="BU25" s="264"/>
      <c r="BV25" s="264"/>
      <c r="BW25" s="264"/>
      <c r="BX25" s="280">
        <f t="shared" si="22"/>
        <v>0</v>
      </c>
    </row>
    <row r="26" spans="1:161" x14ac:dyDescent="0.2">
      <c r="A26" s="900"/>
      <c r="B26" s="595"/>
      <c r="C26" s="604"/>
      <c r="D26" s="604"/>
      <c r="E26" s="270" t="s">
        <v>525</v>
      </c>
      <c r="F26" s="271" t="s">
        <v>238</v>
      </c>
      <c r="G26" s="272">
        <v>8000000</v>
      </c>
      <c r="H26" s="547">
        <f t="shared" si="26"/>
        <v>0</v>
      </c>
      <c r="I26" s="278">
        <f t="shared" si="27"/>
        <v>0</v>
      </c>
      <c r="J26" s="275"/>
      <c r="K26" s="275"/>
      <c r="L26" s="275"/>
      <c r="M26" s="275"/>
      <c r="N26" s="278">
        <f>I26</f>
        <v>0</v>
      </c>
      <c r="O26" s="275"/>
      <c r="P26" s="275"/>
      <c r="Q26" s="275"/>
      <c r="R26" s="275"/>
      <c r="S26" s="275"/>
      <c r="T26" s="276">
        <f>H26*0.25</f>
        <v>0</v>
      </c>
      <c r="U26" s="276">
        <f>H26*0.25</f>
        <v>0</v>
      </c>
      <c r="V26" s="276">
        <f>H26*0.25</f>
        <v>0</v>
      </c>
      <c r="W26" s="276">
        <f>H26*0.25</f>
        <v>0</v>
      </c>
      <c r="X26" s="275">
        <f>T26*I26</f>
        <v>0</v>
      </c>
      <c r="Y26" s="275">
        <f>U26*I26</f>
        <v>0</v>
      </c>
      <c r="Z26" s="275">
        <f>V26*I26</f>
        <v>0</v>
      </c>
      <c r="AA26" s="275">
        <f>W26*I26</f>
        <v>0</v>
      </c>
      <c r="AB26" s="277"/>
      <c r="AC26" s="278"/>
      <c r="AD26" s="277">
        <v>0</v>
      </c>
      <c r="AE26" s="278"/>
      <c r="AF26" s="277">
        <v>0</v>
      </c>
      <c r="AG26" s="278">
        <f t="shared" si="4"/>
        <v>0</v>
      </c>
      <c r="AH26" s="277">
        <v>0</v>
      </c>
      <c r="AI26" s="278">
        <f t="shared" si="5"/>
        <v>0</v>
      </c>
      <c r="AJ26" s="277">
        <v>0</v>
      </c>
      <c r="AK26" s="278">
        <f t="shared" si="6"/>
        <v>0</v>
      </c>
      <c r="AL26" s="277">
        <v>0</v>
      </c>
      <c r="AM26" s="278"/>
      <c r="AN26" s="277"/>
      <c r="AO26" s="278"/>
      <c r="AP26" s="277">
        <v>0</v>
      </c>
      <c r="AQ26" s="278"/>
      <c r="AR26" s="277"/>
      <c r="AS26" s="278"/>
      <c r="AT26" s="277">
        <v>0</v>
      </c>
      <c r="AU26" s="278">
        <f t="shared" si="11"/>
        <v>0</v>
      </c>
      <c r="AV26" s="277"/>
      <c r="AW26" s="278"/>
      <c r="AX26" s="277"/>
      <c r="AY26" s="278"/>
      <c r="AZ26" s="277"/>
      <c r="BA26" s="278"/>
      <c r="BB26" s="277">
        <v>0</v>
      </c>
      <c r="BC26" s="278"/>
      <c r="BD26" s="277"/>
      <c r="BE26" s="278"/>
      <c r="BF26" s="277">
        <v>0</v>
      </c>
      <c r="BG26" s="278"/>
      <c r="BH26" s="277">
        <v>0</v>
      </c>
      <c r="BI26" s="278">
        <f t="shared" si="28"/>
        <v>0</v>
      </c>
      <c r="BJ26" s="277"/>
      <c r="BK26" s="278"/>
      <c r="BL26" s="277">
        <f t="shared" ref="BL26" si="38">AB26+AD26+AF26+AH26+AJ26+AL26+AN26+AP26+AR26+AT26+AV26+AX26+AZ26+BB26+BD26+BF26+BH26+BJ26</f>
        <v>0</v>
      </c>
      <c r="BM26" s="278">
        <f t="shared" ref="BM26" si="39">AC26+AE26+AG26+AI26+AK26+AM26+AO26+AQ26+AS26+AU26+AW26+AY26+BA26+BC26+BE26+BG26+BI26+BK26</f>
        <v>0</v>
      </c>
      <c r="BN26" s="271" t="s">
        <v>404</v>
      </c>
      <c r="BP26" s="264">
        <f t="shared" si="25"/>
        <v>0</v>
      </c>
      <c r="BQ26" s="264"/>
      <c r="BR26" s="264"/>
      <c r="BS26" s="264"/>
      <c r="BT26" s="264">
        <f t="shared" si="18"/>
        <v>0</v>
      </c>
      <c r="BU26" s="264"/>
      <c r="BV26" s="264"/>
      <c r="BW26" s="264"/>
      <c r="BX26" s="280">
        <f t="shared" si="22"/>
        <v>0</v>
      </c>
    </row>
    <row r="27" spans="1:161" x14ac:dyDescent="0.2">
      <c r="A27" s="900"/>
      <c r="B27" s="595"/>
      <c r="C27" s="604"/>
      <c r="D27" s="604"/>
      <c r="E27" s="270" t="s">
        <v>546</v>
      </c>
      <c r="F27" s="271" t="s">
        <v>238</v>
      </c>
      <c r="G27" s="272" t="s">
        <v>337</v>
      </c>
      <c r="H27" s="547">
        <f t="shared" si="26"/>
        <v>0</v>
      </c>
      <c r="I27" s="276">
        <f t="shared" si="27"/>
        <v>0</v>
      </c>
      <c r="J27" s="275"/>
      <c r="K27" s="275"/>
      <c r="L27" s="275"/>
      <c r="M27" s="275">
        <f>I27</f>
        <v>0</v>
      </c>
      <c r="N27" s="275"/>
      <c r="O27" s="275"/>
      <c r="P27" s="275"/>
      <c r="Q27" s="275"/>
      <c r="R27" s="275"/>
      <c r="S27" s="275"/>
      <c r="T27" s="276">
        <f>H27*0.25</f>
        <v>0</v>
      </c>
      <c r="U27" s="276">
        <f>H27*0.25</f>
        <v>0</v>
      </c>
      <c r="V27" s="276">
        <f>H27*0.25</f>
        <v>0</v>
      </c>
      <c r="W27" s="276">
        <f>H27*0.25</f>
        <v>0</v>
      </c>
      <c r="X27" s="275">
        <f>T27*I27</f>
        <v>0</v>
      </c>
      <c r="Y27" s="275">
        <f>U27*I27</f>
        <v>0</v>
      </c>
      <c r="Z27" s="275">
        <f>V27*I27</f>
        <v>0</v>
      </c>
      <c r="AA27" s="275">
        <f>W27*I27</f>
        <v>0</v>
      </c>
      <c r="AB27" s="277">
        <v>0</v>
      </c>
      <c r="AC27" s="278">
        <f t="shared" si="2"/>
        <v>0</v>
      </c>
      <c r="AD27" s="277">
        <v>0</v>
      </c>
      <c r="AE27" s="278">
        <f t="shared" si="3"/>
        <v>0</v>
      </c>
      <c r="AF27" s="277">
        <v>0</v>
      </c>
      <c r="AG27" s="278">
        <f t="shared" si="4"/>
        <v>0</v>
      </c>
      <c r="AH27" s="277">
        <v>0</v>
      </c>
      <c r="AI27" s="278">
        <f t="shared" si="5"/>
        <v>0</v>
      </c>
      <c r="AJ27" s="277">
        <v>0</v>
      </c>
      <c r="AK27" s="278">
        <f t="shared" si="6"/>
        <v>0</v>
      </c>
      <c r="AL27" s="277">
        <v>0</v>
      </c>
      <c r="AM27" s="278">
        <f t="shared" si="7"/>
        <v>0</v>
      </c>
      <c r="AN27" s="277">
        <v>0</v>
      </c>
      <c r="AO27" s="278">
        <f t="shared" si="8"/>
        <v>0</v>
      </c>
      <c r="AP27" s="277">
        <v>0</v>
      </c>
      <c r="AQ27" s="278">
        <f t="shared" si="9"/>
        <v>0</v>
      </c>
      <c r="AR27" s="277">
        <v>0</v>
      </c>
      <c r="AS27" s="278">
        <f t="shared" si="10"/>
        <v>0</v>
      </c>
      <c r="AT27" s="277">
        <v>0</v>
      </c>
      <c r="AU27" s="278">
        <f t="shared" si="11"/>
        <v>0</v>
      </c>
      <c r="AV27" s="277">
        <v>0</v>
      </c>
      <c r="AW27" s="278">
        <f t="shared" si="12"/>
        <v>0</v>
      </c>
      <c r="AX27" s="277">
        <v>0</v>
      </c>
      <c r="AY27" s="278">
        <f t="shared" si="13"/>
        <v>0</v>
      </c>
      <c r="AZ27" s="277">
        <v>0</v>
      </c>
      <c r="BA27" s="278">
        <f t="shared" si="14"/>
        <v>0</v>
      </c>
      <c r="BB27" s="277">
        <v>0</v>
      </c>
      <c r="BC27" s="278">
        <f t="shared" si="15"/>
        <v>0</v>
      </c>
      <c r="BD27" s="277">
        <v>0</v>
      </c>
      <c r="BE27" s="278">
        <f t="shared" si="16"/>
        <v>0</v>
      </c>
      <c r="BF27" s="277">
        <v>0</v>
      </c>
      <c r="BG27" s="278">
        <f t="shared" si="17"/>
        <v>0</v>
      </c>
      <c r="BH27" s="277">
        <v>0</v>
      </c>
      <c r="BI27" s="278">
        <f t="shared" si="28"/>
        <v>0</v>
      </c>
      <c r="BJ27" s="277">
        <v>0</v>
      </c>
      <c r="BK27" s="278">
        <f>BJ27*G27</f>
        <v>0</v>
      </c>
      <c r="BL27" s="277">
        <f t="shared" si="29"/>
        <v>0</v>
      </c>
      <c r="BM27" s="278">
        <f t="shared" si="29"/>
        <v>0</v>
      </c>
      <c r="BN27" s="271" t="s">
        <v>405</v>
      </c>
      <c r="BP27" s="264">
        <f t="shared" si="25"/>
        <v>0</v>
      </c>
      <c r="BQ27" s="264"/>
      <c r="BR27" s="264"/>
      <c r="BS27" s="264"/>
      <c r="BT27" s="264">
        <f t="shared" si="18"/>
        <v>0</v>
      </c>
      <c r="BU27" s="264"/>
      <c r="BV27" s="264"/>
      <c r="BW27" s="264">
        <f>BU27+BV27</f>
        <v>0</v>
      </c>
      <c r="BX27" s="280">
        <f t="shared" si="22"/>
        <v>0</v>
      </c>
    </row>
    <row r="28" spans="1:161" s="281" customFormat="1" x14ac:dyDescent="0.2">
      <c r="A28" s="900"/>
      <c r="B28" s="595"/>
      <c r="C28" s="268"/>
      <c r="D28" s="268"/>
      <c r="E28" s="589" t="s">
        <v>396</v>
      </c>
      <c r="F28" s="605" t="s">
        <v>111</v>
      </c>
      <c r="G28" s="603"/>
      <c r="H28" s="606">
        <f>SUM(H21:H27)</f>
        <v>0</v>
      </c>
      <c r="I28" s="606">
        <f t="shared" ref="I28:BM28" si="40">SUM(I21:I27)</f>
        <v>0</v>
      </c>
      <c r="J28" s="606">
        <f t="shared" si="40"/>
        <v>0</v>
      </c>
      <c r="K28" s="606">
        <f t="shared" si="40"/>
        <v>0</v>
      </c>
      <c r="L28" s="606">
        <f t="shared" si="40"/>
        <v>0</v>
      </c>
      <c r="M28" s="606">
        <f t="shared" si="40"/>
        <v>0</v>
      </c>
      <c r="N28" s="606">
        <f t="shared" si="40"/>
        <v>0</v>
      </c>
      <c r="O28" s="606">
        <f t="shared" si="40"/>
        <v>0</v>
      </c>
      <c r="P28" s="606">
        <f t="shared" si="40"/>
        <v>0</v>
      </c>
      <c r="Q28" s="606">
        <f t="shared" si="40"/>
        <v>0</v>
      </c>
      <c r="R28" s="606">
        <f t="shared" si="40"/>
        <v>0</v>
      </c>
      <c r="S28" s="606">
        <f t="shared" si="40"/>
        <v>0</v>
      </c>
      <c r="T28" s="606">
        <f t="shared" si="40"/>
        <v>0</v>
      </c>
      <c r="U28" s="606">
        <f t="shared" si="40"/>
        <v>0</v>
      </c>
      <c r="V28" s="606">
        <f t="shared" si="40"/>
        <v>0</v>
      </c>
      <c r="W28" s="606">
        <f t="shared" si="40"/>
        <v>0</v>
      </c>
      <c r="X28" s="606">
        <f t="shared" si="40"/>
        <v>0</v>
      </c>
      <c r="Y28" s="606">
        <f t="shared" si="40"/>
        <v>0</v>
      </c>
      <c r="Z28" s="606">
        <f t="shared" si="40"/>
        <v>0</v>
      </c>
      <c r="AA28" s="606">
        <f t="shared" si="40"/>
        <v>0</v>
      </c>
      <c r="AB28" s="606">
        <f t="shared" si="40"/>
        <v>0</v>
      </c>
      <c r="AC28" s="606">
        <f t="shared" si="40"/>
        <v>0</v>
      </c>
      <c r="AD28" s="606">
        <f t="shared" si="40"/>
        <v>0</v>
      </c>
      <c r="AE28" s="606">
        <f t="shared" si="40"/>
        <v>0</v>
      </c>
      <c r="AF28" s="606">
        <f t="shared" si="40"/>
        <v>0</v>
      </c>
      <c r="AG28" s="606">
        <f t="shared" si="40"/>
        <v>0</v>
      </c>
      <c r="AH28" s="606">
        <f t="shared" si="40"/>
        <v>0</v>
      </c>
      <c r="AI28" s="606">
        <f t="shared" si="40"/>
        <v>0</v>
      </c>
      <c r="AJ28" s="606">
        <f t="shared" si="40"/>
        <v>0</v>
      </c>
      <c r="AK28" s="606">
        <f t="shared" si="40"/>
        <v>0</v>
      </c>
      <c r="AL28" s="606">
        <f t="shared" si="40"/>
        <v>0</v>
      </c>
      <c r="AM28" s="606">
        <f t="shared" si="40"/>
        <v>0</v>
      </c>
      <c r="AN28" s="606">
        <f t="shared" si="40"/>
        <v>0</v>
      </c>
      <c r="AO28" s="606">
        <f t="shared" si="40"/>
        <v>0</v>
      </c>
      <c r="AP28" s="606">
        <f t="shared" si="40"/>
        <v>0</v>
      </c>
      <c r="AQ28" s="606">
        <f t="shared" si="40"/>
        <v>0</v>
      </c>
      <c r="AR28" s="606">
        <f t="shared" si="40"/>
        <v>0</v>
      </c>
      <c r="AS28" s="606">
        <f t="shared" si="40"/>
        <v>0</v>
      </c>
      <c r="AT28" s="606">
        <f t="shared" si="40"/>
        <v>0</v>
      </c>
      <c r="AU28" s="606">
        <f t="shared" si="40"/>
        <v>0</v>
      </c>
      <c r="AV28" s="606">
        <f t="shared" si="40"/>
        <v>0</v>
      </c>
      <c r="AW28" s="606">
        <f t="shared" si="40"/>
        <v>0</v>
      </c>
      <c r="AX28" s="606">
        <f t="shared" si="40"/>
        <v>0</v>
      </c>
      <c r="AY28" s="606">
        <f t="shared" si="40"/>
        <v>0</v>
      </c>
      <c r="AZ28" s="606">
        <f t="shared" si="40"/>
        <v>0</v>
      </c>
      <c r="BA28" s="606">
        <f t="shared" si="40"/>
        <v>0</v>
      </c>
      <c r="BB28" s="606">
        <f t="shared" si="40"/>
        <v>0</v>
      </c>
      <c r="BC28" s="606">
        <f t="shared" si="40"/>
        <v>0</v>
      </c>
      <c r="BD28" s="606">
        <f t="shared" si="40"/>
        <v>0</v>
      </c>
      <c r="BE28" s="606">
        <f t="shared" si="40"/>
        <v>0</v>
      </c>
      <c r="BF28" s="606">
        <f t="shared" si="40"/>
        <v>0</v>
      </c>
      <c r="BG28" s="606">
        <f t="shared" si="40"/>
        <v>0</v>
      </c>
      <c r="BH28" s="606">
        <f t="shared" si="40"/>
        <v>0</v>
      </c>
      <c r="BI28" s="606">
        <f t="shared" si="40"/>
        <v>0</v>
      </c>
      <c r="BJ28" s="606">
        <f t="shared" si="40"/>
        <v>0</v>
      </c>
      <c r="BK28" s="606">
        <f t="shared" si="40"/>
        <v>0</v>
      </c>
      <c r="BL28" s="606">
        <f t="shared" si="40"/>
        <v>0</v>
      </c>
      <c r="BM28" s="606">
        <f t="shared" si="40"/>
        <v>0</v>
      </c>
      <c r="BN28" s="606">
        <f t="shared" ref="BN28:BX28" si="41">SUM(BN21:BN27)</f>
        <v>0</v>
      </c>
      <c r="BO28" s="606">
        <f t="shared" si="41"/>
        <v>0</v>
      </c>
      <c r="BP28" s="606">
        <f t="shared" si="41"/>
        <v>0</v>
      </c>
      <c r="BQ28" s="606">
        <f t="shared" si="41"/>
        <v>0</v>
      </c>
      <c r="BR28" s="606">
        <f t="shared" si="41"/>
        <v>0</v>
      </c>
      <c r="BS28" s="606">
        <f t="shared" si="41"/>
        <v>0</v>
      </c>
      <c r="BT28" s="606">
        <f t="shared" si="41"/>
        <v>0</v>
      </c>
      <c r="BU28" s="606">
        <f t="shared" si="41"/>
        <v>0</v>
      </c>
      <c r="BV28" s="606">
        <f t="shared" si="41"/>
        <v>0</v>
      </c>
      <c r="BW28" s="606">
        <f t="shared" si="41"/>
        <v>0</v>
      </c>
      <c r="BX28" s="606">
        <f t="shared" si="41"/>
        <v>0</v>
      </c>
      <c r="BY28" s="499"/>
      <c r="BZ28" s="499"/>
      <c r="CA28" s="499"/>
      <c r="CB28" s="499"/>
      <c r="CC28" s="499"/>
      <c r="CD28" s="499"/>
      <c r="CE28" s="499"/>
      <c r="CF28" s="499"/>
      <c r="CG28" s="499"/>
      <c r="CH28" s="499"/>
      <c r="CI28" s="499"/>
      <c r="CJ28" s="499"/>
      <c r="CK28" s="499"/>
      <c r="CL28" s="499"/>
      <c r="CM28" s="499"/>
      <c r="CN28" s="499"/>
      <c r="CO28" s="499"/>
      <c r="CP28" s="499"/>
      <c r="CQ28" s="499"/>
      <c r="CR28" s="499"/>
      <c r="CS28" s="499"/>
      <c r="CT28" s="499"/>
      <c r="CU28" s="499"/>
      <c r="CV28" s="499"/>
      <c r="CW28" s="499"/>
      <c r="CX28" s="499"/>
      <c r="CY28" s="499"/>
      <c r="CZ28" s="499"/>
      <c r="DA28" s="499"/>
      <c r="DB28" s="499"/>
      <c r="DC28" s="499"/>
      <c r="DD28" s="499"/>
      <c r="DE28" s="499"/>
      <c r="DF28" s="499"/>
      <c r="DG28" s="499"/>
      <c r="DH28" s="499"/>
      <c r="DI28" s="499"/>
      <c r="DJ28" s="499"/>
      <c r="DK28" s="499"/>
      <c r="DL28" s="499"/>
      <c r="DM28" s="499"/>
      <c r="DN28" s="499"/>
      <c r="DO28" s="499"/>
      <c r="DP28" s="499"/>
      <c r="DQ28" s="499"/>
      <c r="DR28" s="499"/>
      <c r="DS28" s="499"/>
      <c r="DT28" s="499"/>
      <c r="DU28" s="499"/>
      <c r="DV28" s="499"/>
      <c r="DW28" s="499"/>
      <c r="DX28" s="499"/>
      <c r="DY28" s="499"/>
      <c r="DZ28" s="499"/>
      <c r="EA28" s="499"/>
      <c r="EB28" s="499"/>
      <c r="EC28" s="499"/>
      <c r="ED28" s="499"/>
      <c r="EE28" s="499"/>
      <c r="EF28" s="499"/>
      <c r="EG28" s="499"/>
      <c r="EH28" s="499"/>
      <c r="EI28" s="499"/>
      <c r="EJ28" s="499"/>
      <c r="EK28" s="499"/>
      <c r="EL28" s="499"/>
      <c r="EM28" s="499"/>
      <c r="EN28" s="499"/>
      <c r="EO28" s="499"/>
      <c r="EP28" s="499"/>
      <c r="EQ28" s="499"/>
      <c r="ER28" s="499"/>
      <c r="ES28" s="499"/>
      <c r="ET28" s="499"/>
      <c r="EU28" s="499"/>
      <c r="EV28" s="499"/>
      <c r="EW28" s="499"/>
      <c r="EX28" s="499"/>
      <c r="EY28" s="499"/>
      <c r="EZ28" s="499"/>
      <c r="FA28" s="499"/>
      <c r="FB28" s="499"/>
      <c r="FC28" s="499"/>
      <c r="FD28" s="499"/>
      <c r="FE28" s="499"/>
    </row>
    <row r="29" spans="1:161" x14ac:dyDescent="0.2">
      <c r="A29" s="900"/>
      <c r="B29" s="595"/>
      <c r="C29" s="607"/>
      <c r="D29" s="607"/>
      <c r="E29" s="589" t="s">
        <v>397</v>
      </c>
      <c r="F29" s="271"/>
      <c r="G29" s="272"/>
      <c r="H29" s="273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6"/>
      <c r="U29" s="276"/>
      <c r="V29" s="276"/>
      <c r="W29" s="276"/>
      <c r="X29" s="275"/>
      <c r="Y29" s="275"/>
      <c r="Z29" s="275"/>
      <c r="AA29" s="275"/>
      <c r="AB29" s="277"/>
      <c r="AC29" s="278"/>
      <c r="AD29" s="277"/>
      <c r="AE29" s="278"/>
      <c r="AF29" s="277"/>
      <c r="AG29" s="278"/>
      <c r="AH29" s="277"/>
      <c r="AI29" s="278"/>
      <c r="AJ29" s="277"/>
      <c r="AK29" s="278"/>
      <c r="AL29" s="277"/>
      <c r="AM29" s="278"/>
      <c r="AN29" s="277"/>
      <c r="AO29" s="278"/>
      <c r="AP29" s="277"/>
      <c r="AQ29" s="278"/>
      <c r="AR29" s="277"/>
      <c r="AS29" s="278"/>
      <c r="AT29" s="277"/>
      <c r="AU29" s="278"/>
      <c r="AV29" s="277"/>
      <c r="AW29" s="278"/>
      <c r="AX29" s="277"/>
      <c r="AY29" s="278"/>
      <c r="AZ29" s="277"/>
      <c r="BA29" s="278"/>
      <c r="BB29" s="277"/>
      <c r="BC29" s="278"/>
      <c r="BD29" s="277"/>
      <c r="BE29" s="278"/>
      <c r="BF29" s="277"/>
      <c r="BG29" s="278"/>
      <c r="BH29" s="277"/>
      <c r="BI29" s="278"/>
      <c r="BJ29" s="277"/>
      <c r="BK29" s="278"/>
      <c r="BL29" s="277"/>
      <c r="BM29" s="278"/>
      <c r="BN29" s="271"/>
      <c r="BP29" s="264">
        <f>I29</f>
        <v>0</v>
      </c>
      <c r="BQ29" s="264"/>
      <c r="BR29" s="264">
        <f>I29</f>
        <v>0</v>
      </c>
      <c r="BS29" s="264"/>
      <c r="BT29" s="264">
        <f t="shared" ref="BT29:BT54" si="42">BP29+BQ29+BR29+BS29</f>
        <v>0</v>
      </c>
      <c r="BU29" s="264"/>
      <c r="BV29" s="264"/>
      <c r="BW29" s="264">
        <f>BU29+BV29</f>
        <v>0</v>
      </c>
      <c r="BX29" s="280">
        <f t="shared" si="22"/>
        <v>0</v>
      </c>
    </row>
    <row r="30" spans="1:161" s="281" customFormat="1" x14ac:dyDescent="0.2">
      <c r="A30" s="900"/>
      <c r="B30" s="595"/>
      <c r="C30" s="268"/>
      <c r="D30" s="268"/>
      <c r="E30" s="270" t="s">
        <v>97</v>
      </c>
      <c r="F30" s="271" t="s">
        <v>93</v>
      </c>
      <c r="G30" s="272" t="s">
        <v>337</v>
      </c>
      <c r="H30" s="273">
        <f t="shared" ref="H30:I40" si="43">BL30</f>
        <v>0</v>
      </c>
      <c r="I30" s="273">
        <f t="shared" si="43"/>
        <v>0</v>
      </c>
      <c r="J30" s="275"/>
      <c r="K30" s="275"/>
      <c r="L30" s="275"/>
      <c r="M30" s="275"/>
      <c r="N30" s="275">
        <f>I30</f>
        <v>0</v>
      </c>
      <c r="O30" s="275"/>
      <c r="P30" s="275"/>
      <c r="Q30" s="275"/>
      <c r="R30" s="275"/>
      <c r="S30" s="275"/>
      <c r="T30" s="276">
        <f>H30*0.25</f>
        <v>0</v>
      </c>
      <c r="U30" s="276">
        <f>H30*0.25</f>
        <v>0</v>
      </c>
      <c r="V30" s="276">
        <f>H30*0.25</f>
        <v>0</v>
      </c>
      <c r="W30" s="276">
        <f>H30*0.25</f>
        <v>0</v>
      </c>
      <c r="X30" s="275">
        <f>T30*G30</f>
        <v>0</v>
      </c>
      <c r="Y30" s="275">
        <f>U30*G30</f>
        <v>0</v>
      </c>
      <c r="Z30" s="275">
        <f>V30*G30</f>
        <v>0</v>
      </c>
      <c r="AA30" s="275">
        <f>W30*G30</f>
        <v>0</v>
      </c>
      <c r="AB30" s="277">
        <v>0</v>
      </c>
      <c r="AC30" s="278">
        <f t="shared" si="2"/>
        <v>0</v>
      </c>
      <c r="AD30" s="277">
        <v>0</v>
      </c>
      <c r="AE30" s="278">
        <f t="shared" si="3"/>
        <v>0</v>
      </c>
      <c r="AF30" s="277">
        <v>0</v>
      </c>
      <c r="AG30" s="278">
        <f t="shared" si="4"/>
        <v>0</v>
      </c>
      <c r="AH30" s="277">
        <v>0</v>
      </c>
      <c r="AI30" s="278">
        <f t="shared" si="5"/>
        <v>0</v>
      </c>
      <c r="AJ30" s="277">
        <v>0</v>
      </c>
      <c r="AK30" s="278">
        <f t="shared" si="6"/>
        <v>0</v>
      </c>
      <c r="AL30" s="277">
        <v>0</v>
      </c>
      <c r="AM30" s="278">
        <f t="shared" si="7"/>
        <v>0</v>
      </c>
      <c r="AN30" s="277">
        <v>0</v>
      </c>
      <c r="AO30" s="278">
        <f t="shared" si="8"/>
        <v>0</v>
      </c>
      <c r="AP30" s="277">
        <v>0</v>
      </c>
      <c r="AQ30" s="278">
        <f t="shared" si="9"/>
        <v>0</v>
      </c>
      <c r="AR30" s="277">
        <v>0</v>
      </c>
      <c r="AS30" s="278">
        <f t="shared" si="10"/>
        <v>0</v>
      </c>
      <c r="AT30" s="277">
        <v>0</v>
      </c>
      <c r="AU30" s="278">
        <f t="shared" si="11"/>
        <v>0</v>
      </c>
      <c r="AV30" s="277">
        <v>0</v>
      </c>
      <c r="AW30" s="278">
        <f t="shared" si="12"/>
        <v>0</v>
      </c>
      <c r="AX30" s="277">
        <v>0</v>
      </c>
      <c r="AY30" s="278">
        <f>(AX30*G30)</f>
        <v>0</v>
      </c>
      <c r="AZ30" s="277">
        <v>0</v>
      </c>
      <c r="BA30" s="278">
        <f t="shared" si="14"/>
        <v>0</v>
      </c>
      <c r="BB30" s="277">
        <v>0</v>
      </c>
      <c r="BC30" s="278">
        <f t="shared" si="15"/>
        <v>0</v>
      </c>
      <c r="BD30" s="277">
        <v>0</v>
      </c>
      <c r="BE30" s="278">
        <f t="shared" si="16"/>
        <v>0</v>
      </c>
      <c r="BF30" s="277">
        <v>0</v>
      </c>
      <c r="BG30" s="278">
        <f t="shared" si="17"/>
        <v>0</v>
      </c>
      <c r="BH30" s="277">
        <v>0</v>
      </c>
      <c r="BI30" s="278">
        <f t="shared" ref="BI30:BI35" si="44">BH30*G30</f>
        <v>0</v>
      </c>
      <c r="BJ30" s="277"/>
      <c r="BK30" s="278">
        <f t="shared" ref="BK30:BK36" si="45">BJ30*G30</f>
        <v>0</v>
      </c>
      <c r="BL30" s="277">
        <v>0</v>
      </c>
      <c r="BM30" s="278">
        <f t="shared" ref="BM30:BM40" si="46">AC30+AE30+AG30+AI30+AK30+AM30+AO30+AQ30+AS30+AU30+AW30+AY30+BA30+BC30+BE30+BG30+BI30+BK30</f>
        <v>0</v>
      </c>
      <c r="BN30" s="271" t="s">
        <v>290</v>
      </c>
      <c r="BO30" s="279"/>
      <c r="BP30" s="264">
        <f>I30</f>
        <v>0</v>
      </c>
      <c r="BQ30" s="264"/>
      <c r="BR30" s="264"/>
      <c r="BS30" s="264"/>
      <c r="BT30" s="264">
        <f t="shared" si="42"/>
        <v>0</v>
      </c>
      <c r="BU30" s="264"/>
      <c r="BV30" s="264"/>
      <c r="BW30" s="264">
        <f>BU30+BV30</f>
        <v>0</v>
      </c>
      <c r="BX30" s="280">
        <f t="shared" si="22"/>
        <v>0</v>
      </c>
      <c r="BY30" s="279"/>
      <c r="BZ30" s="279"/>
      <c r="CA30" s="279"/>
      <c r="CB30" s="279"/>
      <c r="CC30" s="279"/>
      <c r="CD30" s="279"/>
      <c r="CE30" s="279"/>
      <c r="CF30" s="279"/>
      <c r="CG30" s="279"/>
      <c r="CH30" s="279"/>
      <c r="CI30" s="279"/>
      <c r="CJ30" s="279"/>
      <c r="CK30" s="279"/>
      <c r="CL30" s="279"/>
      <c r="CM30" s="279"/>
      <c r="CN30" s="279"/>
      <c r="CO30" s="279"/>
      <c r="CP30" s="279"/>
      <c r="CQ30" s="279"/>
      <c r="CR30" s="279"/>
      <c r="CS30" s="279"/>
      <c r="CT30" s="279"/>
      <c r="CU30" s="279"/>
      <c r="CV30" s="279"/>
      <c r="CW30" s="279"/>
      <c r="CX30" s="279"/>
      <c r="CY30" s="279"/>
      <c r="CZ30" s="279"/>
      <c r="DA30" s="279"/>
      <c r="DB30" s="279"/>
      <c r="DC30" s="279"/>
      <c r="DD30" s="279"/>
      <c r="DE30" s="279"/>
      <c r="DF30" s="279"/>
      <c r="DG30" s="279"/>
      <c r="DH30" s="279"/>
      <c r="DI30" s="279"/>
      <c r="DJ30" s="279"/>
      <c r="DK30" s="279"/>
      <c r="DL30" s="279"/>
      <c r="DM30" s="279"/>
      <c r="DN30" s="279"/>
      <c r="DO30" s="279"/>
      <c r="DP30" s="279"/>
      <c r="DQ30" s="279"/>
      <c r="DR30" s="279"/>
      <c r="DS30" s="279"/>
      <c r="DT30" s="279"/>
      <c r="DU30" s="279"/>
      <c r="DV30" s="279"/>
      <c r="DW30" s="279"/>
      <c r="DX30" s="279"/>
      <c r="DY30" s="279"/>
      <c r="DZ30" s="279"/>
      <c r="EA30" s="279"/>
      <c r="EB30" s="279"/>
      <c r="EC30" s="279"/>
      <c r="ED30" s="279"/>
      <c r="EE30" s="279"/>
      <c r="EF30" s="279"/>
      <c r="EG30" s="279"/>
      <c r="EH30" s="279"/>
      <c r="EI30" s="279"/>
      <c r="EJ30" s="279"/>
      <c r="EK30" s="279"/>
      <c r="EL30" s="279"/>
      <c r="EM30" s="279"/>
      <c r="EN30" s="279"/>
      <c r="EO30" s="279"/>
      <c r="EP30" s="279"/>
      <c r="EQ30" s="279"/>
      <c r="ER30" s="279"/>
      <c r="ES30" s="279"/>
      <c r="ET30" s="279"/>
      <c r="EU30" s="279"/>
      <c r="EV30" s="279"/>
      <c r="EW30" s="279"/>
      <c r="EX30" s="279"/>
      <c r="EY30" s="279"/>
      <c r="EZ30" s="279"/>
      <c r="FA30" s="279"/>
      <c r="FB30" s="279"/>
      <c r="FC30" s="279"/>
      <c r="FD30" s="279"/>
      <c r="FE30" s="279"/>
    </row>
    <row r="31" spans="1:161" s="281" customFormat="1" x14ac:dyDescent="0.2">
      <c r="A31" s="904"/>
      <c r="B31" s="267"/>
      <c r="C31" s="268"/>
      <c r="D31" s="268"/>
      <c r="E31" s="270" t="s">
        <v>535</v>
      </c>
      <c r="F31" s="271" t="s">
        <v>238</v>
      </c>
      <c r="G31" s="272">
        <v>15000</v>
      </c>
      <c r="H31" s="273">
        <f t="shared" si="43"/>
        <v>0</v>
      </c>
      <c r="I31" s="275">
        <f t="shared" ref="I31:I40" si="47">H31*G31</f>
        <v>0</v>
      </c>
      <c r="J31" s="275"/>
      <c r="K31" s="275"/>
      <c r="L31" s="275"/>
      <c r="M31" s="275"/>
      <c r="N31" s="275">
        <f>I31</f>
        <v>0</v>
      </c>
      <c r="O31" s="275"/>
      <c r="P31" s="275"/>
      <c r="Q31" s="275"/>
      <c r="R31" s="275"/>
      <c r="S31" s="275"/>
      <c r="T31" s="276">
        <f>H31*0.25</f>
        <v>0</v>
      </c>
      <c r="U31" s="276">
        <f>H31*0.25</f>
        <v>0</v>
      </c>
      <c r="V31" s="276">
        <f>H31*0.25</f>
        <v>0</v>
      </c>
      <c r="W31" s="276">
        <f>H31*0.25</f>
        <v>0</v>
      </c>
      <c r="X31" s="275">
        <f>T31*I31</f>
        <v>0</v>
      </c>
      <c r="Y31" s="275">
        <f>U31*I31</f>
        <v>0</v>
      </c>
      <c r="Z31" s="275">
        <f>V31*I31</f>
        <v>0</v>
      </c>
      <c r="AA31" s="275">
        <f>W31*I31</f>
        <v>0</v>
      </c>
      <c r="AB31" s="277">
        <v>0</v>
      </c>
      <c r="AC31" s="278">
        <f t="shared" si="2"/>
        <v>0</v>
      </c>
      <c r="AD31" s="277">
        <v>0</v>
      </c>
      <c r="AE31" s="278">
        <f t="shared" si="3"/>
        <v>0</v>
      </c>
      <c r="AF31" s="277">
        <v>0</v>
      </c>
      <c r="AG31" s="278">
        <f t="shared" si="4"/>
        <v>0</v>
      </c>
      <c r="AH31" s="277">
        <v>0</v>
      </c>
      <c r="AI31" s="278">
        <f t="shared" si="5"/>
        <v>0</v>
      </c>
      <c r="AJ31" s="277">
        <v>0</v>
      </c>
      <c r="AK31" s="278">
        <f t="shared" si="6"/>
        <v>0</v>
      </c>
      <c r="AL31" s="277">
        <v>0</v>
      </c>
      <c r="AM31" s="278">
        <f t="shared" si="7"/>
        <v>0</v>
      </c>
      <c r="AN31" s="277">
        <v>0</v>
      </c>
      <c r="AO31" s="278">
        <f t="shared" si="8"/>
        <v>0</v>
      </c>
      <c r="AP31" s="277">
        <v>0</v>
      </c>
      <c r="AQ31" s="278">
        <f t="shared" si="9"/>
        <v>0</v>
      </c>
      <c r="AR31" s="277">
        <v>0</v>
      </c>
      <c r="AS31" s="278">
        <f t="shared" si="10"/>
        <v>0</v>
      </c>
      <c r="AT31" s="277">
        <v>0</v>
      </c>
      <c r="AU31" s="278">
        <f t="shared" si="11"/>
        <v>0</v>
      </c>
      <c r="AV31" s="277">
        <v>0</v>
      </c>
      <c r="AW31" s="278">
        <f t="shared" si="12"/>
        <v>0</v>
      </c>
      <c r="AX31" s="277">
        <v>0</v>
      </c>
      <c r="AY31" s="278">
        <f t="shared" si="13"/>
        <v>0</v>
      </c>
      <c r="AZ31" s="277">
        <v>0</v>
      </c>
      <c r="BA31" s="278">
        <f t="shared" si="14"/>
        <v>0</v>
      </c>
      <c r="BB31" s="277">
        <v>0</v>
      </c>
      <c r="BC31" s="278">
        <f t="shared" si="15"/>
        <v>0</v>
      </c>
      <c r="BD31" s="277">
        <v>0</v>
      </c>
      <c r="BE31" s="278">
        <f t="shared" si="16"/>
        <v>0</v>
      </c>
      <c r="BF31" s="277">
        <v>0</v>
      </c>
      <c r="BG31" s="278">
        <f t="shared" si="17"/>
        <v>0</v>
      </c>
      <c r="BH31" s="277">
        <v>0</v>
      </c>
      <c r="BI31" s="278">
        <f t="shared" si="44"/>
        <v>0</v>
      </c>
      <c r="BJ31" s="277">
        <v>0</v>
      </c>
      <c r="BK31" s="278">
        <f t="shared" si="45"/>
        <v>0</v>
      </c>
      <c r="BL31" s="277">
        <f t="shared" ref="BL31:BL40" si="48">AB31+AD31+AF31+AH31+AJ31+AL31+AN31+AP31+AR31+AT31+AV31+AX31+AZ31+BB31+BD31+BF31+BH31+BJ31</f>
        <v>0</v>
      </c>
      <c r="BM31" s="278">
        <f t="shared" si="46"/>
        <v>0</v>
      </c>
      <c r="BN31" s="271" t="s">
        <v>290</v>
      </c>
      <c r="BO31" s="279"/>
      <c r="BP31" s="264"/>
      <c r="BQ31" s="264">
        <f>BM31</f>
        <v>0</v>
      </c>
      <c r="BR31" s="264"/>
      <c r="BS31" s="264"/>
      <c r="BT31" s="264">
        <f t="shared" si="42"/>
        <v>0</v>
      </c>
      <c r="BU31" s="264"/>
      <c r="BV31" s="264"/>
      <c r="BW31" s="264">
        <f>BU31+BV31</f>
        <v>0</v>
      </c>
      <c r="BX31" s="280">
        <f t="shared" si="22"/>
        <v>0</v>
      </c>
      <c r="BY31" s="279"/>
      <c r="BZ31" s="279"/>
      <c r="CA31" s="279"/>
      <c r="CB31" s="279"/>
      <c r="CC31" s="279"/>
      <c r="CD31" s="279"/>
      <c r="CE31" s="279"/>
      <c r="CF31" s="279"/>
      <c r="CG31" s="279"/>
      <c r="CH31" s="279"/>
      <c r="CI31" s="279"/>
      <c r="CJ31" s="279"/>
      <c r="CK31" s="279"/>
      <c r="CL31" s="279"/>
      <c r="CM31" s="279"/>
      <c r="CN31" s="279"/>
      <c r="CO31" s="279"/>
      <c r="CP31" s="279"/>
      <c r="CQ31" s="279"/>
      <c r="CR31" s="279"/>
      <c r="CS31" s="279"/>
      <c r="CT31" s="279"/>
      <c r="CU31" s="279"/>
      <c r="CV31" s="279"/>
      <c r="CW31" s="279"/>
      <c r="CX31" s="279"/>
      <c r="CY31" s="279"/>
      <c r="CZ31" s="279"/>
      <c r="DA31" s="279"/>
      <c r="DB31" s="279"/>
      <c r="DC31" s="279"/>
      <c r="DD31" s="279"/>
      <c r="DE31" s="279"/>
      <c r="DF31" s="279"/>
      <c r="DG31" s="279"/>
      <c r="DH31" s="279"/>
      <c r="DI31" s="279"/>
      <c r="DJ31" s="279"/>
      <c r="DK31" s="279"/>
      <c r="DL31" s="279"/>
      <c r="DM31" s="279"/>
      <c r="DN31" s="279"/>
      <c r="DO31" s="279"/>
      <c r="DP31" s="279"/>
      <c r="DQ31" s="279"/>
      <c r="DR31" s="279"/>
      <c r="DS31" s="279"/>
      <c r="DT31" s="279"/>
      <c r="DU31" s="279"/>
      <c r="DV31" s="279"/>
      <c r="DW31" s="279"/>
      <c r="DX31" s="279"/>
      <c r="DY31" s="279"/>
      <c r="DZ31" s="279"/>
      <c r="EA31" s="279"/>
      <c r="EB31" s="279"/>
      <c r="EC31" s="279"/>
      <c r="ED31" s="279"/>
      <c r="EE31" s="279"/>
      <c r="EF31" s="279"/>
      <c r="EG31" s="279"/>
      <c r="EH31" s="279"/>
      <c r="EI31" s="279"/>
      <c r="EJ31" s="279"/>
      <c r="EK31" s="279"/>
      <c r="EL31" s="279"/>
      <c r="EM31" s="279"/>
      <c r="EN31" s="279"/>
      <c r="EO31" s="279"/>
      <c r="EP31" s="279"/>
      <c r="EQ31" s="279"/>
      <c r="ER31" s="279"/>
      <c r="ES31" s="279"/>
      <c r="ET31" s="279"/>
      <c r="EU31" s="279"/>
      <c r="EV31" s="279"/>
      <c r="EW31" s="279"/>
      <c r="EX31" s="279"/>
      <c r="EY31" s="279"/>
      <c r="EZ31" s="279"/>
      <c r="FA31" s="279"/>
      <c r="FB31" s="279"/>
      <c r="FC31" s="279"/>
      <c r="FD31" s="279"/>
      <c r="FE31" s="279"/>
    </row>
    <row r="32" spans="1:161" s="281" customFormat="1" x14ac:dyDescent="0.2">
      <c r="A32" s="904"/>
      <c r="B32" s="267"/>
      <c r="C32" s="268"/>
      <c r="D32" s="269" t="s">
        <v>1169</v>
      </c>
      <c r="E32" s="744" t="s">
        <v>1252</v>
      </c>
      <c r="F32" s="271" t="s">
        <v>630</v>
      </c>
      <c r="G32" s="272">
        <v>1100000</v>
      </c>
      <c r="H32" s="273">
        <f t="shared" ref="H32" si="49">BL32</f>
        <v>17</v>
      </c>
      <c r="I32" s="274">
        <f t="shared" ref="I32" si="50">BM32</f>
        <v>18700000</v>
      </c>
      <c r="J32" s="275">
        <f>I32*0.2</f>
        <v>3740000</v>
      </c>
      <c r="K32" s="275">
        <f>I32*0.8</f>
        <v>14960000</v>
      </c>
      <c r="L32" s="275"/>
      <c r="M32" s="275"/>
      <c r="N32" s="275"/>
      <c r="O32" s="275"/>
      <c r="P32" s="275"/>
      <c r="Q32" s="275"/>
      <c r="R32" s="275"/>
      <c r="S32" s="275"/>
      <c r="T32" s="276">
        <v>17</v>
      </c>
      <c r="U32" s="276">
        <v>0</v>
      </c>
      <c r="V32" s="276">
        <v>0</v>
      </c>
      <c r="W32" s="276">
        <v>0</v>
      </c>
      <c r="X32" s="275">
        <f>T32*G32</f>
        <v>18700000</v>
      </c>
      <c r="Y32" s="275">
        <f>U32*G32</f>
        <v>0</v>
      </c>
      <c r="Z32" s="275">
        <f>V32*G32</f>
        <v>0</v>
      </c>
      <c r="AA32" s="275">
        <f>W32*G32</f>
        <v>0</v>
      </c>
      <c r="AB32" s="277">
        <v>1</v>
      </c>
      <c r="AC32" s="278">
        <f t="shared" ref="AC32" si="51">AB32*G32</f>
        <v>1100000</v>
      </c>
      <c r="AD32" s="277">
        <v>1</v>
      </c>
      <c r="AE32" s="278">
        <f t="shared" ref="AE32" si="52">AD32*G32</f>
        <v>1100000</v>
      </c>
      <c r="AF32" s="277">
        <v>1</v>
      </c>
      <c r="AG32" s="278">
        <f t="shared" ref="AG32" si="53">AF32*G32</f>
        <v>1100000</v>
      </c>
      <c r="AH32" s="277">
        <v>1</v>
      </c>
      <c r="AI32" s="278">
        <f t="shared" ref="AI32" si="54">AH32*G32</f>
        <v>1100000</v>
      </c>
      <c r="AJ32" s="277">
        <v>1</v>
      </c>
      <c r="AK32" s="278">
        <f t="shared" ref="AK32" si="55">AJ32*G32</f>
        <v>1100000</v>
      </c>
      <c r="AL32" s="277">
        <v>1</v>
      </c>
      <c r="AM32" s="278">
        <f t="shared" ref="AM32" si="56">AL32*G32</f>
        <v>1100000</v>
      </c>
      <c r="AN32" s="277">
        <v>1</v>
      </c>
      <c r="AO32" s="278">
        <f t="shared" ref="AO32" si="57">AN32*G32</f>
        <v>1100000</v>
      </c>
      <c r="AP32" s="277">
        <v>1</v>
      </c>
      <c r="AQ32" s="278">
        <f t="shared" ref="AQ32" si="58">AP32*G32</f>
        <v>1100000</v>
      </c>
      <c r="AR32" s="277">
        <v>1</v>
      </c>
      <c r="AS32" s="278">
        <f t="shared" ref="AS32" si="59">AR32*G32</f>
        <v>1100000</v>
      </c>
      <c r="AT32" s="277">
        <v>1</v>
      </c>
      <c r="AU32" s="278">
        <f t="shared" ref="AU32" si="60">AT32*G32</f>
        <v>1100000</v>
      </c>
      <c r="AV32" s="277">
        <v>1</v>
      </c>
      <c r="AW32" s="278">
        <f t="shared" ref="AW32" si="61">AV32*G32</f>
        <v>1100000</v>
      </c>
      <c r="AX32" s="277">
        <v>1</v>
      </c>
      <c r="AY32" s="278">
        <f t="shared" ref="AY32" si="62">AX32*G32</f>
        <v>1100000</v>
      </c>
      <c r="AZ32" s="277">
        <v>1</v>
      </c>
      <c r="BA32" s="278">
        <f t="shared" ref="BA32" si="63">AZ32*G32</f>
        <v>1100000</v>
      </c>
      <c r="BB32" s="277">
        <v>1</v>
      </c>
      <c r="BC32" s="278">
        <f t="shared" ref="BC32" si="64">BB32*G32</f>
        <v>1100000</v>
      </c>
      <c r="BD32" s="277">
        <v>1</v>
      </c>
      <c r="BE32" s="278">
        <f t="shared" ref="BE32" si="65">BD32*G32</f>
        <v>1100000</v>
      </c>
      <c r="BF32" s="277">
        <v>1</v>
      </c>
      <c r="BG32" s="278">
        <f t="shared" ref="BG32" si="66">BF32*G32</f>
        <v>1100000</v>
      </c>
      <c r="BH32" s="277">
        <v>1</v>
      </c>
      <c r="BI32" s="278">
        <f t="shared" si="44"/>
        <v>1100000</v>
      </c>
      <c r="BJ32" s="277">
        <v>0</v>
      </c>
      <c r="BK32" s="278">
        <f t="shared" si="45"/>
        <v>0</v>
      </c>
      <c r="BL32" s="277">
        <f t="shared" ref="BL32" si="67">AB32+AD32+AF32+AH32+AJ32+AL32+AN32+AP32+AR32+AT32+AV32+AX32+AZ32+BB32+BD32+BF32+BH32+BJ32</f>
        <v>17</v>
      </c>
      <c r="BM32" s="278">
        <f t="shared" ref="BM32" si="68">AC32+AE32+AG32+AI32+AK32+AM32+AO32+AQ32+AS32+AU32+AW32+AY32+BA32+BC32+BE32+BG32+BI32+BK32</f>
        <v>18700000</v>
      </c>
      <c r="BN32" s="271" t="s">
        <v>543</v>
      </c>
      <c r="BO32" s="279"/>
      <c r="BP32" s="264"/>
      <c r="BQ32" s="264"/>
      <c r="BR32" s="264">
        <f>BM32</f>
        <v>18700000</v>
      </c>
      <c r="BS32" s="264"/>
      <c r="BT32" s="264">
        <f t="shared" ref="BT32:BT33" si="69">BP32+BQ32+BR32+BS32</f>
        <v>18700000</v>
      </c>
      <c r="BU32" s="264"/>
      <c r="BV32" s="264"/>
      <c r="BW32" s="264">
        <f>BU32+BV32</f>
        <v>0</v>
      </c>
      <c r="BX32" s="280">
        <f t="shared" ref="BX32:BX33" si="70">BT32+BW32</f>
        <v>18700000</v>
      </c>
      <c r="BY32" s="279"/>
      <c r="BZ32" s="279"/>
      <c r="CA32" s="279"/>
      <c r="CB32" s="279"/>
      <c r="CC32" s="279"/>
      <c r="CD32" s="279"/>
      <c r="CE32" s="279"/>
      <c r="CF32" s="279"/>
      <c r="CG32" s="279"/>
      <c r="CH32" s="279"/>
      <c r="CI32" s="279"/>
      <c r="CJ32" s="279"/>
      <c r="CK32" s="279"/>
      <c r="CL32" s="279"/>
      <c r="CM32" s="279"/>
      <c r="CN32" s="279"/>
      <c r="CO32" s="279"/>
      <c r="CP32" s="279"/>
      <c r="CQ32" s="279"/>
      <c r="CR32" s="279"/>
      <c r="CS32" s="279"/>
      <c r="CT32" s="279"/>
      <c r="CU32" s="279"/>
      <c r="CV32" s="279"/>
      <c r="CW32" s="279"/>
      <c r="CX32" s="279"/>
      <c r="CY32" s="279"/>
      <c r="CZ32" s="279"/>
      <c r="DA32" s="279"/>
      <c r="DB32" s="279"/>
      <c r="DC32" s="279"/>
      <c r="DD32" s="279"/>
      <c r="DE32" s="279"/>
      <c r="DF32" s="279"/>
      <c r="DG32" s="279"/>
      <c r="DH32" s="279"/>
      <c r="DI32" s="279"/>
      <c r="DJ32" s="279"/>
      <c r="DK32" s="279"/>
      <c r="DL32" s="279"/>
      <c r="DM32" s="279"/>
      <c r="DN32" s="279"/>
      <c r="DO32" s="279"/>
      <c r="DP32" s="279"/>
      <c r="DQ32" s="279"/>
      <c r="DR32" s="279"/>
      <c r="DS32" s="279"/>
      <c r="DT32" s="279"/>
      <c r="DU32" s="279"/>
      <c r="DV32" s="279"/>
      <c r="DW32" s="279"/>
      <c r="DX32" s="279"/>
      <c r="DY32" s="279"/>
      <c r="DZ32" s="279"/>
      <c r="EA32" s="279"/>
      <c r="EB32" s="279"/>
      <c r="EC32" s="279"/>
      <c r="ED32" s="279"/>
      <c r="EE32" s="279"/>
      <c r="EF32" s="279"/>
      <c r="EG32" s="279"/>
      <c r="EH32" s="279"/>
      <c r="EI32" s="279"/>
      <c r="EJ32" s="279"/>
      <c r="EK32" s="279"/>
      <c r="EL32" s="279"/>
      <c r="EM32" s="279"/>
      <c r="EN32" s="279"/>
      <c r="EO32" s="279"/>
      <c r="EP32" s="279"/>
      <c r="EQ32" s="279"/>
      <c r="ER32" s="279"/>
      <c r="ES32" s="279"/>
      <c r="ET32" s="279"/>
      <c r="EU32" s="279"/>
      <c r="EV32" s="279"/>
      <c r="EW32" s="279"/>
      <c r="EX32" s="279"/>
      <c r="EY32" s="279"/>
      <c r="EZ32" s="279"/>
      <c r="FA32" s="279"/>
      <c r="FB32" s="279"/>
      <c r="FC32" s="279"/>
      <c r="FD32" s="279"/>
      <c r="FE32" s="279"/>
    </row>
    <row r="33" spans="1:161" s="281" customFormat="1" x14ac:dyDescent="0.2">
      <c r="A33" s="904"/>
      <c r="B33" s="267"/>
      <c r="C33" s="268"/>
      <c r="D33" s="268"/>
      <c r="E33" s="270" t="s">
        <v>853</v>
      </c>
      <c r="F33" s="271"/>
      <c r="G33" s="272">
        <v>350000</v>
      </c>
      <c r="H33" s="273">
        <f t="shared" si="43"/>
        <v>0</v>
      </c>
      <c r="I33" s="273">
        <f t="shared" si="43"/>
        <v>0</v>
      </c>
      <c r="J33" s="275"/>
      <c r="K33" s="275"/>
      <c r="L33" s="275"/>
      <c r="M33" s="275"/>
      <c r="N33" s="275">
        <f>I33</f>
        <v>0</v>
      </c>
      <c r="O33" s="275"/>
      <c r="P33" s="275"/>
      <c r="Q33" s="275"/>
      <c r="R33" s="275"/>
      <c r="S33" s="275"/>
      <c r="T33" s="276"/>
      <c r="U33" s="276"/>
      <c r="V33" s="276">
        <v>1</v>
      </c>
      <c r="W33" s="276"/>
      <c r="X33" s="275">
        <f>T33*I33</f>
        <v>0</v>
      </c>
      <c r="Y33" s="275">
        <f>U33*I33</f>
        <v>0</v>
      </c>
      <c r="Z33" s="275">
        <f>V33*I33</f>
        <v>0</v>
      </c>
      <c r="AA33" s="275">
        <f>W33*I33</f>
        <v>0</v>
      </c>
      <c r="AB33" s="277">
        <v>0</v>
      </c>
      <c r="AC33" s="278">
        <f t="shared" si="2"/>
        <v>0</v>
      </c>
      <c r="AD33" s="277">
        <v>0</v>
      </c>
      <c r="AE33" s="278">
        <f t="shared" si="3"/>
        <v>0</v>
      </c>
      <c r="AF33" s="277">
        <v>0</v>
      </c>
      <c r="AG33" s="278">
        <f t="shared" si="4"/>
        <v>0</v>
      </c>
      <c r="AH33" s="277">
        <v>0</v>
      </c>
      <c r="AI33" s="278">
        <f t="shared" si="5"/>
        <v>0</v>
      </c>
      <c r="AJ33" s="277">
        <v>0</v>
      </c>
      <c r="AK33" s="278">
        <f t="shared" si="6"/>
        <v>0</v>
      </c>
      <c r="AL33" s="277">
        <v>0</v>
      </c>
      <c r="AM33" s="278">
        <f t="shared" si="7"/>
        <v>0</v>
      </c>
      <c r="AN33" s="277">
        <v>0</v>
      </c>
      <c r="AO33" s="278">
        <v>0</v>
      </c>
      <c r="AP33" s="277">
        <v>0</v>
      </c>
      <c r="AQ33" s="278"/>
      <c r="AR33" s="277">
        <v>0</v>
      </c>
      <c r="AS33" s="278">
        <f t="shared" si="10"/>
        <v>0</v>
      </c>
      <c r="AT33" s="277">
        <v>0</v>
      </c>
      <c r="AU33" s="278">
        <f t="shared" si="11"/>
        <v>0</v>
      </c>
      <c r="AV33" s="277">
        <v>0</v>
      </c>
      <c r="AW33" s="278">
        <f t="shared" si="12"/>
        <v>0</v>
      </c>
      <c r="AX33" s="277">
        <v>0</v>
      </c>
      <c r="AY33" s="278">
        <f t="shared" si="13"/>
        <v>0</v>
      </c>
      <c r="AZ33" s="277">
        <v>0</v>
      </c>
      <c r="BA33" s="278">
        <f t="shared" si="14"/>
        <v>0</v>
      </c>
      <c r="BB33" s="277">
        <v>0</v>
      </c>
      <c r="BC33" s="278">
        <f t="shared" si="15"/>
        <v>0</v>
      </c>
      <c r="BD33" s="277">
        <v>0</v>
      </c>
      <c r="BE33" s="278">
        <f t="shared" si="16"/>
        <v>0</v>
      </c>
      <c r="BF33" s="277">
        <v>0</v>
      </c>
      <c r="BG33" s="278">
        <f t="shared" si="17"/>
        <v>0</v>
      </c>
      <c r="BH33" s="277">
        <v>0</v>
      </c>
      <c r="BI33" s="278">
        <f t="shared" si="44"/>
        <v>0</v>
      </c>
      <c r="BJ33" s="277">
        <v>0</v>
      </c>
      <c r="BK33" s="278">
        <f t="shared" si="45"/>
        <v>0</v>
      </c>
      <c r="BL33" s="277">
        <f t="shared" si="48"/>
        <v>0</v>
      </c>
      <c r="BM33" s="278">
        <f t="shared" si="46"/>
        <v>0</v>
      </c>
      <c r="BN33" s="271" t="s">
        <v>290</v>
      </c>
      <c r="BO33" s="279"/>
      <c r="BP33" s="264"/>
      <c r="BQ33" s="264"/>
      <c r="BR33" s="264">
        <f>BM33</f>
        <v>0</v>
      </c>
      <c r="BS33" s="264"/>
      <c r="BT33" s="264">
        <f t="shared" si="69"/>
        <v>0</v>
      </c>
      <c r="BU33" s="264"/>
      <c r="BV33" s="264"/>
      <c r="BW33" s="264"/>
      <c r="BX33" s="280">
        <f t="shared" si="70"/>
        <v>0</v>
      </c>
      <c r="BY33" s="279"/>
      <c r="BZ33" s="279"/>
      <c r="CA33" s="279"/>
      <c r="CB33" s="279"/>
      <c r="CC33" s="279"/>
      <c r="CD33" s="279"/>
      <c r="CE33" s="279"/>
      <c r="CF33" s="279"/>
      <c r="CG33" s="279"/>
      <c r="CH33" s="279"/>
      <c r="CI33" s="279"/>
      <c r="CJ33" s="279"/>
      <c r="CK33" s="279"/>
      <c r="CL33" s="279"/>
      <c r="CM33" s="279"/>
      <c r="CN33" s="279"/>
      <c r="CO33" s="279"/>
      <c r="CP33" s="279"/>
      <c r="CQ33" s="279"/>
      <c r="CR33" s="279"/>
      <c r="CS33" s="279"/>
      <c r="CT33" s="279"/>
      <c r="CU33" s="279"/>
      <c r="CV33" s="279"/>
      <c r="CW33" s="279"/>
      <c r="CX33" s="279"/>
      <c r="CY33" s="279"/>
      <c r="CZ33" s="279"/>
      <c r="DA33" s="279"/>
      <c r="DB33" s="279"/>
      <c r="DC33" s="279"/>
      <c r="DD33" s="279"/>
      <c r="DE33" s="279"/>
      <c r="DF33" s="279"/>
      <c r="DG33" s="279"/>
      <c r="DH33" s="279"/>
      <c r="DI33" s="279"/>
      <c r="DJ33" s="279"/>
      <c r="DK33" s="279"/>
      <c r="DL33" s="279"/>
      <c r="DM33" s="279"/>
      <c r="DN33" s="279"/>
      <c r="DO33" s="279"/>
      <c r="DP33" s="279"/>
      <c r="DQ33" s="279"/>
      <c r="DR33" s="279"/>
      <c r="DS33" s="279"/>
      <c r="DT33" s="279"/>
      <c r="DU33" s="279"/>
      <c r="DV33" s="279"/>
      <c r="DW33" s="279"/>
      <c r="DX33" s="279"/>
      <c r="DY33" s="279"/>
      <c r="DZ33" s="279"/>
      <c r="EA33" s="279"/>
      <c r="EB33" s="279"/>
      <c r="EC33" s="279"/>
      <c r="ED33" s="279"/>
      <c r="EE33" s="279"/>
      <c r="EF33" s="279"/>
      <c r="EG33" s="279"/>
      <c r="EH33" s="279"/>
      <c r="EI33" s="279"/>
      <c r="EJ33" s="279"/>
      <c r="EK33" s="279"/>
      <c r="EL33" s="279"/>
      <c r="EM33" s="279"/>
      <c r="EN33" s="279"/>
      <c r="EO33" s="279"/>
      <c r="EP33" s="279"/>
      <c r="EQ33" s="279"/>
      <c r="ER33" s="279"/>
      <c r="ES33" s="279"/>
      <c r="ET33" s="279"/>
      <c r="EU33" s="279"/>
      <c r="EV33" s="279"/>
      <c r="EW33" s="279"/>
      <c r="EX33" s="279"/>
      <c r="EY33" s="279"/>
      <c r="EZ33" s="279"/>
      <c r="FA33" s="279"/>
      <c r="FB33" s="279"/>
      <c r="FC33" s="279"/>
      <c r="FD33" s="279"/>
      <c r="FE33" s="279"/>
    </row>
    <row r="34" spans="1:161" s="281" customFormat="1" x14ac:dyDescent="0.2">
      <c r="A34" s="904"/>
      <c r="B34" s="267"/>
      <c r="C34" s="268" t="s">
        <v>928</v>
      </c>
      <c r="D34" s="268"/>
      <c r="E34" s="270" t="s">
        <v>1154</v>
      </c>
      <c r="F34" s="271" t="s">
        <v>16</v>
      </c>
      <c r="G34" s="272">
        <v>0</v>
      </c>
      <c r="H34" s="273">
        <f t="shared" ref="H34" si="71">BL34</f>
        <v>1</v>
      </c>
      <c r="I34" s="273">
        <f t="shared" ref="I34" si="72">BM34</f>
        <v>0</v>
      </c>
      <c r="J34" s="275"/>
      <c r="K34" s="275"/>
      <c r="L34" s="275"/>
      <c r="M34" s="275"/>
      <c r="N34" s="275">
        <f>I34</f>
        <v>0</v>
      </c>
      <c r="O34" s="275"/>
      <c r="P34" s="275"/>
      <c r="Q34" s="275"/>
      <c r="R34" s="275"/>
      <c r="S34" s="275"/>
      <c r="T34" s="276"/>
      <c r="U34" s="276"/>
      <c r="V34" s="276">
        <v>1</v>
      </c>
      <c r="W34" s="276"/>
      <c r="X34" s="275">
        <f>T34*I34</f>
        <v>0</v>
      </c>
      <c r="Y34" s="275">
        <f>U34*I34</f>
        <v>0</v>
      </c>
      <c r="Z34" s="275">
        <f>V34*I34</f>
        <v>0</v>
      </c>
      <c r="AA34" s="275">
        <f>W34*I34</f>
        <v>0</v>
      </c>
      <c r="AB34" s="277">
        <v>0</v>
      </c>
      <c r="AC34" s="278">
        <f t="shared" ref="AC34" si="73">AB34*G34</f>
        <v>0</v>
      </c>
      <c r="AD34" s="277">
        <v>0</v>
      </c>
      <c r="AE34" s="278">
        <f t="shared" ref="AE34" si="74">AD34*G34</f>
        <v>0</v>
      </c>
      <c r="AF34" s="277">
        <v>0</v>
      </c>
      <c r="AG34" s="278">
        <f t="shared" ref="AG34" si="75">AF34*G34</f>
        <v>0</v>
      </c>
      <c r="AH34" s="277">
        <v>0</v>
      </c>
      <c r="AI34" s="278">
        <f t="shared" ref="AI34" si="76">AH34*G34</f>
        <v>0</v>
      </c>
      <c r="AJ34" s="277">
        <v>0</v>
      </c>
      <c r="AK34" s="278">
        <f t="shared" ref="AK34" si="77">AJ34*G34</f>
        <v>0</v>
      </c>
      <c r="AL34" s="277">
        <v>0</v>
      </c>
      <c r="AM34" s="278">
        <f t="shared" ref="AM34" si="78">AL34*G34</f>
        <v>0</v>
      </c>
      <c r="AN34" s="277">
        <v>0</v>
      </c>
      <c r="AO34" s="278">
        <v>0</v>
      </c>
      <c r="AP34" s="277">
        <v>0</v>
      </c>
      <c r="AQ34" s="278"/>
      <c r="AR34" s="277">
        <v>0</v>
      </c>
      <c r="AS34" s="278">
        <f t="shared" ref="AS34" si="79">AR34*G34</f>
        <v>0</v>
      </c>
      <c r="AT34" s="277">
        <v>0</v>
      </c>
      <c r="AU34" s="278">
        <f t="shared" ref="AU34" si="80">AT34*G34</f>
        <v>0</v>
      </c>
      <c r="AV34" s="277">
        <v>0</v>
      </c>
      <c r="AW34" s="278">
        <f t="shared" ref="AW34" si="81">AV34*G34</f>
        <v>0</v>
      </c>
      <c r="AX34" s="277">
        <v>0</v>
      </c>
      <c r="AY34" s="278">
        <f t="shared" ref="AY34" si="82">AX34*G34</f>
        <v>0</v>
      </c>
      <c r="AZ34" s="277">
        <v>0</v>
      </c>
      <c r="BA34" s="278">
        <f t="shared" ref="BA34" si="83">AZ34*G34</f>
        <v>0</v>
      </c>
      <c r="BB34" s="277">
        <v>0</v>
      </c>
      <c r="BC34" s="278">
        <f t="shared" ref="BC34" si="84">BB34*G34</f>
        <v>0</v>
      </c>
      <c r="BD34" s="277">
        <v>0</v>
      </c>
      <c r="BE34" s="278">
        <f t="shared" ref="BE34" si="85">BD34*G34</f>
        <v>0</v>
      </c>
      <c r="BF34" s="277">
        <v>0</v>
      </c>
      <c r="BG34" s="278">
        <f t="shared" ref="BG34" si="86">BF34*G34</f>
        <v>0</v>
      </c>
      <c r="BH34" s="277">
        <v>0</v>
      </c>
      <c r="BI34" s="278">
        <f t="shared" si="44"/>
        <v>0</v>
      </c>
      <c r="BJ34" s="277">
        <v>1</v>
      </c>
      <c r="BK34" s="278">
        <f t="shared" si="45"/>
        <v>0</v>
      </c>
      <c r="BL34" s="277">
        <f t="shared" ref="BL34" si="87">AB34+AD34+AF34+AH34+AJ34+AL34+AN34+AP34+AR34+AT34+AV34+AX34+AZ34+BB34+BD34+BF34+BH34+BJ34</f>
        <v>1</v>
      </c>
      <c r="BM34" s="278">
        <f t="shared" ref="BM34" si="88">AC34+AE34+AG34+AI34+AK34+AM34+AO34+AQ34+AS34+AU34+AW34+AY34+BA34+BC34+BE34+BG34+BI34+BK34</f>
        <v>0</v>
      </c>
      <c r="BN34" s="271" t="s">
        <v>290</v>
      </c>
      <c r="BO34" s="279"/>
      <c r="BP34" s="264"/>
      <c r="BQ34" s="264"/>
      <c r="BR34" s="264">
        <f>BM34</f>
        <v>0</v>
      </c>
      <c r="BS34" s="264"/>
      <c r="BT34" s="264">
        <f t="shared" ref="BT34" si="89">BP34+BQ34+BR34+BS34</f>
        <v>0</v>
      </c>
      <c r="BU34" s="264"/>
      <c r="BV34" s="264"/>
      <c r="BW34" s="264"/>
      <c r="BX34" s="280">
        <f t="shared" ref="BX34" si="90">BT34+BW34</f>
        <v>0</v>
      </c>
      <c r="BY34" s="279"/>
      <c r="BZ34" s="279"/>
      <c r="CA34" s="279"/>
      <c r="CB34" s="279"/>
      <c r="CC34" s="279"/>
      <c r="CD34" s="279"/>
      <c r="CE34" s="279"/>
      <c r="CF34" s="279"/>
      <c r="CG34" s="279"/>
      <c r="CH34" s="279"/>
      <c r="CI34" s="279"/>
      <c r="CJ34" s="279"/>
      <c r="CK34" s="279"/>
      <c r="CL34" s="279"/>
      <c r="CM34" s="279"/>
      <c r="CN34" s="279"/>
      <c r="CO34" s="279"/>
      <c r="CP34" s="279"/>
      <c r="CQ34" s="279"/>
      <c r="CR34" s="279"/>
      <c r="CS34" s="279"/>
      <c r="CT34" s="279"/>
      <c r="CU34" s="279"/>
      <c r="CV34" s="279"/>
      <c r="CW34" s="279"/>
      <c r="CX34" s="279"/>
      <c r="CY34" s="279"/>
      <c r="CZ34" s="279"/>
      <c r="DA34" s="279"/>
      <c r="DB34" s="279"/>
      <c r="DC34" s="279"/>
      <c r="DD34" s="279"/>
      <c r="DE34" s="279"/>
      <c r="DF34" s="279"/>
      <c r="DG34" s="279"/>
      <c r="DH34" s="279"/>
      <c r="DI34" s="279"/>
      <c r="DJ34" s="279"/>
      <c r="DK34" s="279"/>
      <c r="DL34" s="279"/>
      <c r="DM34" s="279"/>
      <c r="DN34" s="279"/>
      <c r="DO34" s="279"/>
      <c r="DP34" s="279"/>
      <c r="DQ34" s="279"/>
      <c r="DR34" s="279"/>
      <c r="DS34" s="279"/>
      <c r="DT34" s="279"/>
      <c r="DU34" s="279"/>
      <c r="DV34" s="279"/>
      <c r="DW34" s="279"/>
      <c r="DX34" s="279"/>
      <c r="DY34" s="279"/>
      <c r="DZ34" s="279"/>
      <c r="EA34" s="279"/>
      <c r="EB34" s="279"/>
      <c r="EC34" s="279"/>
      <c r="ED34" s="279"/>
      <c r="EE34" s="279"/>
      <c r="EF34" s="279"/>
      <c r="EG34" s="279"/>
      <c r="EH34" s="279"/>
      <c r="EI34" s="279"/>
      <c r="EJ34" s="279"/>
      <c r="EK34" s="279"/>
      <c r="EL34" s="279"/>
      <c r="EM34" s="279"/>
      <c r="EN34" s="279"/>
      <c r="EO34" s="279"/>
      <c r="EP34" s="279"/>
      <c r="EQ34" s="279"/>
      <c r="ER34" s="279"/>
      <c r="ES34" s="279"/>
      <c r="ET34" s="279"/>
      <c r="EU34" s="279"/>
      <c r="EV34" s="279"/>
      <c r="EW34" s="279"/>
      <c r="EX34" s="279"/>
      <c r="EY34" s="279"/>
      <c r="EZ34" s="279"/>
      <c r="FA34" s="279"/>
      <c r="FB34" s="279"/>
      <c r="FC34" s="279"/>
      <c r="FD34" s="279"/>
      <c r="FE34" s="279"/>
    </row>
    <row r="35" spans="1:161" s="281" customFormat="1" x14ac:dyDescent="0.2">
      <c r="A35" s="904"/>
      <c r="B35" s="267"/>
      <c r="C35" s="268"/>
      <c r="D35" s="269" t="s">
        <v>986</v>
      </c>
      <c r="E35" s="608" t="s">
        <v>967</v>
      </c>
      <c r="F35" s="271" t="s">
        <v>238</v>
      </c>
      <c r="G35" s="272">
        <v>0</v>
      </c>
      <c r="H35" s="273">
        <f t="shared" si="43"/>
        <v>159</v>
      </c>
      <c r="I35" s="274">
        <f t="shared" si="43"/>
        <v>0</v>
      </c>
      <c r="J35" s="275">
        <f>I35*0.2</f>
        <v>0</v>
      </c>
      <c r="K35" s="275">
        <f>I35*0.8</f>
        <v>0</v>
      </c>
      <c r="L35" s="275"/>
      <c r="M35" s="275"/>
      <c r="N35" s="275"/>
      <c r="O35" s="275"/>
      <c r="P35" s="275"/>
      <c r="Q35" s="275"/>
      <c r="R35" s="275"/>
      <c r="S35" s="275"/>
      <c r="T35" s="276">
        <f>H35*0.25</f>
        <v>39.75</v>
      </c>
      <c r="U35" s="276">
        <f>H35*0.25</f>
        <v>39.75</v>
      </c>
      <c r="V35" s="276">
        <f>H35*0.25</f>
        <v>39.75</v>
      </c>
      <c r="W35" s="276">
        <f>H35*0.25</f>
        <v>39.75</v>
      </c>
      <c r="X35" s="275">
        <f>T35*G35</f>
        <v>0</v>
      </c>
      <c r="Y35" s="275">
        <f>U35*G35</f>
        <v>0</v>
      </c>
      <c r="Z35" s="275">
        <f>V35*G35</f>
        <v>0</v>
      </c>
      <c r="AA35" s="275">
        <f>W35*G35</f>
        <v>0</v>
      </c>
      <c r="AB35" s="277">
        <v>6</v>
      </c>
      <c r="AC35" s="278">
        <f t="shared" si="2"/>
        <v>0</v>
      </c>
      <c r="AD35" s="277">
        <v>0</v>
      </c>
      <c r="AE35" s="278">
        <f t="shared" si="3"/>
        <v>0</v>
      </c>
      <c r="AF35" s="277">
        <v>0</v>
      </c>
      <c r="AG35" s="278">
        <f t="shared" si="4"/>
        <v>0</v>
      </c>
      <c r="AH35" s="277">
        <v>32</v>
      </c>
      <c r="AI35" s="278">
        <f t="shared" si="5"/>
        <v>0</v>
      </c>
      <c r="AJ35" s="277">
        <v>14</v>
      </c>
      <c r="AK35" s="278">
        <f t="shared" si="6"/>
        <v>0</v>
      </c>
      <c r="AL35" s="277">
        <v>0</v>
      </c>
      <c r="AM35" s="278">
        <f t="shared" si="7"/>
        <v>0</v>
      </c>
      <c r="AN35" s="277">
        <v>9</v>
      </c>
      <c r="AO35" s="278">
        <f t="shared" si="8"/>
        <v>0</v>
      </c>
      <c r="AP35" s="277">
        <v>2</v>
      </c>
      <c r="AQ35" s="278">
        <f t="shared" si="9"/>
        <v>0</v>
      </c>
      <c r="AR35" s="277">
        <v>4</v>
      </c>
      <c r="AS35" s="278">
        <f t="shared" si="10"/>
        <v>0</v>
      </c>
      <c r="AT35" s="277">
        <v>0</v>
      </c>
      <c r="AU35" s="278">
        <f t="shared" si="11"/>
        <v>0</v>
      </c>
      <c r="AV35" s="277">
        <v>20</v>
      </c>
      <c r="AW35" s="278">
        <f t="shared" si="12"/>
        <v>0</v>
      </c>
      <c r="AX35" s="277">
        <v>0</v>
      </c>
      <c r="AY35" s="278">
        <f t="shared" si="13"/>
        <v>0</v>
      </c>
      <c r="AZ35" s="277">
        <v>0</v>
      </c>
      <c r="BA35" s="278">
        <f t="shared" si="14"/>
        <v>0</v>
      </c>
      <c r="BB35" s="277">
        <v>18</v>
      </c>
      <c r="BC35" s="278">
        <f t="shared" si="15"/>
        <v>0</v>
      </c>
      <c r="BD35" s="277">
        <v>40</v>
      </c>
      <c r="BE35" s="278">
        <f t="shared" si="16"/>
        <v>0</v>
      </c>
      <c r="BF35" s="277">
        <v>14</v>
      </c>
      <c r="BG35" s="278">
        <f t="shared" si="17"/>
        <v>0</v>
      </c>
      <c r="BH35" s="277">
        <v>0</v>
      </c>
      <c r="BI35" s="278">
        <f t="shared" si="44"/>
        <v>0</v>
      </c>
      <c r="BJ35" s="277">
        <v>0</v>
      </c>
      <c r="BK35" s="278">
        <f t="shared" si="45"/>
        <v>0</v>
      </c>
      <c r="BL35" s="277">
        <f t="shared" si="48"/>
        <v>159</v>
      </c>
      <c r="BM35" s="278">
        <f t="shared" si="46"/>
        <v>0</v>
      </c>
      <c r="BN35" s="271" t="s">
        <v>543</v>
      </c>
      <c r="BO35" s="279"/>
      <c r="BP35" s="264"/>
      <c r="BQ35" s="264"/>
      <c r="BR35" s="264">
        <f>BM35</f>
        <v>0</v>
      </c>
      <c r="BS35" s="264"/>
      <c r="BT35" s="264">
        <f t="shared" si="42"/>
        <v>0</v>
      </c>
      <c r="BU35" s="264"/>
      <c r="BV35" s="264"/>
      <c r="BW35" s="264">
        <f>BU35+BV35</f>
        <v>0</v>
      </c>
      <c r="BX35" s="280">
        <f t="shared" si="22"/>
        <v>0</v>
      </c>
      <c r="BY35" s="279"/>
      <c r="BZ35" s="279"/>
      <c r="CA35" s="279"/>
      <c r="CB35" s="279"/>
      <c r="CC35" s="279"/>
      <c r="CD35" s="279"/>
      <c r="CE35" s="279"/>
      <c r="CF35" s="279"/>
      <c r="CG35" s="279"/>
      <c r="CH35" s="279"/>
      <c r="CI35" s="279"/>
      <c r="CJ35" s="279"/>
      <c r="CK35" s="279"/>
      <c r="CL35" s="279"/>
      <c r="CM35" s="279"/>
      <c r="CN35" s="279"/>
      <c r="CO35" s="279"/>
      <c r="CP35" s="279"/>
      <c r="CQ35" s="279"/>
      <c r="CR35" s="279"/>
      <c r="CS35" s="279"/>
      <c r="CT35" s="279"/>
      <c r="CU35" s="279"/>
      <c r="CV35" s="279"/>
      <c r="CW35" s="279"/>
      <c r="CX35" s="279"/>
      <c r="CY35" s="279"/>
      <c r="CZ35" s="279"/>
      <c r="DA35" s="279"/>
      <c r="DB35" s="279"/>
      <c r="DC35" s="279"/>
      <c r="DD35" s="279"/>
      <c r="DE35" s="279"/>
      <c r="DF35" s="279"/>
      <c r="DG35" s="279"/>
      <c r="DH35" s="279"/>
      <c r="DI35" s="279"/>
      <c r="DJ35" s="279"/>
      <c r="DK35" s="279"/>
      <c r="DL35" s="279"/>
      <c r="DM35" s="279"/>
      <c r="DN35" s="279"/>
      <c r="DO35" s="279"/>
      <c r="DP35" s="279"/>
      <c r="DQ35" s="279"/>
      <c r="DR35" s="279"/>
      <c r="DS35" s="279"/>
      <c r="DT35" s="279"/>
      <c r="DU35" s="279"/>
      <c r="DV35" s="279"/>
      <c r="DW35" s="279"/>
      <c r="DX35" s="279"/>
      <c r="DY35" s="279"/>
      <c r="DZ35" s="279"/>
      <c r="EA35" s="279"/>
      <c r="EB35" s="279"/>
      <c r="EC35" s="279"/>
      <c r="ED35" s="279"/>
      <c r="EE35" s="279"/>
      <c r="EF35" s="279"/>
      <c r="EG35" s="279"/>
      <c r="EH35" s="279"/>
      <c r="EI35" s="279"/>
      <c r="EJ35" s="279"/>
      <c r="EK35" s="279"/>
      <c r="EL35" s="279"/>
      <c r="EM35" s="279"/>
      <c r="EN35" s="279"/>
      <c r="EO35" s="279"/>
      <c r="EP35" s="279"/>
      <c r="EQ35" s="279"/>
      <c r="ER35" s="279"/>
      <c r="ES35" s="279"/>
      <c r="ET35" s="279"/>
      <c r="EU35" s="279"/>
      <c r="EV35" s="279"/>
      <c r="EW35" s="279"/>
      <c r="EX35" s="279"/>
      <c r="EY35" s="279"/>
      <c r="EZ35" s="279"/>
      <c r="FA35" s="279"/>
      <c r="FB35" s="279"/>
      <c r="FC35" s="279"/>
      <c r="FD35" s="279"/>
      <c r="FE35" s="279"/>
    </row>
    <row r="36" spans="1:161" s="281" customFormat="1" x14ac:dyDescent="0.2">
      <c r="A36" s="904"/>
      <c r="B36" s="267"/>
      <c r="C36" s="268"/>
      <c r="D36" s="268"/>
      <c r="E36" s="608" t="s">
        <v>849</v>
      </c>
      <c r="F36" s="271" t="s">
        <v>16</v>
      </c>
      <c r="G36" s="272">
        <v>4000000</v>
      </c>
      <c r="H36" s="273">
        <f t="shared" si="43"/>
        <v>0</v>
      </c>
      <c r="I36" s="275">
        <f t="shared" si="47"/>
        <v>0</v>
      </c>
      <c r="J36" s="275"/>
      <c r="K36" s="275"/>
      <c r="L36" s="275"/>
      <c r="M36" s="275">
        <f>I36*1</f>
        <v>0</v>
      </c>
      <c r="N36" s="275"/>
      <c r="O36" s="275"/>
      <c r="P36" s="275"/>
      <c r="Q36" s="275"/>
      <c r="R36" s="275"/>
      <c r="S36" s="275"/>
      <c r="T36" s="276">
        <f t="shared" ref="T36:T39" si="91">H36*0.25</f>
        <v>0</v>
      </c>
      <c r="U36" s="276">
        <f t="shared" ref="U36:U39" si="92">H36*0.25</f>
        <v>0</v>
      </c>
      <c r="V36" s="276">
        <f t="shared" ref="V36:V39" si="93">H36*0.25</f>
        <v>0</v>
      </c>
      <c r="W36" s="276">
        <f t="shared" ref="W36:W39" si="94">H36*0.25</f>
        <v>0</v>
      </c>
      <c r="X36" s="275">
        <f t="shared" ref="X36:X39" si="95">T36*G36</f>
        <v>0</v>
      </c>
      <c r="Y36" s="275">
        <f t="shared" ref="Y36:Y39" si="96">U36*G36</f>
        <v>0</v>
      </c>
      <c r="Z36" s="275">
        <f t="shared" ref="Z36:Z39" si="97">V36*G36</f>
        <v>0</v>
      </c>
      <c r="AA36" s="275">
        <f t="shared" ref="AA36:AA39" si="98">W36*G36</f>
        <v>0</v>
      </c>
      <c r="AB36" s="277"/>
      <c r="AC36" s="278"/>
      <c r="AD36" s="277"/>
      <c r="AE36" s="278"/>
      <c r="AF36" s="277"/>
      <c r="AG36" s="278"/>
      <c r="AH36" s="277">
        <v>0</v>
      </c>
      <c r="AI36" s="278">
        <f t="shared" si="5"/>
        <v>0</v>
      </c>
      <c r="AJ36" s="277"/>
      <c r="AK36" s="278"/>
      <c r="AL36" s="277">
        <v>0</v>
      </c>
      <c r="AM36" s="278">
        <f t="shared" si="7"/>
        <v>0</v>
      </c>
      <c r="AN36" s="277"/>
      <c r="AO36" s="278"/>
      <c r="AP36" s="277"/>
      <c r="AQ36" s="278"/>
      <c r="AR36" s="277"/>
      <c r="AS36" s="278"/>
      <c r="AT36" s="277"/>
      <c r="AU36" s="278"/>
      <c r="AV36" s="277"/>
      <c r="AW36" s="278"/>
      <c r="AX36" s="277">
        <v>0</v>
      </c>
      <c r="AY36" s="278"/>
      <c r="AZ36" s="277">
        <v>0</v>
      </c>
      <c r="BA36" s="278">
        <f t="shared" si="14"/>
        <v>0</v>
      </c>
      <c r="BB36" s="277">
        <v>0</v>
      </c>
      <c r="BC36" s="278">
        <f t="shared" si="15"/>
        <v>0</v>
      </c>
      <c r="BD36" s="277"/>
      <c r="BE36" s="278"/>
      <c r="BF36" s="277"/>
      <c r="BG36" s="278"/>
      <c r="BH36" s="277"/>
      <c r="BI36" s="278"/>
      <c r="BJ36" s="277">
        <v>0</v>
      </c>
      <c r="BK36" s="278">
        <f t="shared" si="45"/>
        <v>0</v>
      </c>
      <c r="BL36" s="277">
        <f t="shared" si="48"/>
        <v>0</v>
      </c>
      <c r="BM36" s="278">
        <f t="shared" si="46"/>
        <v>0</v>
      </c>
      <c r="BN36" s="271" t="s">
        <v>405</v>
      </c>
      <c r="BO36" s="279"/>
      <c r="BP36" s="264"/>
      <c r="BQ36" s="264"/>
      <c r="BR36" s="264">
        <f t="shared" ref="BR36:BR38" si="99">BM36</f>
        <v>0</v>
      </c>
      <c r="BS36" s="264"/>
      <c r="BT36" s="264">
        <f t="shared" si="42"/>
        <v>0</v>
      </c>
      <c r="BU36" s="264"/>
      <c r="BV36" s="264"/>
      <c r="BW36" s="264"/>
      <c r="BX36" s="280">
        <f t="shared" si="22"/>
        <v>0</v>
      </c>
      <c r="BY36" s="279"/>
      <c r="BZ36" s="279"/>
      <c r="CA36" s="279"/>
      <c r="CB36" s="279"/>
      <c r="CC36" s="279"/>
      <c r="CD36" s="279"/>
      <c r="CE36" s="279"/>
      <c r="CF36" s="279"/>
      <c r="CG36" s="279"/>
      <c r="CH36" s="279"/>
      <c r="CI36" s="279"/>
      <c r="CJ36" s="279"/>
      <c r="CK36" s="279"/>
      <c r="CL36" s="279"/>
      <c r="CM36" s="279"/>
      <c r="CN36" s="279"/>
      <c r="CO36" s="279"/>
      <c r="CP36" s="279"/>
      <c r="CQ36" s="279"/>
      <c r="CR36" s="279"/>
      <c r="CS36" s="279"/>
      <c r="CT36" s="279"/>
      <c r="CU36" s="279"/>
      <c r="CV36" s="279"/>
      <c r="CW36" s="279"/>
      <c r="CX36" s="279"/>
      <c r="CY36" s="279"/>
      <c r="CZ36" s="279"/>
      <c r="DA36" s="279"/>
      <c r="DB36" s="279"/>
      <c r="DC36" s="279"/>
      <c r="DD36" s="279"/>
      <c r="DE36" s="279"/>
      <c r="DF36" s="279"/>
      <c r="DG36" s="279"/>
      <c r="DH36" s="279"/>
      <c r="DI36" s="279"/>
      <c r="DJ36" s="279"/>
      <c r="DK36" s="279"/>
      <c r="DL36" s="279"/>
      <c r="DM36" s="279"/>
      <c r="DN36" s="279"/>
      <c r="DO36" s="279"/>
      <c r="DP36" s="279"/>
      <c r="DQ36" s="279"/>
      <c r="DR36" s="279"/>
      <c r="DS36" s="279"/>
      <c r="DT36" s="279"/>
      <c r="DU36" s="279"/>
      <c r="DV36" s="279"/>
      <c r="DW36" s="279"/>
      <c r="DX36" s="279"/>
      <c r="DY36" s="279"/>
      <c r="DZ36" s="279"/>
      <c r="EA36" s="279"/>
      <c r="EB36" s="279"/>
      <c r="EC36" s="279"/>
      <c r="ED36" s="279"/>
      <c r="EE36" s="279"/>
      <c r="EF36" s="279"/>
      <c r="EG36" s="279"/>
      <c r="EH36" s="279"/>
      <c r="EI36" s="279"/>
      <c r="EJ36" s="279"/>
      <c r="EK36" s="279"/>
      <c r="EL36" s="279"/>
      <c r="EM36" s="279"/>
      <c r="EN36" s="279"/>
      <c r="EO36" s="279"/>
      <c r="EP36" s="279"/>
      <c r="EQ36" s="279"/>
      <c r="ER36" s="279"/>
      <c r="ES36" s="279"/>
      <c r="ET36" s="279"/>
      <c r="EU36" s="279"/>
      <c r="EV36" s="279"/>
      <c r="EW36" s="279"/>
      <c r="EX36" s="279"/>
      <c r="EY36" s="279"/>
      <c r="EZ36" s="279"/>
      <c r="FA36" s="279"/>
      <c r="FB36" s="279"/>
      <c r="FC36" s="279"/>
      <c r="FD36" s="279"/>
      <c r="FE36" s="279"/>
    </row>
    <row r="37" spans="1:161" s="281" customFormat="1" x14ac:dyDescent="0.2">
      <c r="A37" s="904"/>
      <c r="B37" s="267"/>
      <c r="C37" s="268"/>
      <c r="D37" s="268"/>
      <c r="E37" s="608" t="s">
        <v>840</v>
      </c>
      <c r="F37" s="271"/>
      <c r="G37" s="272">
        <v>400000</v>
      </c>
      <c r="H37" s="273">
        <f t="shared" si="43"/>
        <v>0</v>
      </c>
      <c r="I37" s="275">
        <f t="shared" si="47"/>
        <v>0</v>
      </c>
      <c r="J37" s="275"/>
      <c r="K37" s="275"/>
      <c r="L37" s="275"/>
      <c r="M37" s="275">
        <f>I37*1</f>
        <v>0</v>
      </c>
      <c r="N37" s="275"/>
      <c r="O37" s="275"/>
      <c r="P37" s="275"/>
      <c r="Q37" s="275"/>
      <c r="R37" s="275"/>
      <c r="S37" s="275"/>
      <c r="T37" s="276">
        <f t="shared" si="91"/>
        <v>0</v>
      </c>
      <c r="U37" s="276">
        <f t="shared" si="92"/>
        <v>0</v>
      </c>
      <c r="V37" s="276">
        <f t="shared" si="93"/>
        <v>0</v>
      </c>
      <c r="W37" s="276">
        <v>1</v>
      </c>
      <c r="X37" s="275">
        <f>I37*0.25</f>
        <v>0</v>
      </c>
      <c r="Y37" s="275">
        <f>I37*0.25</f>
        <v>0</v>
      </c>
      <c r="Z37" s="275">
        <f>I37*0.25</f>
        <v>0</v>
      </c>
      <c r="AA37" s="275">
        <f>I37*0.25</f>
        <v>0</v>
      </c>
      <c r="AB37" s="277">
        <v>0</v>
      </c>
      <c r="AC37" s="278">
        <f t="shared" si="2"/>
        <v>0</v>
      </c>
      <c r="AD37" s="277">
        <v>0</v>
      </c>
      <c r="AE37" s="278">
        <f t="shared" si="3"/>
        <v>0</v>
      </c>
      <c r="AF37" s="277">
        <v>0</v>
      </c>
      <c r="AG37" s="278">
        <f t="shared" si="4"/>
        <v>0</v>
      </c>
      <c r="AH37" s="277">
        <v>0</v>
      </c>
      <c r="AI37" s="278">
        <f t="shared" si="5"/>
        <v>0</v>
      </c>
      <c r="AJ37" s="277">
        <v>0</v>
      </c>
      <c r="AK37" s="278">
        <f t="shared" si="6"/>
        <v>0</v>
      </c>
      <c r="AL37" s="277">
        <v>0</v>
      </c>
      <c r="AM37" s="278">
        <f t="shared" si="7"/>
        <v>0</v>
      </c>
      <c r="AN37" s="277">
        <v>0</v>
      </c>
      <c r="AO37" s="278">
        <f t="shared" si="8"/>
        <v>0</v>
      </c>
      <c r="AP37" s="277">
        <v>0</v>
      </c>
      <c r="AQ37" s="278">
        <f t="shared" si="9"/>
        <v>0</v>
      </c>
      <c r="AR37" s="277">
        <v>0</v>
      </c>
      <c r="AS37" s="278">
        <f t="shared" si="10"/>
        <v>0</v>
      </c>
      <c r="AT37" s="277">
        <v>0</v>
      </c>
      <c r="AU37" s="278">
        <f t="shared" si="11"/>
        <v>0</v>
      </c>
      <c r="AV37" s="277">
        <v>0</v>
      </c>
      <c r="AW37" s="278">
        <f t="shared" si="12"/>
        <v>0</v>
      </c>
      <c r="AX37" s="277">
        <v>0</v>
      </c>
      <c r="AY37" s="278">
        <f t="shared" si="13"/>
        <v>0</v>
      </c>
      <c r="AZ37" s="277">
        <v>0</v>
      </c>
      <c r="BA37" s="278">
        <f t="shared" si="14"/>
        <v>0</v>
      </c>
      <c r="BB37" s="277">
        <v>0</v>
      </c>
      <c r="BC37" s="278">
        <f t="shared" si="15"/>
        <v>0</v>
      </c>
      <c r="BD37" s="277">
        <v>0</v>
      </c>
      <c r="BE37" s="278">
        <f t="shared" si="16"/>
        <v>0</v>
      </c>
      <c r="BF37" s="277">
        <v>0</v>
      </c>
      <c r="BG37" s="278">
        <f t="shared" si="17"/>
        <v>0</v>
      </c>
      <c r="BH37" s="277">
        <v>0</v>
      </c>
      <c r="BI37" s="278">
        <f>BH37*G37</f>
        <v>0</v>
      </c>
      <c r="BJ37" s="277"/>
      <c r="BK37" s="278"/>
      <c r="BL37" s="277">
        <f t="shared" si="48"/>
        <v>0</v>
      </c>
      <c r="BM37" s="278">
        <f t="shared" si="46"/>
        <v>0</v>
      </c>
      <c r="BN37" s="271" t="s">
        <v>405</v>
      </c>
      <c r="BO37" s="279"/>
      <c r="BP37" s="264"/>
      <c r="BQ37" s="264"/>
      <c r="BR37" s="264">
        <f t="shared" si="99"/>
        <v>0</v>
      </c>
      <c r="BS37" s="264"/>
      <c r="BT37" s="264">
        <f t="shared" si="42"/>
        <v>0</v>
      </c>
      <c r="BU37" s="264"/>
      <c r="BV37" s="264"/>
      <c r="BW37" s="264"/>
      <c r="BX37" s="280">
        <f t="shared" si="22"/>
        <v>0</v>
      </c>
      <c r="BY37" s="279"/>
      <c r="BZ37" s="279"/>
      <c r="CA37" s="279"/>
      <c r="CB37" s="279"/>
      <c r="CC37" s="279"/>
      <c r="CD37" s="279"/>
      <c r="CE37" s="279"/>
      <c r="CF37" s="279"/>
      <c r="CG37" s="279"/>
      <c r="CH37" s="279"/>
      <c r="CI37" s="279"/>
      <c r="CJ37" s="279"/>
      <c r="CK37" s="279"/>
      <c r="CL37" s="279"/>
      <c r="CM37" s="279"/>
      <c r="CN37" s="279"/>
      <c r="CO37" s="279"/>
      <c r="CP37" s="279"/>
      <c r="CQ37" s="279"/>
      <c r="CR37" s="279"/>
      <c r="CS37" s="279"/>
      <c r="CT37" s="279"/>
      <c r="CU37" s="279"/>
      <c r="CV37" s="279"/>
      <c r="CW37" s="279"/>
      <c r="CX37" s="279"/>
      <c r="CY37" s="279"/>
      <c r="CZ37" s="279"/>
      <c r="DA37" s="279"/>
      <c r="DB37" s="279"/>
      <c r="DC37" s="279"/>
      <c r="DD37" s="279"/>
      <c r="DE37" s="279"/>
      <c r="DF37" s="279"/>
      <c r="DG37" s="279"/>
      <c r="DH37" s="279"/>
      <c r="DI37" s="279"/>
      <c r="DJ37" s="279"/>
      <c r="DK37" s="279"/>
      <c r="DL37" s="279"/>
      <c r="DM37" s="279"/>
      <c r="DN37" s="279"/>
      <c r="DO37" s="279"/>
      <c r="DP37" s="279"/>
      <c r="DQ37" s="279"/>
      <c r="DR37" s="279"/>
      <c r="DS37" s="279"/>
      <c r="DT37" s="279"/>
      <c r="DU37" s="279"/>
      <c r="DV37" s="279"/>
      <c r="DW37" s="279"/>
      <c r="DX37" s="279"/>
      <c r="DY37" s="279"/>
      <c r="DZ37" s="279"/>
      <c r="EA37" s="279"/>
      <c r="EB37" s="279"/>
      <c r="EC37" s="279"/>
      <c r="ED37" s="279"/>
      <c r="EE37" s="279"/>
      <c r="EF37" s="279"/>
      <c r="EG37" s="279"/>
      <c r="EH37" s="279"/>
      <c r="EI37" s="279"/>
      <c r="EJ37" s="279"/>
      <c r="EK37" s="279"/>
      <c r="EL37" s="279"/>
      <c r="EM37" s="279"/>
      <c r="EN37" s="279"/>
      <c r="EO37" s="279"/>
      <c r="EP37" s="279"/>
      <c r="EQ37" s="279"/>
      <c r="ER37" s="279"/>
      <c r="ES37" s="279"/>
      <c r="ET37" s="279"/>
      <c r="EU37" s="279"/>
      <c r="EV37" s="279"/>
      <c r="EW37" s="279"/>
      <c r="EX37" s="279"/>
      <c r="EY37" s="279"/>
      <c r="EZ37" s="279"/>
      <c r="FA37" s="279"/>
      <c r="FB37" s="279"/>
      <c r="FC37" s="279"/>
      <c r="FD37" s="279"/>
      <c r="FE37" s="279"/>
    </row>
    <row r="38" spans="1:161" s="281" customFormat="1" x14ac:dyDescent="0.2">
      <c r="A38" s="904"/>
      <c r="B38" s="267"/>
      <c r="C38" s="268"/>
      <c r="D38" s="268"/>
      <c r="E38" s="608" t="s">
        <v>841</v>
      </c>
      <c r="F38" s="271"/>
      <c r="G38" s="272">
        <v>300000</v>
      </c>
      <c r="H38" s="273">
        <f t="shared" si="43"/>
        <v>0</v>
      </c>
      <c r="I38" s="275">
        <f t="shared" si="47"/>
        <v>0</v>
      </c>
      <c r="J38" s="275"/>
      <c r="K38" s="275"/>
      <c r="L38" s="275"/>
      <c r="M38" s="275">
        <f>I38*1</f>
        <v>0</v>
      </c>
      <c r="N38" s="275"/>
      <c r="O38" s="275"/>
      <c r="P38" s="275"/>
      <c r="Q38" s="275"/>
      <c r="R38" s="275"/>
      <c r="S38" s="275"/>
      <c r="T38" s="276">
        <f t="shared" si="91"/>
        <v>0</v>
      </c>
      <c r="U38" s="276">
        <f t="shared" si="92"/>
        <v>0</v>
      </c>
      <c r="V38" s="276">
        <f t="shared" si="93"/>
        <v>0</v>
      </c>
      <c r="W38" s="276">
        <v>1</v>
      </c>
      <c r="X38" s="275">
        <f>I38*0.25</f>
        <v>0</v>
      </c>
      <c r="Y38" s="275">
        <f>I38*0.25</f>
        <v>0</v>
      </c>
      <c r="Z38" s="275">
        <f>I38*0.25</f>
        <v>0</v>
      </c>
      <c r="AA38" s="275">
        <f>I38*0.25</f>
        <v>0</v>
      </c>
      <c r="AB38" s="277">
        <v>0</v>
      </c>
      <c r="AC38" s="278">
        <f t="shared" si="2"/>
        <v>0</v>
      </c>
      <c r="AD38" s="277">
        <v>0</v>
      </c>
      <c r="AE38" s="278">
        <f t="shared" si="3"/>
        <v>0</v>
      </c>
      <c r="AF38" s="277">
        <v>0</v>
      </c>
      <c r="AG38" s="278">
        <f t="shared" si="4"/>
        <v>0</v>
      </c>
      <c r="AH38" s="277">
        <v>0</v>
      </c>
      <c r="AI38" s="278">
        <f t="shared" si="5"/>
        <v>0</v>
      </c>
      <c r="AJ38" s="277">
        <v>0</v>
      </c>
      <c r="AK38" s="278">
        <f t="shared" si="6"/>
        <v>0</v>
      </c>
      <c r="AL38" s="277">
        <v>0</v>
      </c>
      <c r="AM38" s="278">
        <f t="shared" si="7"/>
        <v>0</v>
      </c>
      <c r="AN38" s="277">
        <v>0</v>
      </c>
      <c r="AO38" s="278">
        <f t="shared" si="8"/>
        <v>0</v>
      </c>
      <c r="AP38" s="277">
        <v>0</v>
      </c>
      <c r="AQ38" s="278">
        <f t="shared" si="9"/>
        <v>0</v>
      </c>
      <c r="AR38" s="277">
        <v>0</v>
      </c>
      <c r="AS38" s="278">
        <f t="shared" si="10"/>
        <v>0</v>
      </c>
      <c r="AT38" s="277">
        <v>0</v>
      </c>
      <c r="AU38" s="278">
        <f t="shared" si="11"/>
        <v>0</v>
      </c>
      <c r="AV38" s="277">
        <v>0</v>
      </c>
      <c r="AW38" s="278">
        <f t="shared" si="12"/>
        <v>0</v>
      </c>
      <c r="AX38" s="277">
        <v>0</v>
      </c>
      <c r="AY38" s="278">
        <f t="shared" si="13"/>
        <v>0</v>
      </c>
      <c r="AZ38" s="277">
        <v>0</v>
      </c>
      <c r="BA38" s="278">
        <f t="shared" si="14"/>
        <v>0</v>
      </c>
      <c r="BB38" s="277">
        <v>0</v>
      </c>
      <c r="BC38" s="278">
        <f t="shared" si="15"/>
        <v>0</v>
      </c>
      <c r="BD38" s="277">
        <v>0</v>
      </c>
      <c r="BE38" s="278">
        <f t="shared" si="16"/>
        <v>0</v>
      </c>
      <c r="BF38" s="277">
        <v>0</v>
      </c>
      <c r="BG38" s="278">
        <f t="shared" si="17"/>
        <v>0</v>
      </c>
      <c r="BH38" s="277">
        <v>0</v>
      </c>
      <c r="BI38" s="278">
        <f>BH38*G38</f>
        <v>0</v>
      </c>
      <c r="BJ38" s="277"/>
      <c r="BK38" s="278"/>
      <c r="BL38" s="277">
        <f t="shared" si="48"/>
        <v>0</v>
      </c>
      <c r="BM38" s="278">
        <f t="shared" si="46"/>
        <v>0</v>
      </c>
      <c r="BN38" s="271" t="s">
        <v>405</v>
      </c>
      <c r="BO38" s="279"/>
      <c r="BP38" s="264"/>
      <c r="BQ38" s="264"/>
      <c r="BR38" s="264">
        <f t="shared" si="99"/>
        <v>0</v>
      </c>
      <c r="BS38" s="264"/>
      <c r="BT38" s="264">
        <f t="shared" si="42"/>
        <v>0</v>
      </c>
      <c r="BU38" s="264"/>
      <c r="BV38" s="264"/>
      <c r="BW38" s="264"/>
      <c r="BX38" s="280">
        <f t="shared" si="22"/>
        <v>0</v>
      </c>
      <c r="BY38" s="279"/>
      <c r="BZ38" s="279"/>
      <c r="CA38" s="279"/>
      <c r="CB38" s="279"/>
      <c r="CC38" s="279"/>
      <c r="CD38" s="279"/>
      <c r="CE38" s="279"/>
      <c r="CF38" s="279"/>
      <c r="CG38" s="279"/>
      <c r="CH38" s="279"/>
      <c r="CI38" s="279"/>
      <c r="CJ38" s="279"/>
      <c r="CK38" s="279"/>
      <c r="CL38" s="279"/>
      <c r="CM38" s="279"/>
      <c r="CN38" s="279"/>
      <c r="CO38" s="279"/>
      <c r="CP38" s="279"/>
      <c r="CQ38" s="279"/>
      <c r="CR38" s="279"/>
      <c r="CS38" s="279"/>
      <c r="CT38" s="279"/>
      <c r="CU38" s="279"/>
      <c r="CV38" s="279"/>
      <c r="CW38" s="279"/>
      <c r="CX38" s="279"/>
      <c r="CY38" s="279"/>
      <c r="CZ38" s="279"/>
      <c r="DA38" s="279"/>
      <c r="DB38" s="279"/>
      <c r="DC38" s="279"/>
      <c r="DD38" s="279"/>
      <c r="DE38" s="279"/>
      <c r="DF38" s="279"/>
      <c r="DG38" s="279"/>
      <c r="DH38" s="279"/>
      <c r="DI38" s="279"/>
      <c r="DJ38" s="279"/>
      <c r="DK38" s="279"/>
      <c r="DL38" s="279"/>
      <c r="DM38" s="279"/>
      <c r="DN38" s="279"/>
      <c r="DO38" s="279"/>
      <c r="DP38" s="279"/>
      <c r="DQ38" s="279"/>
      <c r="DR38" s="279"/>
      <c r="DS38" s="279"/>
      <c r="DT38" s="279"/>
      <c r="DU38" s="279"/>
      <c r="DV38" s="279"/>
      <c r="DW38" s="279"/>
      <c r="DX38" s="279"/>
      <c r="DY38" s="279"/>
      <c r="DZ38" s="279"/>
      <c r="EA38" s="279"/>
      <c r="EB38" s="279"/>
      <c r="EC38" s="279"/>
      <c r="ED38" s="279"/>
      <c r="EE38" s="279"/>
      <c r="EF38" s="279"/>
      <c r="EG38" s="279"/>
      <c r="EH38" s="279"/>
      <c r="EI38" s="279"/>
      <c r="EJ38" s="279"/>
      <c r="EK38" s="279"/>
      <c r="EL38" s="279"/>
      <c r="EM38" s="279"/>
      <c r="EN38" s="279"/>
      <c r="EO38" s="279"/>
      <c r="EP38" s="279"/>
      <c r="EQ38" s="279"/>
      <c r="ER38" s="279"/>
      <c r="ES38" s="279"/>
      <c r="ET38" s="279"/>
      <c r="EU38" s="279"/>
      <c r="EV38" s="279"/>
      <c r="EW38" s="279"/>
      <c r="EX38" s="279"/>
      <c r="EY38" s="279"/>
      <c r="EZ38" s="279"/>
      <c r="FA38" s="279"/>
      <c r="FB38" s="279"/>
      <c r="FC38" s="279"/>
      <c r="FD38" s="279"/>
      <c r="FE38" s="279"/>
    </row>
    <row r="39" spans="1:161" s="281" customFormat="1" ht="25.5" x14ac:dyDescent="0.2">
      <c r="A39" s="904"/>
      <c r="B39" s="267"/>
      <c r="C39" s="268"/>
      <c r="D39" s="268"/>
      <c r="E39" s="608" t="s">
        <v>914</v>
      </c>
      <c r="F39" s="271" t="s">
        <v>93</v>
      </c>
      <c r="G39" s="272">
        <v>200000</v>
      </c>
      <c r="H39" s="273">
        <f t="shared" si="43"/>
        <v>0</v>
      </c>
      <c r="I39" s="275">
        <f>BM39</f>
        <v>0</v>
      </c>
      <c r="J39" s="275"/>
      <c r="K39" s="275"/>
      <c r="L39" s="275"/>
      <c r="M39" s="275">
        <f>I39*0</f>
        <v>0</v>
      </c>
      <c r="N39" s="275">
        <f>I39</f>
        <v>0</v>
      </c>
      <c r="O39" s="275"/>
      <c r="P39" s="275"/>
      <c r="Q39" s="275"/>
      <c r="R39" s="275"/>
      <c r="S39" s="275"/>
      <c r="T39" s="276">
        <f t="shared" si="91"/>
        <v>0</v>
      </c>
      <c r="U39" s="276">
        <f t="shared" si="92"/>
        <v>0</v>
      </c>
      <c r="V39" s="276">
        <f t="shared" si="93"/>
        <v>0</v>
      </c>
      <c r="W39" s="276">
        <f t="shared" si="94"/>
        <v>0</v>
      </c>
      <c r="X39" s="275">
        <f t="shared" si="95"/>
        <v>0</v>
      </c>
      <c r="Y39" s="275">
        <f t="shared" si="96"/>
        <v>0</v>
      </c>
      <c r="Z39" s="275">
        <f t="shared" si="97"/>
        <v>0</v>
      </c>
      <c r="AA39" s="275">
        <f t="shared" si="98"/>
        <v>0</v>
      </c>
      <c r="AB39" s="277">
        <v>0</v>
      </c>
      <c r="AC39" s="278">
        <f t="shared" si="2"/>
        <v>0</v>
      </c>
      <c r="AD39" s="277">
        <v>0</v>
      </c>
      <c r="AE39" s="278">
        <f t="shared" si="3"/>
        <v>0</v>
      </c>
      <c r="AF39" s="277">
        <v>0</v>
      </c>
      <c r="AG39" s="278">
        <f t="shared" si="4"/>
        <v>0</v>
      </c>
      <c r="AH39" s="277">
        <v>0</v>
      </c>
      <c r="AI39" s="278">
        <f t="shared" si="5"/>
        <v>0</v>
      </c>
      <c r="AJ39" s="277">
        <v>0</v>
      </c>
      <c r="AK39" s="278">
        <f t="shared" si="6"/>
        <v>0</v>
      </c>
      <c r="AL39" s="277">
        <v>0</v>
      </c>
      <c r="AM39" s="278">
        <f t="shared" si="7"/>
        <v>0</v>
      </c>
      <c r="AN39" s="277">
        <v>0</v>
      </c>
      <c r="AO39" s="278">
        <v>0</v>
      </c>
      <c r="AP39" s="277">
        <v>0</v>
      </c>
      <c r="AQ39" s="278">
        <f t="shared" si="9"/>
        <v>0</v>
      </c>
      <c r="AR39" s="277">
        <v>0</v>
      </c>
      <c r="AS39" s="278">
        <f t="shared" si="10"/>
        <v>0</v>
      </c>
      <c r="AT39" s="277">
        <v>0</v>
      </c>
      <c r="AU39" s="278">
        <f t="shared" si="11"/>
        <v>0</v>
      </c>
      <c r="AV39" s="277">
        <v>0</v>
      </c>
      <c r="AW39" s="278">
        <f t="shared" si="12"/>
        <v>0</v>
      </c>
      <c r="AX39" s="277">
        <v>0</v>
      </c>
      <c r="AY39" s="278">
        <f t="shared" si="13"/>
        <v>0</v>
      </c>
      <c r="AZ39" s="277">
        <v>0</v>
      </c>
      <c r="BA39" s="278">
        <f t="shared" si="14"/>
        <v>0</v>
      </c>
      <c r="BB39" s="277">
        <v>0</v>
      </c>
      <c r="BC39" s="278">
        <f t="shared" si="15"/>
        <v>0</v>
      </c>
      <c r="BD39" s="277">
        <v>0</v>
      </c>
      <c r="BE39" s="278">
        <f t="shared" si="16"/>
        <v>0</v>
      </c>
      <c r="BF39" s="277">
        <v>0</v>
      </c>
      <c r="BG39" s="278">
        <f t="shared" si="17"/>
        <v>0</v>
      </c>
      <c r="BH39" s="277">
        <v>0</v>
      </c>
      <c r="BI39" s="278">
        <f>BH39*G39</f>
        <v>0</v>
      </c>
      <c r="BJ39" s="277"/>
      <c r="BK39" s="278"/>
      <c r="BL39" s="277">
        <f t="shared" si="48"/>
        <v>0</v>
      </c>
      <c r="BM39" s="278">
        <f t="shared" si="46"/>
        <v>0</v>
      </c>
      <c r="BN39" s="271" t="s">
        <v>907</v>
      </c>
      <c r="BO39" s="279"/>
      <c r="BP39" s="264"/>
      <c r="BQ39" s="264"/>
      <c r="BR39" s="264"/>
      <c r="BS39" s="264"/>
      <c r="BT39" s="264"/>
      <c r="BU39" s="264"/>
      <c r="BV39" s="264"/>
      <c r="BW39" s="264"/>
      <c r="BX39" s="280">
        <f t="shared" si="22"/>
        <v>0</v>
      </c>
      <c r="BY39" s="279"/>
      <c r="BZ39" s="279"/>
      <c r="CA39" s="279"/>
      <c r="CB39" s="279"/>
      <c r="CC39" s="279"/>
      <c r="CD39" s="279"/>
      <c r="CE39" s="279"/>
      <c r="CF39" s="279"/>
      <c r="CG39" s="279"/>
      <c r="CH39" s="279"/>
      <c r="CI39" s="279"/>
      <c r="CJ39" s="279"/>
      <c r="CK39" s="279"/>
      <c r="CL39" s="279"/>
      <c r="CM39" s="279"/>
      <c r="CN39" s="279"/>
      <c r="CO39" s="279"/>
      <c r="CP39" s="279"/>
      <c r="CQ39" s="279"/>
      <c r="CR39" s="279"/>
      <c r="CS39" s="279"/>
      <c r="CT39" s="279"/>
      <c r="CU39" s="279"/>
      <c r="CV39" s="279"/>
      <c r="CW39" s="279"/>
      <c r="CX39" s="279"/>
      <c r="CY39" s="279"/>
      <c r="CZ39" s="279"/>
      <c r="DA39" s="279"/>
      <c r="DB39" s="279"/>
      <c r="DC39" s="279"/>
      <c r="DD39" s="279"/>
      <c r="DE39" s="279"/>
      <c r="DF39" s="279"/>
      <c r="DG39" s="279"/>
      <c r="DH39" s="279"/>
      <c r="DI39" s="279"/>
      <c r="DJ39" s="279"/>
      <c r="DK39" s="279"/>
      <c r="DL39" s="279"/>
      <c r="DM39" s="279"/>
      <c r="DN39" s="279"/>
      <c r="DO39" s="279"/>
      <c r="DP39" s="279"/>
      <c r="DQ39" s="279"/>
      <c r="DR39" s="279"/>
      <c r="DS39" s="279"/>
      <c r="DT39" s="279"/>
      <c r="DU39" s="279"/>
      <c r="DV39" s="279"/>
      <c r="DW39" s="279"/>
      <c r="DX39" s="279"/>
      <c r="DY39" s="279"/>
      <c r="DZ39" s="279"/>
      <c r="EA39" s="279"/>
      <c r="EB39" s="279"/>
      <c r="EC39" s="279"/>
      <c r="ED39" s="279"/>
      <c r="EE39" s="279"/>
      <c r="EF39" s="279"/>
      <c r="EG39" s="279"/>
      <c r="EH39" s="279"/>
      <c r="EI39" s="279"/>
      <c r="EJ39" s="279"/>
      <c r="EK39" s="279"/>
      <c r="EL39" s="279"/>
      <c r="EM39" s="279"/>
      <c r="EN39" s="279"/>
      <c r="EO39" s="279"/>
      <c r="EP39" s="279"/>
      <c r="EQ39" s="279"/>
      <c r="ER39" s="279"/>
      <c r="ES39" s="279"/>
      <c r="ET39" s="279"/>
      <c r="EU39" s="279"/>
      <c r="EV39" s="279"/>
      <c r="EW39" s="279"/>
      <c r="EX39" s="279"/>
      <c r="EY39" s="279"/>
      <c r="EZ39" s="279"/>
      <c r="FA39" s="279"/>
      <c r="FB39" s="279"/>
      <c r="FC39" s="279"/>
      <c r="FD39" s="279"/>
      <c r="FE39" s="279"/>
    </row>
    <row r="40" spans="1:161" s="281" customFormat="1" x14ac:dyDescent="0.2">
      <c r="A40" s="904"/>
      <c r="B40" s="267"/>
      <c r="C40" s="268"/>
      <c r="D40" s="268"/>
      <c r="E40" s="270" t="s">
        <v>556</v>
      </c>
      <c r="F40" s="271" t="s">
        <v>93</v>
      </c>
      <c r="G40" s="272" t="s">
        <v>337</v>
      </c>
      <c r="H40" s="273">
        <f t="shared" si="43"/>
        <v>0</v>
      </c>
      <c r="I40" s="275">
        <f t="shared" si="47"/>
        <v>0</v>
      </c>
      <c r="J40" s="275"/>
      <c r="K40" s="275"/>
      <c r="L40" s="275"/>
      <c r="M40" s="275">
        <f>I40*1</f>
        <v>0</v>
      </c>
      <c r="N40" s="275"/>
      <c r="O40" s="275"/>
      <c r="P40" s="275"/>
      <c r="Q40" s="275"/>
      <c r="R40" s="275"/>
      <c r="S40" s="275"/>
      <c r="T40" s="609">
        <f>H40*0.25</f>
        <v>0</v>
      </c>
      <c r="U40" s="276">
        <f>H40*0.25</f>
        <v>0</v>
      </c>
      <c r="V40" s="276">
        <f>H40*0.25</f>
        <v>0</v>
      </c>
      <c r="W40" s="276">
        <f>H40*0.25</f>
        <v>0</v>
      </c>
      <c r="X40" s="275">
        <f t="shared" ref="X40" si="100">T40*G40</f>
        <v>0</v>
      </c>
      <c r="Y40" s="275">
        <f t="shared" ref="Y40" si="101">U40*G40</f>
        <v>0</v>
      </c>
      <c r="Z40" s="275">
        <f t="shared" ref="Z40" si="102">V40*G40</f>
        <v>0</v>
      </c>
      <c r="AA40" s="275">
        <f t="shared" ref="AA40" si="103">W40*G40</f>
        <v>0</v>
      </c>
      <c r="AB40" s="277">
        <v>0</v>
      </c>
      <c r="AC40" s="278">
        <f t="shared" si="2"/>
        <v>0</v>
      </c>
      <c r="AD40" s="277">
        <v>0</v>
      </c>
      <c r="AE40" s="278">
        <f t="shared" si="3"/>
        <v>0</v>
      </c>
      <c r="AF40" s="277">
        <v>0</v>
      </c>
      <c r="AG40" s="278">
        <f t="shared" si="4"/>
        <v>0</v>
      </c>
      <c r="AH40" s="277">
        <v>0</v>
      </c>
      <c r="AI40" s="278">
        <f t="shared" si="5"/>
        <v>0</v>
      </c>
      <c r="AJ40" s="277">
        <v>0</v>
      </c>
      <c r="AK40" s="278">
        <f t="shared" si="6"/>
        <v>0</v>
      </c>
      <c r="AL40" s="277">
        <v>0</v>
      </c>
      <c r="AM40" s="278">
        <f t="shared" si="7"/>
        <v>0</v>
      </c>
      <c r="AN40" s="277">
        <v>0</v>
      </c>
      <c r="AO40" s="278">
        <f t="shared" si="8"/>
        <v>0</v>
      </c>
      <c r="AP40" s="277">
        <v>0</v>
      </c>
      <c r="AQ40" s="278">
        <f t="shared" si="9"/>
        <v>0</v>
      </c>
      <c r="AR40" s="277">
        <v>0</v>
      </c>
      <c r="AS40" s="278">
        <f t="shared" si="10"/>
        <v>0</v>
      </c>
      <c r="AT40" s="277">
        <v>0</v>
      </c>
      <c r="AU40" s="278">
        <f t="shared" si="11"/>
        <v>0</v>
      </c>
      <c r="AV40" s="277">
        <v>0</v>
      </c>
      <c r="AW40" s="278">
        <f t="shared" si="12"/>
        <v>0</v>
      </c>
      <c r="AX40" s="277">
        <v>0</v>
      </c>
      <c r="AY40" s="278">
        <f t="shared" si="13"/>
        <v>0</v>
      </c>
      <c r="AZ40" s="277">
        <v>0</v>
      </c>
      <c r="BA40" s="278">
        <f t="shared" si="14"/>
        <v>0</v>
      </c>
      <c r="BB40" s="277">
        <v>0</v>
      </c>
      <c r="BC40" s="278">
        <f t="shared" si="15"/>
        <v>0</v>
      </c>
      <c r="BD40" s="277">
        <v>0</v>
      </c>
      <c r="BE40" s="278">
        <f t="shared" si="16"/>
        <v>0</v>
      </c>
      <c r="BF40" s="277">
        <v>0</v>
      </c>
      <c r="BG40" s="278">
        <f t="shared" si="17"/>
        <v>0</v>
      </c>
      <c r="BH40" s="277">
        <v>0</v>
      </c>
      <c r="BI40" s="278">
        <f>BH40*G40</f>
        <v>0</v>
      </c>
      <c r="BJ40" s="277">
        <v>0</v>
      </c>
      <c r="BK40" s="278">
        <f>BJ40*G40</f>
        <v>0</v>
      </c>
      <c r="BL40" s="277">
        <f t="shared" si="48"/>
        <v>0</v>
      </c>
      <c r="BM40" s="278">
        <f t="shared" si="46"/>
        <v>0</v>
      </c>
      <c r="BN40" s="271" t="s">
        <v>405</v>
      </c>
      <c r="BO40" s="279"/>
      <c r="BP40" s="264">
        <f>I40</f>
        <v>0</v>
      </c>
      <c r="BQ40" s="264"/>
      <c r="BR40" s="264"/>
      <c r="BS40" s="264"/>
      <c r="BT40" s="264">
        <f t="shared" si="42"/>
        <v>0</v>
      </c>
      <c r="BU40" s="264"/>
      <c r="BV40" s="264"/>
      <c r="BW40" s="264">
        <f>BU40+BV40</f>
        <v>0</v>
      </c>
      <c r="BX40" s="280">
        <f t="shared" si="22"/>
        <v>0</v>
      </c>
      <c r="BY40" s="279"/>
      <c r="BZ40" s="279"/>
      <c r="CA40" s="279"/>
      <c r="CB40" s="279"/>
      <c r="CC40" s="279"/>
      <c r="CD40" s="279"/>
      <c r="CE40" s="279"/>
      <c r="CF40" s="279"/>
      <c r="CG40" s="279"/>
      <c r="CH40" s="279"/>
      <c r="CI40" s="279"/>
      <c r="CJ40" s="279"/>
      <c r="CK40" s="279"/>
      <c r="CL40" s="279"/>
      <c r="CM40" s="279"/>
      <c r="CN40" s="279"/>
      <c r="CO40" s="279"/>
      <c r="CP40" s="279"/>
      <c r="CQ40" s="279"/>
      <c r="CR40" s="279"/>
      <c r="CS40" s="279"/>
      <c r="CT40" s="279"/>
      <c r="CU40" s="279"/>
      <c r="CV40" s="279"/>
      <c r="CW40" s="279"/>
      <c r="CX40" s="279"/>
      <c r="CY40" s="279"/>
      <c r="CZ40" s="279"/>
      <c r="DA40" s="279"/>
      <c r="DB40" s="279"/>
      <c r="DC40" s="279"/>
      <c r="DD40" s="279"/>
      <c r="DE40" s="279"/>
      <c r="DF40" s="279"/>
      <c r="DG40" s="279"/>
      <c r="DH40" s="279"/>
      <c r="DI40" s="279"/>
      <c r="DJ40" s="279"/>
      <c r="DK40" s="279"/>
      <c r="DL40" s="279"/>
      <c r="DM40" s="279"/>
      <c r="DN40" s="279"/>
      <c r="DO40" s="279"/>
      <c r="DP40" s="279"/>
      <c r="DQ40" s="279"/>
      <c r="DR40" s="279"/>
      <c r="DS40" s="279"/>
      <c r="DT40" s="279"/>
      <c r="DU40" s="279"/>
      <c r="DV40" s="279"/>
      <c r="DW40" s="279"/>
      <c r="DX40" s="279"/>
      <c r="DY40" s="279"/>
      <c r="DZ40" s="279"/>
      <c r="EA40" s="279"/>
      <c r="EB40" s="279"/>
      <c r="EC40" s="279"/>
      <c r="ED40" s="279"/>
      <c r="EE40" s="279"/>
      <c r="EF40" s="279"/>
      <c r="EG40" s="279"/>
      <c r="EH40" s="279"/>
      <c r="EI40" s="279"/>
      <c r="EJ40" s="279"/>
      <c r="EK40" s="279"/>
      <c r="EL40" s="279"/>
      <c r="EM40" s="279"/>
      <c r="EN40" s="279"/>
      <c r="EO40" s="279"/>
      <c r="EP40" s="279"/>
      <c r="EQ40" s="279"/>
      <c r="ER40" s="279"/>
      <c r="ES40" s="279"/>
      <c r="ET40" s="279"/>
      <c r="EU40" s="279"/>
      <c r="EV40" s="279"/>
      <c r="EW40" s="279"/>
      <c r="EX40" s="279"/>
      <c r="EY40" s="279"/>
      <c r="EZ40" s="279"/>
      <c r="FA40" s="279"/>
      <c r="FB40" s="279"/>
      <c r="FC40" s="279"/>
      <c r="FD40" s="279"/>
      <c r="FE40" s="279"/>
    </row>
    <row r="41" spans="1:161" s="281" customFormat="1" x14ac:dyDescent="0.2">
      <c r="A41" s="904"/>
      <c r="B41" s="267"/>
      <c r="C41" s="268"/>
      <c r="D41" s="268"/>
      <c r="E41" s="589" t="s">
        <v>398</v>
      </c>
      <c r="F41" s="271" t="s">
        <v>111</v>
      </c>
      <c r="G41" s="272"/>
      <c r="H41" s="513">
        <f t="shared" ref="H41:AM41" si="104">SUM(H30:H40)</f>
        <v>177</v>
      </c>
      <c r="I41" s="513">
        <f t="shared" si="104"/>
        <v>18700000</v>
      </c>
      <c r="J41" s="513">
        <f t="shared" si="104"/>
        <v>3740000</v>
      </c>
      <c r="K41" s="513">
        <f t="shared" si="104"/>
        <v>14960000</v>
      </c>
      <c r="L41" s="513">
        <f t="shared" si="104"/>
        <v>0</v>
      </c>
      <c r="M41" s="513">
        <f t="shared" si="104"/>
        <v>0</v>
      </c>
      <c r="N41" s="513">
        <f t="shared" si="104"/>
        <v>0</v>
      </c>
      <c r="O41" s="513">
        <f t="shared" si="104"/>
        <v>0</v>
      </c>
      <c r="P41" s="513">
        <f t="shared" si="104"/>
        <v>0</v>
      </c>
      <c r="Q41" s="513">
        <f t="shared" si="104"/>
        <v>0</v>
      </c>
      <c r="R41" s="513">
        <f t="shared" si="104"/>
        <v>0</v>
      </c>
      <c r="S41" s="513">
        <f t="shared" si="104"/>
        <v>0</v>
      </c>
      <c r="T41" s="513">
        <f t="shared" si="104"/>
        <v>56.75</v>
      </c>
      <c r="U41" s="513">
        <f t="shared" si="104"/>
        <v>39.75</v>
      </c>
      <c r="V41" s="513">
        <f t="shared" si="104"/>
        <v>41.75</v>
      </c>
      <c r="W41" s="513">
        <f t="shared" si="104"/>
        <v>41.75</v>
      </c>
      <c r="X41" s="513">
        <f t="shared" si="104"/>
        <v>18700000</v>
      </c>
      <c r="Y41" s="513">
        <f t="shared" si="104"/>
        <v>0</v>
      </c>
      <c r="Z41" s="513">
        <f t="shared" si="104"/>
        <v>0</v>
      </c>
      <c r="AA41" s="513">
        <f t="shared" si="104"/>
        <v>0</v>
      </c>
      <c r="AB41" s="513">
        <f t="shared" si="104"/>
        <v>7</v>
      </c>
      <c r="AC41" s="513">
        <f t="shared" si="104"/>
        <v>1100000</v>
      </c>
      <c r="AD41" s="513">
        <f t="shared" si="104"/>
        <v>1</v>
      </c>
      <c r="AE41" s="513">
        <f t="shared" si="104"/>
        <v>1100000</v>
      </c>
      <c r="AF41" s="513">
        <f t="shared" si="104"/>
        <v>1</v>
      </c>
      <c r="AG41" s="513">
        <f t="shared" si="104"/>
        <v>1100000</v>
      </c>
      <c r="AH41" s="513">
        <f t="shared" si="104"/>
        <v>33</v>
      </c>
      <c r="AI41" s="513">
        <f t="shared" si="104"/>
        <v>1100000</v>
      </c>
      <c r="AJ41" s="513">
        <f t="shared" si="104"/>
        <v>15</v>
      </c>
      <c r="AK41" s="513">
        <f t="shared" si="104"/>
        <v>1100000</v>
      </c>
      <c r="AL41" s="513">
        <f t="shared" si="104"/>
        <v>1</v>
      </c>
      <c r="AM41" s="513">
        <f t="shared" si="104"/>
        <v>1100000</v>
      </c>
      <c r="AN41" s="513">
        <f t="shared" ref="AN41:BS41" si="105">SUM(AN30:AN40)</f>
        <v>10</v>
      </c>
      <c r="AO41" s="513">
        <f t="shared" si="105"/>
        <v>1100000</v>
      </c>
      <c r="AP41" s="513">
        <f t="shared" si="105"/>
        <v>3</v>
      </c>
      <c r="AQ41" s="513">
        <f t="shared" si="105"/>
        <v>1100000</v>
      </c>
      <c r="AR41" s="513">
        <f t="shared" si="105"/>
        <v>5</v>
      </c>
      <c r="AS41" s="513">
        <f t="shared" si="105"/>
        <v>1100000</v>
      </c>
      <c r="AT41" s="513">
        <f t="shared" si="105"/>
        <v>1</v>
      </c>
      <c r="AU41" s="513">
        <f t="shared" si="105"/>
        <v>1100000</v>
      </c>
      <c r="AV41" s="513">
        <f t="shared" si="105"/>
        <v>21</v>
      </c>
      <c r="AW41" s="513">
        <f t="shared" si="105"/>
        <v>1100000</v>
      </c>
      <c r="AX41" s="513">
        <f t="shared" si="105"/>
        <v>1</v>
      </c>
      <c r="AY41" s="513">
        <f t="shared" si="105"/>
        <v>1100000</v>
      </c>
      <c r="AZ41" s="513">
        <f t="shared" si="105"/>
        <v>1</v>
      </c>
      <c r="BA41" s="513">
        <f t="shared" si="105"/>
        <v>1100000</v>
      </c>
      <c r="BB41" s="513">
        <f t="shared" si="105"/>
        <v>19</v>
      </c>
      <c r="BC41" s="513">
        <f t="shared" si="105"/>
        <v>1100000</v>
      </c>
      <c r="BD41" s="513">
        <f t="shared" si="105"/>
        <v>41</v>
      </c>
      <c r="BE41" s="513">
        <f t="shared" si="105"/>
        <v>1100000</v>
      </c>
      <c r="BF41" s="513">
        <f t="shared" si="105"/>
        <v>15</v>
      </c>
      <c r="BG41" s="513">
        <f t="shared" si="105"/>
        <v>1100000</v>
      </c>
      <c r="BH41" s="513">
        <f t="shared" si="105"/>
        <v>1</v>
      </c>
      <c r="BI41" s="513">
        <f t="shared" si="105"/>
        <v>1100000</v>
      </c>
      <c r="BJ41" s="513">
        <f t="shared" si="105"/>
        <v>1</v>
      </c>
      <c r="BK41" s="513">
        <f t="shared" si="105"/>
        <v>0</v>
      </c>
      <c r="BL41" s="513">
        <f t="shared" si="105"/>
        <v>177</v>
      </c>
      <c r="BM41" s="513">
        <f t="shared" si="105"/>
        <v>18700000</v>
      </c>
      <c r="BN41" s="513">
        <f t="shared" si="105"/>
        <v>0</v>
      </c>
      <c r="BO41" s="513">
        <f t="shared" si="105"/>
        <v>0</v>
      </c>
      <c r="BP41" s="513">
        <f t="shared" si="105"/>
        <v>0</v>
      </c>
      <c r="BQ41" s="513">
        <f t="shared" si="105"/>
        <v>0</v>
      </c>
      <c r="BR41" s="513">
        <f t="shared" si="105"/>
        <v>18700000</v>
      </c>
      <c r="BS41" s="513">
        <f t="shared" si="105"/>
        <v>0</v>
      </c>
      <c r="BT41" s="513">
        <f t="shared" ref="BT41:BX41" si="106">SUM(BT30:BT40)</f>
        <v>18700000</v>
      </c>
      <c r="BU41" s="513">
        <f t="shared" si="106"/>
        <v>0</v>
      </c>
      <c r="BV41" s="513">
        <f t="shared" si="106"/>
        <v>0</v>
      </c>
      <c r="BW41" s="513">
        <f t="shared" si="106"/>
        <v>0</v>
      </c>
      <c r="BX41" s="513">
        <f t="shared" si="106"/>
        <v>18700000</v>
      </c>
      <c r="BY41" s="279"/>
      <c r="BZ41" s="279"/>
      <c r="CA41" s="279"/>
      <c r="CB41" s="279"/>
      <c r="CC41" s="279"/>
      <c r="CD41" s="279"/>
      <c r="CE41" s="279"/>
      <c r="CF41" s="279"/>
      <c r="CG41" s="279"/>
      <c r="CH41" s="279"/>
      <c r="CI41" s="279"/>
      <c r="CJ41" s="279"/>
      <c r="CK41" s="279"/>
      <c r="CL41" s="279"/>
      <c r="CM41" s="279"/>
      <c r="CN41" s="279"/>
      <c r="CO41" s="279"/>
      <c r="CP41" s="279"/>
      <c r="CQ41" s="279"/>
      <c r="CR41" s="279"/>
      <c r="CS41" s="279"/>
      <c r="CT41" s="279"/>
      <c r="CU41" s="279"/>
      <c r="CV41" s="279"/>
      <c r="CW41" s="279"/>
      <c r="CX41" s="279"/>
      <c r="CY41" s="279"/>
      <c r="CZ41" s="279"/>
      <c r="DA41" s="279"/>
      <c r="DB41" s="279"/>
      <c r="DC41" s="279"/>
      <c r="DD41" s="279"/>
      <c r="DE41" s="279"/>
      <c r="DF41" s="279"/>
      <c r="DG41" s="279"/>
      <c r="DH41" s="279"/>
      <c r="DI41" s="279"/>
      <c r="DJ41" s="279"/>
      <c r="DK41" s="279"/>
      <c r="DL41" s="279"/>
      <c r="DM41" s="279"/>
      <c r="DN41" s="279"/>
      <c r="DO41" s="279"/>
      <c r="DP41" s="279"/>
      <c r="DQ41" s="279"/>
      <c r="DR41" s="279"/>
      <c r="DS41" s="279"/>
      <c r="DT41" s="279"/>
      <c r="DU41" s="279"/>
      <c r="DV41" s="279"/>
      <c r="DW41" s="279"/>
      <c r="DX41" s="279"/>
      <c r="DY41" s="279"/>
      <c r="DZ41" s="279"/>
      <c r="EA41" s="279"/>
      <c r="EB41" s="279"/>
      <c r="EC41" s="279"/>
      <c r="ED41" s="279"/>
      <c r="EE41" s="279"/>
      <c r="EF41" s="279"/>
      <c r="EG41" s="279"/>
      <c r="EH41" s="279"/>
      <c r="EI41" s="279"/>
      <c r="EJ41" s="279"/>
      <c r="EK41" s="279"/>
      <c r="EL41" s="279"/>
      <c r="EM41" s="279"/>
      <c r="EN41" s="279"/>
      <c r="EO41" s="279"/>
      <c r="EP41" s="279"/>
      <c r="EQ41" s="279"/>
      <c r="ER41" s="279"/>
      <c r="ES41" s="279"/>
      <c r="ET41" s="279"/>
      <c r="EU41" s="279"/>
      <c r="EV41" s="279"/>
      <c r="EW41" s="279"/>
      <c r="EX41" s="279"/>
      <c r="EY41" s="279"/>
      <c r="EZ41" s="279"/>
      <c r="FA41" s="279"/>
      <c r="FB41" s="279"/>
      <c r="FC41" s="279"/>
      <c r="FD41" s="279"/>
      <c r="FE41" s="279"/>
    </row>
    <row r="42" spans="1:161" s="281" customFormat="1" x14ac:dyDescent="0.2">
      <c r="A42" s="904"/>
      <c r="B42" s="267"/>
      <c r="C42" s="268"/>
      <c r="D42" s="268"/>
      <c r="E42" s="589" t="s">
        <v>399</v>
      </c>
      <c r="F42" s="271"/>
      <c r="G42" s="272"/>
      <c r="H42" s="513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276"/>
      <c r="U42" s="276"/>
      <c r="V42" s="276"/>
      <c r="W42" s="276"/>
      <c r="X42" s="275"/>
      <c r="Y42" s="275"/>
      <c r="Z42" s="275"/>
      <c r="AA42" s="275"/>
      <c r="AB42" s="277"/>
      <c r="AC42" s="278"/>
      <c r="AD42" s="277"/>
      <c r="AE42" s="278"/>
      <c r="AF42" s="277"/>
      <c r="AG42" s="278"/>
      <c r="AH42" s="277"/>
      <c r="AI42" s="278"/>
      <c r="AJ42" s="277"/>
      <c r="AK42" s="278"/>
      <c r="AL42" s="277"/>
      <c r="AM42" s="278"/>
      <c r="AN42" s="277"/>
      <c r="AO42" s="278"/>
      <c r="AP42" s="277"/>
      <c r="AQ42" s="278"/>
      <c r="AR42" s="277"/>
      <c r="AS42" s="278"/>
      <c r="AT42" s="277"/>
      <c r="AU42" s="278"/>
      <c r="AV42" s="277"/>
      <c r="AW42" s="278"/>
      <c r="AX42" s="277"/>
      <c r="AY42" s="278"/>
      <c r="AZ42" s="277"/>
      <c r="BA42" s="278"/>
      <c r="BB42" s="277"/>
      <c r="BC42" s="278"/>
      <c r="BD42" s="277"/>
      <c r="BE42" s="278"/>
      <c r="BF42" s="277"/>
      <c r="BG42" s="278"/>
      <c r="BH42" s="277"/>
      <c r="BI42" s="278"/>
      <c r="BJ42" s="277"/>
      <c r="BK42" s="278"/>
      <c r="BL42" s="277"/>
      <c r="BM42" s="278"/>
      <c r="BN42" s="271"/>
      <c r="BO42" s="279"/>
      <c r="BP42" s="264">
        <f>I42</f>
        <v>0</v>
      </c>
      <c r="BQ42" s="264"/>
      <c r="BR42" s="264"/>
      <c r="BS42" s="264"/>
      <c r="BT42" s="264">
        <f t="shared" si="42"/>
        <v>0</v>
      </c>
      <c r="BU42" s="264"/>
      <c r="BV42" s="264"/>
      <c r="BW42" s="264">
        <f>BU42+BV42</f>
        <v>0</v>
      </c>
      <c r="BX42" s="280">
        <f t="shared" si="22"/>
        <v>0</v>
      </c>
      <c r="BY42" s="279"/>
      <c r="BZ42" s="279"/>
      <c r="CA42" s="279"/>
      <c r="CB42" s="279"/>
      <c r="CC42" s="279"/>
      <c r="CD42" s="279"/>
      <c r="CE42" s="279"/>
      <c r="CF42" s="279"/>
      <c r="CG42" s="279"/>
      <c r="CH42" s="279"/>
      <c r="CI42" s="279"/>
      <c r="CJ42" s="279"/>
      <c r="CK42" s="279"/>
      <c r="CL42" s="279"/>
      <c r="CM42" s="279"/>
      <c r="CN42" s="279"/>
      <c r="CO42" s="279"/>
      <c r="CP42" s="279"/>
      <c r="CQ42" s="279"/>
      <c r="CR42" s="279"/>
      <c r="CS42" s="279"/>
      <c r="CT42" s="279"/>
      <c r="CU42" s="279"/>
      <c r="CV42" s="279"/>
      <c r="CW42" s="279"/>
      <c r="CX42" s="279"/>
      <c r="CY42" s="279"/>
      <c r="CZ42" s="279"/>
      <c r="DA42" s="279"/>
      <c r="DB42" s="279"/>
      <c r="DC42" s="279"/>
      <c r="DD42" s="279"/>
      <c r="DE42" s="279"/>
      <c r="DF42" s="279"/>
      <c r="DG42" s="279"/>
      <c r="DH42" s="279"/>
      <c r="DI42" s="279"/>
      <c r="DJ42" s="279"/>
      <c r="DK42" s="279"/>
      <c r="DL42" s="279"/>
      <c r="DM42" s="279"/>
      <c r="DN42" s="279"/>
      <c r="DO42" s="279"/>
      <c r="DP42" s="279"/>
      <c r="DQ42" s="279"/>
      <c r="DR42" s="279"/>
      <c r="DS42" s="279"/>
      <c r="DT42" s="279"/>
      <c r="DU42" s="279"/>
      <c r="DV42" s="279"/>
      <c r="DW42" s="279"/>
      <c r="DX42" s="279"/>
      <c r="DY42" s="279"/>
      <c r="DZ42" s="279"/>
      <c r="EA42" s="279"/>
      <c r="EB42" s="279"/>
      <c r="EC42" s="279"/>
      <c r="ED42" s="279"/>
      <c r="EE42" s="279"/>
      <c r="EF42" s="279"/>
      <c r="EG42" s="279"/>
      <c r="EH42" s="279"/>
      <c r="EI42" s="279"/>
      <c r="EJ42" s="279"/>
      <c r="EK42" s="279"/>
      <c r="EL42" s="279"/>
      <c r="EM42" s="279"/>
      <c r="EN42" s="279"/>
      <c r="EO42" s="279"/>
      <c r="EP42" s="279"/>
      <c r="EQ42" s="279"/>
      <c r="ER42" s="279"/>
      <c r="ES42" s="279"/>
      <c r="ET42" s="279"/>
      <c r="EU42" s="279"/>
      <c r="EV42" s="279"/>
      <c r="EW42" s="279"/>
      <c r="EX42" s="279"/>
      <c r="EY42" s="279"/>
      <c r="EZ42" s="279"/>
      <c r="FA42" s="279"/>
      <c r="FB42" s="279"/>
      <c r="FC42" s="279"/>
      <c r="FD42" s="279"/>
      <c r="FE42" s="279"/>
    </row>
    <row r="43" spans="1:161" s="281" customFormat="1" x14ac:dyDescent="0.2">
      <c r="A43" s="904"/>
      <c r="B43" s="267"/>
      <c r="C43" s="268"/>
      <c r="D43" s="269" t="s">
        <v>987</v>
      </c>
      <c r="E43" s="270" t="s">
        <v>924</v>
      </c>
      <c r="F43" s="271" t="s">
        <v>93</v>
      </c>
      <c r="G43" s="272">
        <v>300000</v>
      </c>
      <c r="H43" s="273">
        <f t="shared" ref="H43:I48" si="107">BL43</f>
        <v>89</v>
      </c>
      <c r="I43" s="274">
        <f t="shared" si="107"/>
        <v>26700000</v>
      </c>
      <c r="J43" s="275">
        <f>I43*0.2</f>
        <v>5340000</v>
      </c>
      <c r="K43" s="275">
        <f>I43*0.8</f>
        <v>21360000</v>
      </c>
      <c r="L43" s="275"/>
      <c r="M43" s="275"/>
      <c r="N43" s="275"/>
      <c r="O43" s="275"/>
      <c r="P43" s="275"/>
      <c r="Q43" s="275"/>
      <c r="R43" s="275"/>
      <c r="S43" s="275"/>
      <c r="T43" s="276">
        <f>H43*0.6</f>
        <v>53.4</v>
      </c>
      <c r="U43" s="276">
        <v>0</v>
      </c>
      <c r="V43" s="276">
        <f>H43*0.4</f>
        <v>35.6</v>
      </c>
      <c r="W43" s="276">
        <v>0</v>
      </c>
      <c r="X43" s="275">
        <f t="shared" ref="X43:X47" si="108">T43*G43</f>
        <v>16020000</v>
      </c>
      <c r="Y43" s="275">
        <f t="shared" ref="Y43:Y47" si="109">U43*G43</f>
        <v>0</v>
      </c>
      <c r="Z43" s="275">
        <f t="shared" ref="Z43:Z47" si="110">V43*G43</f>
        <v>10680000</v>
      </c>
      <c r="AA43" s="275">
        <f>W43*G43</f>
        <v>0</v>
      </c>
      <c r="AB43" s="277">
        <v>2</v>
      </c>
      <c r="AC43" s="278">
        <f t="shared" si="2"/>
        <v>600000</v>
      </c>
      <c r="AD43" s="277">
        <v>0</v>
      </c>
      <c r="AE43" s="278">
        <f t="shared" si="3"/>
        <v>0</v>
      </c>
      <c r="AF43" s="277">
        <v>2</v>
      </c>
      <c r="AG43" s="278">
        <f>(AF43*G43)</f>
        <v>600000</v>
      </c>
      <c r="AH43" s="277">
        <v>10</v>
      </c>
      <c r="AI43" s="278">
        <f t="shared" si="5"/>
        <v>3000000</v>
      </c>
      <c r="AJ43" s="277">
        <v>3</v>
      </c>
      <c r="AK43" s="278">
        <f t="shared" si="6"/>
        <v>900000</v>
      </c>
      <c r="AL43" s="277">
        <v>10</v>
      </c>
      <c r="AM43" s="278">
        <f t="shared" si="7"/>
        <v>3000000</v>
      </c>
      <c r="AN43" s="277">
        <v>0</v>
      </c>
      <c r="AO43" s="278">
        <f t="shared" si="8"/>
        <v>0</v>
      </c>
      <c r="AP43" s="277">
        <v>0</v>
      </c>
      <c r="AQ43" s="278">
        <f t="shared" si="9"/>
        <v>0</v>
      </c>
      <c r="AR43" s="277">
        <v>0</v>
      </c>
      <c r="AS43" s="278">
        <f t="shared" si="10"/>
        <v>0</v>
      </c>
      <c r="AT43" s="277">
        <v>7</v>
      </c>
      <c r="AU43" s="278">
        <f t="shared" si="11"/>
        <v>2100000</v>
      </c>
      <c r="AV43" s="277">
        <v>10</v>
      </c>
      <c r="AW43" s="278">
        <f t="shared" si="12"/>
        <v>3000000</v>
      </c>
      <c r="AX43" s="277">
        <v>10</v>
      </c>
      <c r="AY43" s="278">
        <f t="shared" si="13"/>
        <v>3000000</v>
      </c>
      <c r="AZ43" s="277">
        <v>3</v>
      </c>
      <c r="BA43" s="278">
        <f t="shared" si="14"/>
        <v>900000</v>
      </c>
      <c r="BB43" s="277">
        <v>10</v>
      </c>
      <c r="BC43" s="278">
        <f t="shared" si="15"/>
        <v>3000000</v>
      </c>
      <c r="BD43" s="277">
        <v>10</v>
      </c>
      <c r="BE43" s="278">
        <f t="shared" si="16"/>
        <v>3000000</v>
      </c>
      <c r="BF43" s="277">
        <v>10</v>
      </c>
      <c r="BG43" s="278">
        <f t="shared" si="17"/>
        <v>3000000</v>
      </c>
      <c r="BH43" s="277">
        <v>2</v>
      </c>
      <c r="BI43" s="278">
        <f>BH43*G43</f>
        <v>600000</v>
      </c>
      <c r="BJ43" s="277"/>
      <c r="BK43" s="278">
        <f>BJ43*G43</f>
        <v>0</v>
      </c>
      <c r="BL43" s="277">
        <f t="shared" ref="BL43:BM48" si="111">AB43+AD43+AF43+AH43+AJ43+AL43+AN43+AP43+AR43+AT43+AV43+AX43+AZ43+BB43+BD43+BF43+BH43+BJ43</f>
        <v>89</v>
      </c>
      <c r="BM43" s="278">
        <f t="shared" si="111"/>
        <v>26700000</v>
      </c>
      <c r="BN43" s="271" t="s">
        <v>543</v>
      </c>
      <c r="BO43" s="279"/>
      <c r="BP43" s="264">
        <f>BM43</f>
        <v>26700000</v>
      </c>
      <c r="BQ43" s="264"/>
      <c r="BR43" s="264">
        <v>0</v>
      </c>
      <c r="BS43" s="264"/>
      <c r="BT43" s="264">
        <f t="shared" si="42"/>
        <v>26700000</v>
      </c>
      <c r="BU43" s="264"/>
      <c r="BV43" s="264"/>
      <c r="BW43" s="264">
        <f>BU43+BV43</f>
        <v>0</v>
      </c>
      <c r="BX43" s="280">
        <f t="shared" si="22"/>
        <v>26700000</v>
      </c>
      <c r="BY43" s="279"/>
      <c r="BZ43" s="279"/>
      <c r="CA43" s="279"/>
      <c r="CB43" s="279"/>
      <c r="CC43" s="279"/>
      <c r="CD43" s="279"/>
      <c r="CE43" s="279"/>
      <c r="CF43" s="279"/>
      <c r="CG43" s="279"/>
      <c r="CH43" s="279"/>
      <c r="CI43" s="279"/>
      <c r="CJ43" s="279"/>
      <c r="CK43" s="279"/>
      <c r="CL43" s="279"/>
      <c r="CM43" s="279"/>
      <c r="CN43" s="279"/>
      <c r="CO43" s="279"/>
      <c r="CP43" s="279"/>
      <c r="CQ43" s="279"/>
      <c r="CR43" s="279"/>
      <c r="CS43" s="279"/>
      <c r="CT43" s="279"/>
      <c r="CU43" s="279"/>
      <c r="CV43" s="279"/>
      <c r="CW43" s="279"/>
      <c r="CX43" s="279"/>
      <c r="CY43" s="279"/>
      <c r="CZ43" s="279"/>
      <c r="DA43" s="279"/>
      <c r="DB43" s="279"/>
      <c r="DC43" s="279"/>
      <c r="DD43" s="279"/>
      <c r="DE43" s="279"/>
      <c r="DF43" s="279"/>
      <c r="DG43" s="279"/>
      <c r="DH43" s="279"/>
      <c r="DI43" s="279"/>
      <c r="DJ43" s="279"/>
      <c r="DK43" s="279"/>
      <c r="DL43" s="279"/>
      <c r="DM43" s="279"/>
      <c r="DN43" s="279"/>
      <c r="DO43" s="279"/>
      <c r="DP43" s="279"/>
      <c r="DQ43" s="279"/>
      <c r="DR43" s="279"/>
      <c r="DS43" s="279"/>
      <c r="DT43" s="279"/>
      <c r="DU43" s="279"/>
      <c r="DV43" s="279"/>
      <c r="DW43" s="279"/>
      <c r="DX43" s="279"/>
      <c r="DY43" s="279"/>
      <c r="DZ43" s="279"/>
      <c r="EA43" s="279"/>
      <c r="EB43" s="279"/>
      <c r="EC43" s="279"/>
      <c r="ED43" s="279"/>
      <c r="EE43" s="279"/>
      <c r="EF43" s="279"/>
      <c r="EG43" s="279"/>
      <c r="EH43" s="279"/>
      <c r="EI43" s="279"/>
      <c r="EJ43" s="279"/>
      <c r="EK43" s="279"/>
      <c r="EL43" s="279"/>
      <c r="EM43" s="279"/>
      <c r="EN43" s="279"/>
      <c r="EO43" s="279"/>
      <c r="EP43" s="279"/>
      <c r="EQ43" s="279"/>
      <c r="ER43" s="279"/>
      <c r="ES43" s="279"/>
      <c r="ET43" s="279"/>
      <c r="EU43" s="279"/>
      <c r="EV43" s="279"/>
      <c r="EW43" s="279"/>
      <c r="EX43" s="279"/>
      <c r="EY43" s="279"/>
      <c r="EZ43" s="279"/>
      <c r="FA43" s="279"/>
      <c r="FB43" s="279"/>
      <c r="FC43" s="279"/>
      <c r="FD43" s="279"/>
      <c r="FE43" s="279"/>
    </row>
    <row r="44" spans="1:161" s="281" customFormat="1" x14ac:dyDescent="0.2">
      <c r="A44" s="904"/>
      <c r="B44" s="267"/>
      <c r="C44" s="268"/>
      <c r="D44" s="269" t="s">
        <v>1145</v>
      </c>
      <c r="E44" s="270" t="s">
        <v>856</v>
      </c>
      <c r="F44" s="271" t="s">
        <v>855</v>
      </c>
      <c r="G44" s="272">
        <v>0</v>
      </c>
      <c r="H44" s="273">
        <f t="shared" si="107"/>
        <v>0</v>
      </c>
      <c r="I44" s="275">
        <f>H44*G44</f>
        <v>0</v>
      </c>
      <c r="J44" s="275">
        <f>I44*0.2</f>
        <v>0</v>
      </c>
      <c r="K44" s="275">
        <f>I44*0.8</f>
        <v>0</v>
      </c>
      <c r="L44" s="275"/>
      <c r="M44" s="275"/>
      <c r="N44" s="275"/>
      <c r="O44" s="275"/>
      <c r="P44" s="275"/>
      <c r="Q44" s="275"/>
      <c r="R44" s="275"/>
      <c r="S44" s="275"/>
      <c r="T44" s="276"/>
      <c r="U44" s="276"/>
      <c r="V44" s="276">
        <v>25</v>
      </c>
      <c r="W44" s="276">
        <v>25</v>
      </c>
      <c r="X44" s="275">
        <f t="shared" si="108"/>
        <v>0</v>
      </c>
      <c r="Y44" s="275">
        <f t="shared" si="109"/>
        <v>0</v>
      </c>
      <c r="Z44" s="275">
        <f t="shared" si="110"/>
        <v>0</v>
      </c>
      <c r="AA44" s="275">
        <f t="shared" ref="AA44:AA47" si="112">W44*G44</f>
        <v>0</v>
      </c>
      <c r="AB44" s="277">
        <v>0</v>
      </c>
      <c r="AC44" s="278">
        <f t="shared" si="2"/>
        <v>0</v>
      </c>
      <c r="AD44" s="277">
        <v>0</v>
      </c>
      <c r="AE44" s="278">
        <f t="shared" si="3"/>
        <v>0</v>
      </c>
      <c r="AF44" s="277">
        <v>0</v>
      </c>
      <c r="AG44" s="278">
        <f t="shared" si="4"/>
        <v>0</v>
      </c>
      <c r="AH44" s="277">
        <v>0</v>
      </c>
      <c r="AI44" s="278">
        <f t="shared" si="5"/>
        <v>0</v>
      </c>
      <c r="AJ44" s="277">
        <v>0</v>
      </c>
      <c r="AK44" s="278">
        <f t="shared" si="6"/>
        <v>0</v>
      </c>
      <c r="AL44" s="277">
        <v>0</v>
      </c>
      <c r="AM44" s="278">
        <f t="shared" si="7"/>
        <v>0</v>
      </c>
      <c r="AN44" s="277">
        <v>0</v>
      </c>
      <c r="AO44" s="278">
        <f t="shared" si="8"/>
        <v>0</v>
      </c>
      <c r="AP44" s="277">
        <v>0</v>
      </c>
      <c r="AQ44" s="278">
        <f t="shared" si="9"/>
        <v>0</v>
      </c>
      <c r="AR44" s="277">
        <v>0</v>
      </c>
      <c r="AS44" s="278">
        <f t="shared" si="10"/>
        <v>0</v>
      </c>
      <c r="AT44" s="277">
        <v>0</v>
      </c>
      <c r="AU44" s="278">
        <f t="shared" si="11"/>
        <v>0</v>
      </c>
      <c r="AV44" s="277">
        <v>0</v>
      </c>
      <c r="AW44" s="278">
        <f t="shared" si="12"/>
        <v>0</v>
      </c>
      <c r="AX44" s="277">
        <v>0</v>
      </c>
      <c r="AY44" s="278">
        <f t="shared" si="13"/>
        <v>0</v>
      </c>
      <c r="AZ44" s="277">
        <v>0</v>
      </c>
      <c r="BA44" s="278">
        <f t="shared" si="14"/>
        <v>0</v>
      </c>
      <c r="BB44" s="277">
        <v>0</v>
      </c>
      <c r="BC44" s="278">
        <f t="shared" si="15"/>
        <v>0</v>
      </c>
      <c r="BD44" s="277">
        <v>0</v>
      </c>
      <c r="BE44" s="278">
        <f t="shared" si="16"/>
        <v>0</v>
      </c>
      <c r="BF44" s="277">
        <v>0</v>
      </c>
      <c r="BG44" s="278">
        <f t="shared" si="17"/>
        <v>0</v>
      </c>
      <c r="BH44" s="277">
        <v>0</v>
      </c>
      <c r="BI44" s="278">
        <f>BH44*G44</f>
        <v>0</v>
      </c>
      <c r="BJ44" s="277"/>
      <c r="BK44" s="278"/>
      <c r="BL44" s="277">
        <f t="shared" si="111"/>
        <v>0</v>
      </c>
      <c r="BM44" s="278">
        <f t="shared" si="111"/>
        <v>0</v>
      </c>
      <c r="BN44" s="271" t="s">
        <v>543</v>
      </c>
      <c r="BO44" s="279"/>
      <c r="BP44" s="264">
        <f>BM44</f>
        <v>0</v>
      </c>
      <c r="BQ44" s="264"/>
      <c r="BR44" s="264"/>
      <c r="BS44" s="264"/>
      <c r="BT44" s="264">
        <f t="shared" si="42"/>
        <v>0</v>
      </c>
      <c r="BU44" s="264"/>
      <c r="BV44" s="264"/>
      <c r="BW44" s="264"/>
      <c r="BX44" s="280">
        <f t="shared" si="22"/>
        <v>0</v>
      </c>
      <c r="BY44" s="279"/>
      <c r="BZ44" s="279"/>
      <c r="CA44" s="279"/>
      <c r="CB44" s="279"/>
      <c r="CC44" s="279"/>
      <c r="CD44" s="279"/>
      <c r="CE44" s="279"/>
      <c r="CF44" s="279"/>
      <c r="CG44" s="279"/>
      <c r="CH44" s="279"/>
      <c r="CI44" s="279"/>
      <c r="CJ44" s="279"/>
      <c r="CK44" s="279"/>
      <c r="CL44" s="279"/>
      <c r="CM44" s="279"/>
      <c r="CN44" s="279"/>
      <c r="CO44" s="279"/>
      <c r="CP44" s="279"/>
      <c r="CQ44" s="279"/>
      <c r="CR44" s="279"/>
      <c r="CS44" s="279"/>
      <c r="CT44" s="279"/>
      <c r="CU44" s="279"/>
      <c r="CV44" s="279"/>
      <c r="CW44" s="279"/>
      <c r="CX44" s="279"/>
      <c r="CY44" s="279"/>
      <c r="CZ44" s="279"/>
      <c r="DA44" s="279"/>
      <c r="DB44" s="279"/>
      <c r="DC44" s="279"/>
      <c r="DD44" s="279"/>
      <c r="DE44" s="279"/>
      <c r="DF44" s="279"/>
      <c r="DG44" s="279"/>
      <c r="DH44" s="279"/>
      <c r="DI44" s="279"/>
      <c r="DJ44" s="279"/>
      <c r="DK44" s="279"/>
      <c r="DL44" s="279"/>
      <c r="DM44" s="279"/>
      <c r="DN44" s="279"/>
      <c r="DO44" s="279"/>
      <c r="DP44" s="279"/>
      <c r="DQ44" s="279"/>
      <c r="DR44" s="279"/>
      <c r="DS44" s="279"/>
      <c r="DT44" s="279"/>
      <c r="DU44" s="279"/>
      <c r="DV44" s="279"/>
      <c r="DW44" s="279"/>
      <c r="DX44" s="279"/>
      <c r="DY44" s="279"/>
      <c r="DZ44" s="279"/>
      <c r="EA44" s="279"/>
      <c r="EB44" s="279"/>
      <c r="EC44" s="279"/>
      <c r="ED44" s="279"/>
      <c r="EE44" s="279"/>
      <c r="EF44" s="279"/>
      <c r="EG44" s="279"/>
      <c r="EH44" s="279"/>
      <c r="EI44" s="279"/>
      <c r="EJ44" s="279"/>
      <c r="EK44" s="279"/>
      <c r="EL44" s="279"/>
      <c r="EM44" s="279"/>
      <c r="EN44" s="279"/>
      <c r="EO44" s="279"/>
      <c r="EP44" s="279"/>
      <c r="EQ44" s="279"/>
      <c r="ER44" s="279"/>
      <c r="ES44" s="279"/>
      <c r="ET44" s="279"/>
      <c r="EU44" s="279"/>
      <c r="EV44" s="279"/>
      <c r="EW44" s="279"/>
      <c r="EX44" s="279"/>
      <c r="EY44" s="279"/>
      <c r="EZ44" s="279"/>
      <c r="FA44" s="279"/>
      <c r="FB44" s="279"/>
      <c r="FC44" s="279"/>
      <c r="FD44" s="279"/>
      <c r="FE44" s="279"/>
    </row>
    <row r="45" spans="1:161" s="281" customFormat="1" x14ac:dyDescent="0.2">
      <c r="A45" s="904"/>
      <c r="B45" s="267"/>
      <c r="C45" s="268" t="s">
        <v>928</v>
      </c>
      <c r="D45" s="269" t="s">
        <v>1146</v>
      </c>
      <c r="E45" s="270" t="s">
        <v>1147</v>
      </c>
      <c r="F45" s="271" t="s">
        <v>93</v>
      </c>
      <c r="G45" s="272">
        <v>100000</v>
      </c>
      <c r="H45" s="273">
        <f t="shared" si="107"/>
        <v>149</v>
      </c>
      <c r="I45" s="275">
        <f>H45*G45</f>
        <v>14900000</v>
      </c>
      <c r="J45" s="275">
        <f>I45*0.2</f>
        <v>2980000</v>
      </c>
      <c r="K45" s="275">
        <f>I45*0.8</f>
        <v>11920000</v>
      </c>
      <c r="L45" s="275"/>
      <c r="M45" s="275"/>
      <c r="N45" s="275"/>
      <c r="O45" s="275"/>
      <c r="P45" s="275"/>
      <c r="Q45" s="275"/>
      <c r="R45" s="275"/>
      <c r="S45" s="275"/>
      <c r="T45" s="276">
        <v>100</v>
      </c>
      <c r="U45" s="276">
        <v>49</v>
      </c>
      <c r="V45" s="276">
        <v>0</v>
      </c>
      <c r="W45" s="276">
        <v>0</v>
      </c>
      <c r="X45" s="275">
        <f t="shared" ref="X45" si="113">T45*G45</f>
        <v>10000000</v>
      </c>
      <c r="Y45" s="275">
        <f t="shared" ref="Y45" si="114">U45*G45</f>
        <v>4900000</v>
      </c>
      <c r="Z45" s="275">
        <f t="shared" ref="Z45" si="115">V45*G45</f>
        <v>0</v>
      </c>
      <c r="AA45" s="275">
        <f t="shared" ref="AA45" si="116">W45*G45</f>
        <v>0</v>
      </c>
      <c r="AB45" s="277">
        <v>8</v>
      </c>
      <c r="AC45" s="278">
        <f t="shared" ref="AC45" si="117">AB45*G45</f>
        <v>800000</v>
      </c>
      <c r="AD45" s="277">
        <v>2</v>
      </c>
      <c r="AE45" s="278">
        <f t="shared" ref="AE45" si="118">AD45*G45</f>
        <v>200000</v>
      </c>
      <c r="AF45" s="277">
        <v>10</v>
      </c>
      <c r="AG45" s="278">
        <f t="shared" ref="AG45" si="119">AF45*G45</f>
        <v>1000000</v>
      </c>
      <c r="AH45" s="277">
        <v>10</v>
      </c>
      <c r="AI45" s="278">
        <f t="shared" ref="AI45" si="120">AH45*G45</f>
        <v>1000000</v>
      </c>
      <c r="AJ45" s="277">
        <v>10</v>
      </c>
      <c r="AK45" s="278">
        <f t="shared" ref="AK45" si="121">AJ45*G45</f>
        <v>1000000</v>
      </c>
      <c r="AL45" s="277">
        <v>15</v>
      </c>
      <c r="AM45" s="278">
        <f t="shared" ref="AM45" si="122">AL45*G45</f>
        <v>1500000</v>
      </c>
      <c r="AN45" s="277">
        <v>3</v>
      </c>
      <c r="AO45" s="278">
        <f t="shared" ref="AO45" si="123">AN45*G45</f>
        <v>300000</v>
      </c>
      <c r="AP45" s="277">
        <v>8</v>
      </c>
      <c r="AQ45" s="278">
        <f t="shared" ref="AQ45" si="124">AP45*G45</f>
        <v>800000</v>
      </c>
      <c r="AR45" s="277">
        <v>4</v>
      </c>
      <c r="AS45" s="278">
        <f t="shared" ref="AS45" si="125">AR45*G45</f>
        <v>400000</v>
      </c>
      <c r="AT45" s="277">
        <v>10</v>
      </c>
      <c r="AU45" s="278">
        <f t="shared" ref="AU45" si="126">AT45*G45</f>
        <v>1000000</v>
      </c>
      <c r="AV45" s="277">
        <v>10</v>
      </c>
      <c r="AW45" s="278">
        <f t="shared" ref="AW45" si="127">AV45*G45</f>
        <v>1000000</v>
      </c>
      <c r="AX45" s="277">
        <v>10</v>
      </c>
      <c r="AY45" s="278">
        <f t="shared" ref="AY45" si="128">AX45*G45</f>
        <v>1000000</v>
      </c>
      <c r="AZ45" s="277">
        <v>10</v>
      </c>
      <c r="BA45" s="278">
        <f t="shared" ref="BA45" si="129">AZ45*G45</f>
        <v>1000000</v>
      </c>
      <c r="BB45" s="277">
        <v>9</v>
      </c>
      <c r="BC45" s="278">
        <f t="shared" ref="BC45" si="130">BB45*G45</f>
        <v>900000</v>
      </c>
      <c r="BD45" s="277">
        <v>10</v>
      </c>
      <c r="BE45" s="278">
        <f t="shared" ref="BE45" si="131">BD45*G45</f>
        <v>1000000</v>
      </c>
      <c r="BF45" s="277">
        <v>10</v>
      </c>
      <c r="BG45" s="278">
        <f t="shared" ref="BG45" si="132">BF45*G45</f>
        <v>1000000</v>
      </c>
      <c r="BH45" s="277">
        <v>10</v>
      </c>
      <c r="BI45" s="278">
        <f>BH45*G45</f>
        <v>1000000</v>
      </c>
      <c r="BJ45" s="277"/>
      <c r="BK45" s="278"/>
      <c r="BL45" s="277">
        <f t="shared" ref="BL45" si="133">AB45+AD45+AF45+AH45+AJ45+AL45+AN45+AP45+AR45+AT45+AV45+AX45+AZ45+BB45+BD45+BF45+BH45+BJ45</f>
        <v>149</v>
      </c>
      <c r="BM45" s="278">
        <f t="shared" ref="BM45" si="134">AC45+AE45+AG45+AI45+AK45+AM45+AO45+AQ45+AS45+AU45+AW45+AY45+BA45+BC45+BE45+BG45+BI45+BK45</f>
        <v>14900000</v>
      </c>
      <c r="BN45" s="271" t="s">
        <v>543</v>
      </c>
      <c r="BO45" s="279"/>
      <c r="BP45" s="264">
        <f>BM45</f>
        <v>14900000</v>
      </c>
      <c r="BQ45" s="264"/>
      <c r="BR45" s="264"/>
      <c r="BS45" s="264"/>
      <c r="BT45" s="264">
        <f t="shared" si="42"/>
        <v>14900000</v>
      </c>
      <c r="BU45" s="264"/>
      <c r="BV45" s="264"/>
      <c r="BW45" s="264"/>
      <c r="BX45" s="280">
        <f t="shared" si="22"/>
        <v>14900000</v>
      </c>
      <c r="BY45" s="279"/>
      <c r="BZ45" s="279"/>
      <c r="CA45" s="279"/>
      <c r="CB45" s="279"/>
      <c r="CC45" s="279"/>
      <c r="CD45" s="279"/>
      <c r="CE45" s="279"/>
      <c r="CF45" s="279"/>
      <c r="CG45" s="279"/>
      <c r="CH45" s="279"/>
      <c r="CI45" s="279"/>
      <c r="CJ45" s="279"/>
      <c r="CK45" s="279"/>
      <c r="CL45" s="279"/>
      <c r="CM45" s="279"/>
      <c r="CN45" s="279"/>
      <c r="CO45" s="279"/>
      <c r="CP45" s="279"/>
      <c r="CQ45" s="279"/>
      <c r="CR45" s="279"/>
      <c r="CS45" s="279"/>
      <c r="CT45" s="279"/>
      <c r="CU45" s="279"/>
      <c r="CV45" s="279"/>
      <c r="CW45" s="279"/>
      <c r="CX45" s="279"/>
      <c r="CY45" s="279"/>
      <c r="CZ45" s="279"/>
      <c r="DA45" s="279"/>
      <c r="DB45" s="279"/>
      <c r="DC45" s="279"/>
      <c r="DD45" s="279"/>
      <c r="DE45" s="279"/>
      <c r="DF45" s="279"/>
      <c r="DG45" s="279"/>
      <c r="DH45" s="279"/>
      <c r="DI45" s="279"/>
      <c r="DJ45" s="279"/>
      <c r="DK45" s="279"/>
      <c r="DL45" s="279"/>
      <c r="DM45" s="279"/>
      <c r="DN45" s="279"/>
      <c r="DO45" s="279"/>
      <c r="DP45" s="279"/>
      <c r="DQ45" s="279"/>
      <c r="DR45" s="279"/>
      <c r="DS45" s="279"/>
      <c r="DT45" s="279"/>
      <c r="DU45" s="279"/>
      <c r="DV45" s="279"/>
      <c r="DW45" s="279"/>
      <c r="DX45" s="279"/>
      <c r="DY45" s="279"/>
      <c r="DZ45" s="279"/>
      <c r="EA45" s="279"/>
      <c r="EB45" s="279"/>
      <c r="EC45" s="279"/>
      <c r="ED45" s="279"/>
      <c r="EE45" s="279"/>
      <c r="EF45" s="279"/>
      <c r="EG45" s="279"/>
      <c r="EH45" s="279"/>
      <c r="EI45" s="279"/>
      <c r="EJ45" s="279"/>
      <c r="EK45" s="279"/>
      <c r="EL45" s="279"/>
      <c r="EM45" s="279"/>
      <c r="EN45" s="279"/>
      <c r="EO45" s="279"/>
      <c r="EP45" s="279"/>
      <c r="EQ45" s="279"/>
      <c r="ER45" s="279"/>
      <c r="ES45" s="279"/>
      <c r="ET45" s="279"/>
      <c r="EU45" s="279"/>
      <c r="EV45" s="279"/>
      <c r="EW45" s="279"/>
      <c r="EX45" s="279"/>
      <c r="EY45" s="279"/>
      <c r="EZ45" s="279"/>
      <c r="FA45" s="279"/>
      <c r="FB45" s="279"/>
      <c r="FC45" s="279"/>
      <c r="FD45" s="279"/>
      <c r="FE45" s="279"/>
    </row>
    <row r="46" spans="1:161" s="281" customFormat="1" x14ac:dyDescent="0.2">
      <c r="A46" s="904"/>
      <c r="B46" s="267"/>
      <c r="C46" s="268"/>
      <c r="D46" s="269" t="s">
        <v>988</v>
      </c>
      <c r="E46" s="270" t="s">
        <v>864</v>
      </c>
      <c r="F46" s="271" t="s">
        <v>238</v>
      </c>
      <c r="G46" s="272">
        <v>0</v>
      </c>
      <c r="H46" s="273">
        <f t="shared" si="107"/>
        <v>0</v>
      </c>
      <c r="I46" s="274">
        <f>BM46</f>
        <v>0</v>
      </c>
      <c r="J46" s="275">
        <f>I46*0.2</f>
        <v>0</v>
      </c>
      <c r="K46" s="275">
        <f>I46*0.8</f>
        <v>0</v>
      </c>
      <c r="L46" s="275"/>
      <c r="M46" s="275"/>
      <c r="N46" s="275"/>
      <c r="O46" s="275"/>
      <c r="P46" s="275"/>
      <c r="Q46" s="275"/>
      <c r="R46" s="275"/>
      <c r="S46" s="275"/>
      <c r="T46" s="276">
        <v>31</v>
      </c>
      <c r="U46" s="276">
        <v>20</v>
      </c>
      <c r="V46" s="276">
        <v>100</v>
      </c>
      <c r="W46" s="276">
        <v>100</v>
      </c>
      <c r="X46" s="275">
        <f>I46*0.1</f>
        <v>0</v>
      </c>
      <c r="Y46" s="275">
        <f>I46*0.05</f>
        <v>0</v>
      </c>
      <c r="Z46" s="275">
        <f>I46*0.5</f>
        <v>0</v>
      </c>
      <c r="AA46" s="275">
        <f>I46*0.35</f>
        <v>0</v>
      </c>
      <c r="AB46" s="277">
        <v>0</v>
      </c>
      <c r="AC46" s="278">
        <f t="shared" si="2"/>
        <v>0</v>
      </c>
      <c r="AD46" s="277">
        <v>0</v>
      </c>
      <c r="AE46" s="278">
        <f t="shared" si="3"/>
        <v>0</v>
      </c>
      <c r="AF46" s="277">
        <v>0</v>
      </c>
      <c r="AG46" s="278">
        <f t="shared" si="4"/>
        <v>0</v>
      </c>
      <c r="AH46" s="277">
        <v>0</v>
      </c>
      <c r="AI46" s="278">
        <f t="shared" si="5"/>
        <v>0</v>
      </c>
      <c r="AJ46" s="277">
        <v>0</v>
      </c>
      <c r="AK46" s="278">
        <f t="shared" si="6"/>
        <v>0</v>
      </c>
      <c r="AL46" s="277">
        <v>0</v>
      </c>
      <c r="AM46" s="278">
        <f t="shared" si="7"/>
        <v>0</v>
      </c>
      <c r="AN46" s="277">
        <v>0</v>
      </c>
      <c r="AO46" s="278">
        <f t="shared" si="8"/>
        <v>0</v>
      </c>
      <c r="AP46" s="277">
        <v>0</v>
      </c>
      <c r="AQ46" s="278">
        <f t="shared" si="9"/>
        <v>0</v>
      </c>
      <c r="AR46" s="277">
        <v>0</v>
      </c>
      <c r="AS46" s="278">
        <f t="shared" si="10"/>
        <v>0</v>
      </c>
      <c r="AT46" s="277">
        <v>0</v>
      </c>
      <c r="AU46" s="278">
        <v>0</v>
      </c>
      <c r="AV46" s="277">
        <v>0</v>
      </c>
      <c r="AW46" s="278">
        <f t="shared" si="12"/>
        <v>0</v>
      </c>
      <c r="AX46" s="277">
        <v>0</v>
      </c>
      <c r="AY46" s="278">
        <f t="shared" si="13"/>
        <v>0</v>
      </c>
      <c r="AZ46" s="277">
        <v>0</v>
      </c>
      <c r="BA46" s="278">
        <f t="shared" si="14"/>
        <v>0</v>
      </c>
      <c r="BB46" s="277">
        <v>0</v>
      </c>
      <c r="BC46" s="278">
        <f t="shared" si="15"/>
        <v>0</v>
      </c>
      <c r="BD46" s="277">
        <v>0</v>
      </c>
      <c r="BE46" s="278">
        <f t="shared" si="16"/>
        <v>0</v>
      </c>
      <c r="BF46" s="277">
        <v>0</v>
      </c>
      <c r="BG46" s="278">
        <f t="shared" si="17"/>
        <v>0</v>
      </c>
      <c r="BH46" s="277">
        <v>0</v>
      </c>
      <c r="BI46" s="278">
        <v>0</v>
      </c>
      <c r="BJ46" s="277"/>
      <c r="BK46" s="278"/>
      <c r="BL46" s="277">
        <f t="shared" si="111"/>
        <v>0</v>
      </c>
      <c r="BM46" s="278">
        <f t="shared" si="111"/>
        <v>0</v>
      </c>
      <c r="BN46" s="271" t="s">
        <v>543</v>
      </c>
      <c r="BO46" s="279"/>
      <c r="BP46" s="264"/>
      <c r="BQ46" s="264"/>
      <c r="BR46" s="264">
        <f>BM46</f>
        <v>0</v>
      </c>
      <c r="BS46" s="264"/>
      <c r="BT46" s="264">
        <f t="shared" si="42"/>
        <v>0</v>
      </c>
      <c r="BU46" s="264"/>
      <c r="BV46" s="264"/>
      <c r="BW46" s="264"/>
      <c r="BX46" s="280">
        <f t="shared" si="22"/>
        <v>0</v>
      </c>
      <c r="BY46" s="279"/>
      <c r="BZ46" s="279"/>
      <c r="CA46" s="279"/>
      <c r="CB46" s="279"/>
      <c r="CC46" s="279"/>
      <c r="CD46" s="279"/>
      <c r="CE46" s="279"/>
      <c r="CF46" s="279"/>
      <c r="CG46" s="279"/>
      <c r="CH46" s="279"/>
      <c r="CI46" s="279"/>
      <c r="CJ46" s="279"/>
      <c r="CK46" s="279"/>
      <c r="CL46" s="279"/>
      <c r="CM46" s="279"/>
      <c r="CN46" s="279"/>
      <c r="CO46" s="279"/>
      <c r="CP46" s="279"/>
      <c r="CQ46" s="279"/>
      <c r="CR46" s="279"/>
      <c r="CS46" s="279"/>
      <c r="CT46" s="279"/>
      <c r="CU46" s="279"/>
      <c r="CV46" s="279"/>
      <c r="CW46" s="279"/>
      <c r="CX46" s="279"/>
      <c r="CY46" s="279"/>
      <c r="CZ46" s="279"/>
      <c r="DA46" s="279"/>
      <c r="DB46" s="279"/>
      <c r="DC46" s="279"/>
      <c r="DD46" s="279"/>
      <c r="DE46" s="279"/>
      <c r="DF46" s="279"/>
      <c r="DG46" s="279"/>
      <c r="DH46" s="279"/>
      <c r="DI46" s="279"/>
      <c r="DJ46" s="279"/>
      <c r="DK46" s="279"/>
      <c r="DL46" s="279"/>
      <c r="DM46" s="279"/>
      <c r="DN46" s="279"/>
      <c r="DO46" s="279"/>
      <c r="DP46" s="279"/>
      <c r="DQ46" s="279"/>
      <c r="DR46" s="279"/>
      <c r="DS46" s="279"/>
      <c r="DT46" s="279"/>
      <c r="DU46" s="279"/>
      <c r="DV46" s="279"/>
      <c r="DW46" s="279"/>
      <c r="DX46" s="279"/>
      <c r="DY46" s="279"/>
      <c r="DZ46" s="279"/>
      <c r="EA46" s="279"/>
      <c r="EB46" s="279"/>
      <c r="EC46" s="279"/>
      <c r="ED46" s="279"/>
      <c r="EE46" s="279"/>
      <c r="EF46" s="279"/>
      <c r="EG46" s="279"/>
      <c r="EH46" s="279"/>
      <c r="EI46" s="279"/>
      <c r="EJ46" s="279"/>
      <c r="EK46" s="279"/>
      <c r="EL46" s="279"/>
      <c r="EM46" s="279"/>
      <c r="EN46" s="279"/>
      <c r="EO46" s="279"/>
      <c r="EP46" s="279"/>
      <c r="EQ46" s="279"/>
      <c r="ER46" s="279"/>
      <c r="ES46" s="279"/>
      <c r="ET46" s="279"/>
      <c r="EU46" s="279"/>
      <c r="EV46" s="279"/>
      <c r="EW46" s="279"/>
      <c r="EX46" s="279"/>
      <c r="EY46" s="279"/>
      <c r="EZ46" s="279"/>
      <c r="FA46" s="279"/>
      <c r="FB46" s="279"/>
      <c r="FC46" s="279"/>
      <c r="FD46" s="279"/>
      <c r="FE46" s="279"/>
    </row>
    <row r="47" spans="1:161" s="281" customFormat="1" x14ac:dyDescent="0.2">
      <c r="A47" s="904"/>
      <c r="B47" s="267"/>
      <c r="C47" s="268"/>
      <c r="D47" s="268"/>
      <c r="E47" s="270" t="s">
        <v>906</v>
      </c>
      <c r="F47" s="271" t="s">
        <v>855</v>
      </c>
      <c r="G47" s="272">
        <v>250000</v>
      </c>
      <c r="H47" s="273">
        <f t="shared" si="107"/>
        <v>0</v>
      </c>
      <c r="I47" s="275">
        <f>H47*G47</f>
        <v>0</v>
      </c>
      <c r="J47" s="275"/>
      <c r="K47" s="275"/>
      <c r="L47" s="275"/>
      <c r="M47" s="275"/>
      <c r="N47" s="275">
        <f>I47</f>
        <v>0</v>
      </c>
      <c r="O47" s="275"/>
      <c r="P47" s="275"/>
      <c r="Q47" s="275"/>
      <c r="R47" s="275"/>
      <c r="S47" s="275"/>
      <c r="T47" s="276"/>
      <c r="U47" s="276"/>
      <c r="V47" s="276"/>
      <c r="W47" s="276">
        <f>H47</f>
        <v>0</v>
      </c>
      <c r="X47" s="275">
        <f t="shared" si="108"/>
        <v>0</v>
      </c>
      <c r="Y47" s="275">
        <f t="shared" si="109"/>
        <v>0</v>
      </c>
      <c r="Z47" s="275">
        <f t="shared" si="110"/>
        <v>0</v>
      </c>
      <c r="AA47" s="275">
        <f t="shared" si="112"/>
        <v>0</v>
      </c>
      <c r="AB47" s="277">
        <v>0</v>
      </c>
      <c r="AC47" s="278">
        <f t="shared" si="2"/>
        <v>0</v>
      </c>
      <c r="AD47" s="277">
        <v>0</v>
      </c>
      <c r="AE47" s="278">
        <f t="shared" si="3"/>
        <v>0</v>
      </c>
      <c r="AF47" s="277">
        <v>0</v>
      </c>
      <c r="AG47" s="278">
        <f t="shared" si="4"/>
        <v>0</v>
      </c>
      <c r="AH47" s="277">
        <v>0</v>
      </c>
      <c r="AI47" s="278">
        <f t="shared" si="5"/>
        <v>0</v>
      </c>
      <c r="AJ47" s="277">
        <v>0</v>
      </c>
      <c r="AK47" s="278">
        <f t="shared" si="6"/>
        <v>0</v>
      </c>
      <c r="AL47" s="277">
        <v>0</v>
      </c>
      <c r="AM47" s="278">
        <f t="shared" si="7"/>
        <v>0</v>
      </c>
      <c r="AN47" s="277">
        <v>0</v>
      </c>
      <c r="AO47" s="278">
        <f t="shared" si="8"/>
        <v>0</v>
      </c>
      <c r="AP47" s="277">
        <v>0</v>
      </c>
      <c r="AQ47" s="278">
        <f t="shared" si="9"/>
        <v>0</v>
      </c>
      <c r="AR47" s="277">
        <v>0</v>
      </c>
      <c r="AS47" s="278">
        <f t="shared" si="10"/>
        <v>0</v>
      </c>
      <c r="AT47" s="277">
        <v>0</v>
      </c>
      <c r="AU47" s="278">
        <f t="shared" si="11"/>
        <v>0</v>
      </c>
      <c r="AV47" s="277">
        <v>0</v>
      </c>
      <c r="AW47" s="278">
        <f t="shared" si="12"/>
        <v>0</v>
      </c>
      <c r="AX47" s="277">
        <v>0</v>
      </c>
      <c r="AY47" s="278">
        <f t="shared" si="13"/>
        <v>0</v>
      </c>
      <c r="AZ47" s="277">
        <v>0</v>
      </c>
      <c r="BA47" s="278">
        <f t="shared" si="14"/>
        <v>0</v>
      </c>
      <c r="BB47" s="277">
        <v>0</v>
      </c>
      <c r="BC47" s="278">
        <f t="shared" si="15"/>
        <v>0</v>
      </c>
      <c r="BD47" s="277">
        <v>0</v>
      </c>
      <c r="BE47" s="278">
        <f t="shared" si="16"/>
        <v>0</v>
      </c>
      <c r="BF47" s="277">
        <v>0</v>
      </c>
      <c r="BG47" s="278">
        <f t="shared" si="17"/>
        <v>0</v>
      </c>
      <c r="BH47" s="277">
        <v>0</v>
      </c>
      <c r="BI47" s="278">
        <f>BH47*G47</f>
        <v>0</v>
      </c>
      <c r="BJ47" s="277"/>
      <c r="BK47" s="278"/>
      <c r="BL47" s="277">
        <f t="shared" si="111"/>
        <v>0</v>
      </c>
      <c r="BM47" s="278">
        <f t="shared" si="111"/>
        <v>0</v>
      </c>
      <c r="BN47" s="271" t="s">
        <v>542</v>
      </c>
      <c r="BO47" s="279"/>
      <c r="BP47" s="264"/>
      <c r="BQ47" s="264"/>
      <c r="BR47" s="264"/>
      <c r="BS47" s="264"/>
      <c r="BT47" s="264"/>
      <c r="BU47" s="264"/>
      <c r="BV47" s="264"/>
      <c r="BW47" s="264"/>
      <c r="BX47" s="280"/>
      <c r="BY47" s="279"/>
      <c r="BZ47" s="279"/>
      <c r="CA47" s="279"/>
      <c r="CB47" s="279"/>
      <c r="CC47" s="279"/>
      <c r="CD47" s="279"/>
      <c r="CE47" s="279"/>
      <c r="CF47" s="279"/>
      <c r="CG47" s="279"/>
      <c r="CH47" s="279"/>
      <c r="CI47" s="279"/>
      <c r="CJ47" s="279"/>
      <c r="CK47" s="279"/>
      <c r="CL47" s="279"/>
      <c r="CM47" s="279"/>
      <c r="CN47" s="279"/>
      <c r="CO47" s="279"/>
      <c r="CP47" s="279"/>
      <c r="CQ47" s="279"/>
      <c r="CR47" s="279"/>
      <c r="CS47" s="279"/>
      <c r="CT47" s="279"/>
      <c r="CU47" s="279"/>
      <c r="CV47" s="279"/>
      <c r="CW47" s="279"/>
      <c r="CX47" s="279"/>
      <c r="CY47" s="279"/>
      <c r="CZ47" s="279"/>
      <c r="DA47" s="279"/>
      <c r="DB47" s="279"/>
      <c r="DC47" s="279"/>
      <c r="DD47" s="279"/>
      <c r="DE47" s="279"/>
      <c r="DF47" s="279"/>
      <c r="DG47" s="279"/>
      <c r="DH47" s="279"/>
      <c r="DI47" s="279"/>
      <c r="DJ47" s="279"/>
      <c r="DK47" s="279"/>
      <c r="DL47" s="279"/>
      <c r="DM47" s="279"/>
      <c r="DN47" s="279"/>
      <c r="DO47" s="279"/>
      <c r="DP47" s="279"/>
      <c r="DQ47" s="279"/>
      <c r="DR47" s="279"/>
      <c r="DS47" s="279"/>
      <c r="DT47" s="279"/>
      <c r="DU47" s="279"/>
      <c r="DV47" s="279"/>
      <c r="DW47" s="279"/>
      <c r="DX47" s="279"/>
      <c r="DY47" s="279"/>
      <c r="DZ47" s="279"/>
      <c r="EA47" s="279"/>
      <c r="EB47" s="279"/>
      <c r="EC47" s="279"/>
      <c r="ED47" s="279"/>
      <c r="EE47" s="279"/>
      <c r="EF47" s="279"/>
      <c r="EG47" s="279"/>
      <c r="EH47" s="279"/>
      <c r="EI47" s="279"/>
      <c r="EJ47" s="279"/>
      <c r="EK47" s="279"/>
      <c r="EL47" s="279"/>
      <c r="EM47" s="279"/>
      <c r="EN47" s="279"/>
      <c r="EO47" s="279"/>
      <c r="EP47" s="279"/>
      <c r="EQ47" s="279"/>
      <c r="ER47" s="279"/>
      <c r="ES47" s="279"/>
      <c r="ET47" s="279"/>
      <c r="EU47" s="279"/>
      <c r="EV47" s="279"/>
      <c r="EW47" s="279"/>
      <c r="EX47" s="279"/>
      <c r="EY47" s="279"/>
      <c r="EZ47" s="279"/>
      <c r="FA47" s="279"/>
      <c r="FB47" s="279"/>
      <c r="FC47" s="279"/>
      <c r="FD47" s="279"/>
      <c r="FE47" s="279"/>
    </row>
    <row r="48" spans="1:161" s="281" customFormat="1" ht="25.5" x14ac:dyDescent="0.2">
      <c r="A48" s="904"/>
      <c r="B48" s="267"/>
      <c r="C48" s="268"/>
      <c r="D48" s="268"/>
      <c r="E48" s="608" t="s">
        <v>845</v>
      </c>
      <c r="F48" s="271" t="s">
        <v>93</v>
      </c>
      <c r="G48" s="272">
        <v>500000</v>
      </c>
      <c r="H48" s="273">
        <f t="shared" si="107"/>
        <v>0</v>
      </c>
      <c r="I48" s="275">
        <f>H48*G48</f>
        <v>0</v>
      </c>
      <c r="J48" s="275"/>
      <c r="K48" s="275"/>
      <c r="L48" s="275">
        <f>I48</f>
        <v>0</v>
      </c>
      <c r="M48" s="275"/>
      <c r="N48" s="275"/>
      <c r="O48" s="275"/>
      <c r="P48" s="275"/>
      <c r="Q48" s="275"/>
      <c r="R48" s="275"/>
      <c r="S48" s="275"/>
      <c r="T48" s="276">
        <f>H48*0.25</f>
        <v>0</v>
      </c>
      <c r="U48" s="276">
        <f>H48*0.25</f>
        <v>0</v>
      </c>
      <c r="V48" s="276">
        <f>H48*0.25</f>
        <v>0</v>
      </c>
      <c r="W48" s="276">
        <f>H48*0.25</f>
        <v>0</v>
      </c>
      <c r="X48" s="275">
        <f>T48*G48</f>
        <v>0</v>
      </c>
      <c r="Y48" s="275">
        <f>U48*G48</f>
        <v>0</v>
      </c>
      <c r="Z48" s="275">
        <f>V48*G48</f>
        <v>0</v>
      </c>
      <c r="AA48" s="275">
        <f>W48*G48</f>
        <v>0</v>
      </c>
      <c r="AB48" s="277">
        <v>0</v>
      </c>
      <c r="AC48" s="278">
        <f t="shared" si="2"/>
        <v>0</v>
      </c>
      <c r="AD48" s="277">
        <v>0</v>
      </c>
      <c r="AE48" s="278">
        <f t="shared" si="3"/>
        <v>0</v>
      </c>
      <c r="AF48" s="277">
        <v>0</v>
      </c>
      <c r="AG48" s="278">
        <f t="shared" si="4"/>
        <v>0</v>
      </c>
      <c r="AH48" s="277">
        <v>0</v>
      </c>
      <c r="AI48" s="278">
        <f t="shared" si="5"/>
        <v>0</v>
      </c>
      <c r="AJ48" s="277">
        <v>0</v>
      </c>
      <c r="AK48" s="278">
        <f t="shared" si="6"/>
        <v>0</v>
      </c>
      <c r="AL48" s="277">
        <v>0</v>
      </c>
      <c r="AM48" s="278">
        <f t="shared" si="7"/>
        <v>0</v>
      </c>
      <c r="AN48" s="277">
        <v>0</v>
      </c>
      <c r="AO48" s="278">
        <f t="shared" si="8"/>
        <v>0</v>
      </c>
      <c r="AP48" s="277">
        <v>0</v>
      </c>
      <c r="AQ48" s="278">
        <f t="shared" si="9"/>
        <v>0</v>
      </c>
      <c r="AR48" s="277">
        <v>0</v>
      </c>
      <c r="AS48" s="278">
        <f t="shared" si="10"/>
        <v>0</v>
      </c>
      <c r="AT48" s="277">
        <v>0</v>
      </c>
      <c r="AU48" s="278">
        <f t="shared" si="11"/>
        <v>0</v>
      </c>
      <c r="AV48" s="277">
        <v>0</v>
      </c>
      <c r="AW48" s="278">
        <f t="shared" si="12"/>
        <v>0</v>
      </c>
      <c r="AX48" s="277">
        <v>0</v>
      </c>
      <c r="AY48" s="278">
        <f t="shared" si="13"/>
        <v>0</v>
      </c>
      <c r="AZ48" s="277">
        <v>0</v>
      </c>
      <c r="BA48" s="278">
        <f t="shared" si="14"/>
        <v>0</v>
      </c>
      <c r="BB48" s="277">
        <v>0</v>
      </c>
      <c r="BC48" s="278">
        <f t="shared" si="15"/>
        <v>0</v>
      </c>
      <c r="BD48" s="277">
        <v>0</v>
      </c>
      <c r="BE48" s="278">
        <f t="shared" si="16"/>
        <v>0</v>
      </c>
      <c r="BF48" s="277">
        <v>0</v>
      </c>
      <c r="BG48" s="278">
        <f t="shared" si="17"/>
        <v>0</v>
      </c>
      <c r="BH48" s="277">
        <v>0</v>
      </c>
      <c r="BI48" s="278">
        <f>BH48*G48</f>
        <v>0</v>
      </c>
      <c r="BJ48" s="277"/>
      <c r="BK48" s="278"/>
      <c r="BL48" s="277">
        <f t="shared" si="111"/>
        <v>0</v>
      </c>
      <c r="BM48" s="278">
        <f t="shared" si="111"/>
        <v>0</v>
      </c>
      <c r="BN48" s="271" t="s">
        <v>526</v>
      </c>
      <c r="BO48" s="279"/>
      <c r="BP48" s="264">
        <f>I48</f>
        <v>0</v>
      </c>
      <c r="BQ48" s="264"/>
      <c r="BR48" s="264"/>
      <c r="BS48" s="264"/>
      <c r="BT48" s="264">
        <f t="shared" si="42"/>
        <v>0</v>
      </c>
      <c r="BU48" s="264"/>
      <c r="BV48" s="264"/>
      <c r="BW48" s="264"/>
      <c r="BX48" s="280">
        <f t="shared" si="22"/>
        <v>0</v>
      </c>
      <c r="BY48" s="279"/>
      <c r="BZ48" s="279"/>
      <c r="CA48" s="279"/>
      <c r="CB48" s="279"/>
      <c r="CC48" s="279"/>
      <c r="CD48" s="279"/>
      <c r="CE48" s="279"/>
      <c r="CF48" s="279"/>
      <c r="CG48" s="279"/>
      <c r="CH48" s="279"/>
      <c r="CI48" s="279"/>
      <c r="CJ48" s="279"/>
      <c r="CK48" s="279"/>
      <c r="CL48" s="279"/>
      <c r="CM48" s="279"/>
      <c r="CN48" s="279"/>
      <c r="CO48" s="279"/>
      <c r="CP48" s="279"/>
      <c r="CQ48" s="279"/>
      <c r="CR48" s="279"/>
      <c r="CS48" s="279"/>
      <c r="CT48" s="279"/>
      <c r="CU48" s="279"/>
      <c r="CV48" s="279"/>
      <c r="CW48" s="279"/>
      <c r="CX48" s="279"/>
      <c r="CY48" s="279"/>
      <c r="CZ48" s="279"/>
      <c r="DA48" s="279"/>
      <c r="DB48" s="279"/>
      <c r="DC48" s="279"/>
      <c r="DD48" s="279"/>
      <c r="DE48" s="279"/>
      <c r="DF48" s="279"/>
      <c r="DG48" s="279"/>
      <c r="DH48" s="279"/>
      <c r="DI48" s="279"/>
      <c r="DJ48" s="279"/>
      <c r="DK48" s="279"/>
      <c r="DL48" s="279"/>
      <c r="DM48" s="279"/>
      <c r="DN48" s="279"/>
      <c r="DO48" s="279"/>
      <c r="DP48" s="279"/>
      <c r="DQ48" s="279"/>
      <c r="DR48" s="279"/>
      <c r="DS48" s="279"/>
      <c r="DT48" s="279"/>
      <c r="DU48" s="279"/>
      <c r="DV48" s="279"/>
      <c r="DW48" s="279"/>
      <c r="DX48" s="279"/>
      <c r="DY48" s="279"/>
      <c r="DZ48" s="279"/>
      <c r="EA48" s="279"/>
      <c r="EB48" s="279"/>
      <c r="EC48" s="279"/>
      <c r="ED48" s="279"/>
      <c r="EE48" s="279"/>
      <c r="EF48" s="279"/>
      <c r="EG48" s="279"/>
      <c r="EH48" s="279"/>
      <c r="EI48" s="279"/>
      <c r="EJ48" s="279"/>
      <c r="EK48" s="279"/>
      <c r="EL48" s="279"/>
      <c r="EM48" s="279"/>
      <c r="EN48" s="279"/>
      <c r="EO48" s="279"/>
      <c r="EP48" s="279"/>
      <c r="EQ48" s="279"/>
      <c r="ER48" s="279"/>
      <c r="ES48" s="279"/>
      <c r="ET48" s="279"/>
      <c r="EU48" s="279"/>
      <c r="EV48" s="279"/>
      <c r="EW48" s="279"/>
      <c r="EX48" s="279"/>
      <c r="EY48" s="279"/>
      <c r="EZ48" s="279"/>
      <c r="FA48" s="279"/>
      <c r="FB48" s="279"/>
      <c r="FC48" s="279"/>
      <c r="FD48" s="279"/>
      <c r="FE48" s="279"/>
    </row>
    <row r="49" spans="1:161" s="612" customFormat="1" x14ac:dyDescent="0.2">
      <c r="A49" s="904"/>
      <c r="B49" s="610"/>
      <c r="C49" s="611"/>
      <c r="D49" s="611"/>
      <c r="E49" s="603" t="s">
        <v>527</v>
      </c>
      <c r="F49" s="272"/>
      <c r="G49" s="272"/>
      <c r="H49" s="513">
        <f>SUM(H43:H48)</f>
        <v>238</v>
      </c>
      <c r="I49" s="513">
        <f t="shared" ref="I49:BT49" si="135">SUM(I43:I48)</f>
        <v>41600000</v>
      </c>
      <c r="J49" s="513">
        <f t="shared" si="135"/>
        <v>8320000</v>
      </c>
      <c r="K49" s="513">
        <f t="shared" si="135"/>
        <v>33280000</v>
      </c>
      <c r="L49" s="513">
        <f t="shared" si="135"/>
        <v>0</v>
      </c>
      <c r="M49" s="513">
        <f t="shared" si="135"/>
        <v>0</v>
      </c>
      <c r="N49" s="513">
        <f t="shared" si="135"/>
        <v>0</v>
      </c>
      <c r="O49" s="513">
        <f t="shared" si="135"/>
        <v>0</v>
      </c>
      <c r="P49" s="513">
        <f t="shared" si="135"/>
        <v>0</v>
      </c>
      <c r="Q49" s="513">
        <f t="shared" si="135"/>
        <v>0</v>
      </c>
      <c r="R49" s="513">
        <f t="shared" si="135"/>
        <v>0</v>
      </c>
      <c r="S49" s="513">
        <f t="shared" si="135"/>
        <v>0</v>
      </c>
      <c r="T49" s="513">
        <f t="shared" si="135"/>
        <v>184.4</v>
      </c>
      <c r="U49" s="513">
        <f t="shared" si="135"/>
        <v>69</v>
      </c>
      <c r="V49" s="513">
        <f t="shared" si="135"/>
        <v>160.6</v>
      </c>
      <c r="W49" s="513">
        <f t="shared" si="135"/>
        <v>125</v>
      </c>
      <c r="X49" s="513">
        <f t="shared" si="135"/>
        <v>26020000</v>
      </c>
      <c r="Y49" s="513">
        <f t="shared" si="135"/>
        <v>4900000</v>
      </c>
      <c r="Z49" s="513">
        <f t="shared" si="135"/>
        <v>10680000</v>
      </c>
      <c r="AA49" s="513">
        <f t="shared" si="135"/>
        <v>0</v>
      </c>
      <c r="AB49" s="513">
        <f t="shared" si="135"/>
        <v>10</v>
      </c>
      <c r="AC49" s="513">
        <f t="shared" si="135"/>
        <v>1400000</v>
      </c>
      <c r="AD49" s="513">
        <f t="shared" si="135"/>
        <v>2</v>
      </c>
      <c r="AE49" s="513">
        <f t="shared" si="135"/>
        <v>200000</v>
      </c>
      <c r="AF49" s="513">
        <f t="shared" si="135"/>
        <v>12</v>
      </c>
      <c r="AG49" s="513">
        <f t="shared" si="135"/>
        <v>1600000</v>
      </c>
      <c r="AH49" s="513">
        <f t="shared" si="135"/>
        <v>20</v>
      </c>
      <c r="AI49" s="513">
        <f t="shared" si="135"/>
        <v>4000000</v>
      </c>
      <c r="AJ49" s="513">
        <f t="shared" si="135"/>
        <v>13</v>
      </c>
      <c r="AK49" s="513">
        <f t="shared" si="135"/>
        <v>1900000</v>
      </c>
      <c r="AL49" s="513">
        <f t="shared" si="135"/>
        <v>25</v>
      </c>
      <c r="AM49" s="513">
        <f t="shared" si="135"/>
        <v>4500000</v>
      </c>
      <c r="AN49" s="513">
        <f t="shared" si="135"/>
        <v>3</v>
      </c>
      <c r="AO49" s="513">
        <f t="shared" si="135"/>
        <v>300000</v>
      </c>
      <c r="AP49" s="513">
        <f t="shared" si="135"/>
        <v>8</v>
      </c>
      <c r="AQ49" s="513">
        <f t="shared" si="135"/>
        <v>800000</v>
      </c>
      <c r="AR49" s="513">
        <f t="shared" si="135"/>
        <v>4</v>
      </c>
      <c r="AS49" s="513">
        <f t="shared" si="135"/>
        <v>400000</v>
      </c>
      <c r="AT49" s="513">
        <f t="shared" si="135"/>
        <v>17</v>
      </c>
      <c r="AU49" s="513">
        <f t="shared" si="135"/>
        <v>3100000</v>
      </c>
      <c r="AV49" s="513">
        <f t="shared" si="135"/>
        <v>20</v>
      </c>
      <c r="AW49" s="513">
        <f t="shared" si="135"/>
        <v>4000000</v>
      </c>
      <c r="AX49" s="513">
        <f t="shared" si="135"/>
        <v>20</v>
      </c>
      <c r="AY49" s="513">
        <f t="shared" si="135"/>
        <v>4000000</v>
      </c>
      <c r="AZ49" s="513">
        <f t="shared" si="135"/>
        <v>13</v>
      </c>
      <c r="BA49" s="513">
        <f t="shared" si="135"/>
        <v>1900000</v>
      </c>
      <c r="BB49" s="513">
        <f t="shared" si="135"/>
        <v>19</v>
      </c>
      <c r="BC49" s="513">
        <f t="shared" si="135"/>
        <v>3900000</v>
      </c>
      <c r="BD49" s="513">
        <f t="shared" si="135"/>
        <v>20</v>
      </c>
      <c r="BE49" s="513">
        <f t="shared" si="135"/>
        <v>4000000</v>
      </c>
      <c r="BF49" s="513">
        <f t="shared" si="135"/>
        <v>20</v>
      </c>
      <c r="BG49" s="513">
        <f t="shared" si="135"/>
        <v>4000000</v>
      </c>
      <c r="BH49" s="513">
        <f t="shared" si="135"/>
        <v>12</v>
      </c>
      <c r="BI49" s="513">
        <f t="shared" si="135"/>
        <v>1600000</v>
      </c>
      <c r="BJ49" s="513">
        <f t="shared" si="135"/>
        <v>0</v>
      </c>
      <c r="BK49" s="513">
        <f t="shared" si="135"/>
        <v>0</v>
      </c>
      <c r="BL49" s="513">
        <f t="shared" si="135"/>
        <v>238</v>
      </c>
      <c r="BM49" s="513">
        <f t="shared" si="135"/>
        <v>41600000</v>
      </c>
      <c r="BN49" s="513">
        <f t="shared" si="135"/>
        <v>0</v>
      </c>
      <c r="BO49" s="513">
        <f t="shared" si="135"/>
        <v>0</v>
      </c>
      <c r="BP49" s="513">
        <f t="shared" si="135"/>
        <v>41600000</v>
      </c>
      <c r="BQ49" s="513">
        <f t="shared" si="135"/>
        <v>0</v>
      </c>
      <c r="BR49" s="513">
        <f t="shared" si="135"/>
        <v>0</v>
      </c>
      <c r="BS49" s="513">
        <f t="shared" si="135"/>
        <v>0</v>
      </c>
      <c r="BT49" s="513">
        <f t="shared" si="135"/>
        <v>41600000</v>
      </c>
      <c r="BU49" s="513">
        <f>SUM(BU43:BU48)</f>
        <v>0</v>
      </c>
      <c r="BV49" s="513">
        <f>SUM(BV43:BV48)</f>
        <v>0</v>
      </c>
      <c r="BW49" s="513">
        <f>SUM(BW43:BW48)</f>
        <v>0</v>
      </c>
      <c r="BX49" s="513">
        <f>SUM(BX43:BX48)</f>
        <v>41600000</v>
      </c>
      <c r="BY49" s="501"/>
      <c r="BZ49" s="501"/>
      <c r="CA49" s="501"/>
      <c r="CB49" s="501"/>
      <c r="CC49" s="501"/>
      <c r="CD49" s="501"/>
      <c r="CE49" s="501"/>
      <c r="CF49" s="501"/>
      <c r="CG49" s="501"/>
      <c r="CH49" s="501"/>
      <c r="CI49" s="501"/>
      <c r="CJ49" s="501"/>
      <c r="CK49" s="501"/>
      <c r="CL49" s="501"/>
      <c r="CM49" s="501"/>
      <c r="CN49" s="501"/>
      <c r="CO49" s="501"/>
      <c r="CP49" s="501"/>
      <c r="CQ49" s="501"/>
      <c r="CR49" s="501"/>
      <c r="CS49" s="501"/>
      <c r="CT49" s="501"/>
      <c r="CU49" s="501"/>
      <c r="CV49" s="501"/>
      <c r="CW49" s="501"/>
      <c r="CX49" s="501"/>
      <c r="CY49" s="501"/>
      <c r="CZ49" s="501"/>
      <c r="DA49" s="501"/>
      <c r="DB49" s="501"/>
      <c r="DC49" s="501"/>
      <c r="DD49" s="501"/>
      <c r="DE49" s="501"/>
      <c r="DF49" s="501"/>
      <c r="DG49" s="501"/>
      <c r="DH49" s="501"/>
      <c r="DI49" s="501"/>
      <c r="DJ49" s="501"/>
      <c r="DK49" s="501"/>
      <c r="DL49" s="501"/>
      <c r="DM49" s="501"/>
      <c r="DN49" s="501"/>
      <c r="DO49" s="501"/>
      <c r="DP49" s="501"/>
      <c r="DQ49" s="501"/>
      <c r="DR49" s="501"/>
      <c r="DS49" s="501"/>
      <c r="DT49" s="501"/>
      <c r="DU49" s="501"/>
      <c r="DV49" s="501"/>
      <c r="DW49" s="501"/>
      <c r="DX49" s="501"/>
      <c r="DY49" s="501"/>
      <c r="DZ49" s="501"/>
      <c r="EA49" s="501"/>
      <c r="EB49" s="501"/>
      <c r="EC49" s="501"/>
      <c r="ED49" s="501"/>
      <c r="EE49" s="501"/>
      <c r="EF49" s="501"/>
      <c r="EG49" s="501"/>
      <c r="EH49" s="501"/>
      <c r="EI49" s="501"/>
      <c r="EJ49" s="501"/>
      <c r="EK49" s="501"/>
      <c r="EL49" s="501"/>
      <c r="EM49" s="501"/>
      <c r="EN49" s="501"/>
      <c r="EO49" s="501"/>
      <c r="EP49" s="501"/>
      <c r="EQ49" s="501"/>
      <c r="ER49" s="501"/>
      <c r="ES49" s="501"/>
      <c r="ET49" s="501"/>
      <c r="EU49" s="501"/>
      <c r="EV49" s="501"/>
      <c r="EW49" s="501"/>
      <c r="EX49" s="501"/>
      <c r="EY49" s="501"/>
      <c r="EZ49" s="501"/>
      <c r="FA49" s="501"/>
      <c r="FB49" s="501"/>
      <c r="FC49" s="501"/>
      <c r="FD49" s="501"/>
      <c r="FE49" s="501"/>
    </row>
    <row r="50" spans="1:161" s="281" customFormat="1" x14ac:dyDescent="0.2">
      <c r="A50" s="904"/>
      <c r="B50" s="267"/>
      <c r="C50" s="268"/>
      <c r="D50" s="268"/>
      <c r="E50" s="589" t="s">
        <v>400</v>
      </c>
      <c r="F50" s="271"/>
      <c r="G50" s="272"/>
      <c r="H50" s="513"/>
      <c r="I50" s="275"/>
      <c r="J50" s="275"/>
      <c r="K50" s="275"/>
      <c r="L50" s="275"/>
      <c r="M50" s="275"/>
      <c r="N50" s="275"/>
      <c r="O50" s="275"/>
      <c r="P50" s="275"/>
      <c r="Q50" s="275"/>
      <c r="R50" s="275"/>
      <c r="S50" s="275"/>
      <c r="T50" s="613"/>
      <c r="U50" s="276"/>
      <c r="V50" s="276"/>
      <c r="W50" s="276"/>
      <c r="X50" s="275"/>
      <c r="Y50" s="275"/>
      <c r="Z50" s="275"/>
      <c r="AA50" s="275"/>
      <c r="AB50" s="277"/>
      <c r="AC50" s="278">
        <f t="shared" si="2"/>
        <v>0</v>
      </c>
      <c r="AD50" s="277">
        <v>1</v>
      </c>
      <c r="AE50" s="278">
        <f t="shared" si="3"/>
        <v>0</v>
      </c>
      <c r="AF50" s="277"/>
      <c r="AG50" s="278">
        <f t="shared" si="4"/>
        <v>0</v>
      </c>
      <c r="AH50" s="277"/>
      <c r="AI50" s="278">
        <f t="shared" si="5"/>
        <v>0</v>
      </c>
      <c r="AJ50" s="277"/>
      <c r="AK50" s="278">
        <f t="shared" si="6"/>
        <v>0</v>
      </c>
      <c r="AL50" s="277"/>
      <c r="AM50" s="278">
        <f t="shared" si="7"/>
        <v>0</v>
      </c>
      <c r="AN50" s="277"/>
      <c r="AO50" s="278">
        <f t="shared" si="8"/>
        <v>0</v>
      </c>
      <c r="AP50" s="277"/>
      <c r="AQ50" s="278">
        <f t="shared" si="9"/>
        <v>0</v>
      </c>
      <c r="AR50" s="277"/>
      <c r="AS50" s="278">
        <f t="shared" si="10"/>
        <v>0</v>
      </c>
      <c r="AT50" s="277"/>
      <c r="AU50" s="278">
        <f t="shared" si="11"/>
        <v>0</v>
      </c>
      <c r="AV50" s="277"/>
      <c r="AW50" s="278">
        <f t="shared" si="12"/>
        <v>0</v>
      </c>
      <c r="AX50" s="277"/>
      <c r="AY50" s="278">
        <f t="shared" si="13"/>
        <v>0</v>
      </c>
      <c r="AZ50" s="277"/>
      <c r="BA50" s="278">
        <f t="shared" si="14"/>
        <v>0</v>
      </c>
      <c r="BB50" s="277"/>
      <c r="BC50" s="278">
        <f t="shared" si="15"/>
        <v>0</v>
      </c>
      <c r="BD50" s="277"/>
      <c r="BE50" s="278">
        <f t="shared" si="16"/>
        <v>0</v>
      </c>
      <c r="BF50" s="277"/>
      <c r="BG50" s="278">
        <f t="shared" si="17"/>
        <v>0</v>
      </c>
      <c r="BH50" s="277"/>
      <c r="BI50" s="278">
        <f>BH50*G50</f>
        <v>0</v>
      </c>
      <c r="BJ50" s="277"/>
      <c r="BK50" s="278">
        <f>BJ50*G50</f>
        <v>0</v>
      </c>
      <c r="BL50" s="277"/>
      <c r="BM50" s="278"/>
      <c r="BN50" s="271"/>
      <c r="BO50" s="279"/>
      <c r="BP50" s="264">
        <f>I50</f>
        <v>0</v>
      </c>
      <c r="BQ50" s="264"/>
      <c r="BR50" s="264"/>
      <c r="BS50" s="264"/>
      <c r="BT50" s="264">
        <f t="shared" si="42"/>
        <v>0</v>
      </c>
      <c r="BU50" s="264"/>
      <c r="BV50" s="264"/>
      <c r="BW50" s="264">
        <f>BU50+BV50</f>
        <v>0</v>
      </c>
      <c r="BX50" s="280">
        <f t="shared" si="22"/>
        <v>0</v>
      </c>
      <c r="BY50" s="279"/>
      <c r="BZ50" s="279"/>
      <c r="CA50" s="279"/>
      <c r="CB50" s="279"/>
      <c r="CC50" s="279"/>
      <c r="CD50" s="279"/>
      <c r="CE50" s="279"/>
      <c r="CF50" s="279"/>
      <c r="CG50" s="279"/>
      <c r="CH50" s="279"/>
      <c r="CI50" s="279"/>
      <c r="CJ50" s="279"/>
      <c r="CK50" s="279"/>
      <c r="CL50" s="279"/>
      <c r="CM50" s="279"/>
      <c r="CN50" s="279"/>
      <c r="CO50" s="279"/>
      <c r="CP50" s="279"/>
      <c r="CQ50" s="279"/>
      <c r="CR50" s="279"/>
      <c r="CS50" s="279"/>
      <c r="CT50" s="279"/>
      <c r="CU50" s="279"/>
      <c r="CV50" s="279"/>
      <c r="CW50" s="279"/>
      <c r="CX50" s="279"/>
      <c r="CY50" s="279"/>
      <c r="CZ50" s="279"/>
      <c r="DA50" s="279"/>
      <c r="DB50" s="279"/>
      <c r="DC50" s="279"/>
      <c r="DD50" s="279"/>
      <c r="DE50" s="279"/>
      <c r="DF50" s="279"/>
      <c r="DG50" s="279"/>
      <c r="DH50" s="279"/>
      <c r="DI50" s="279"/>
      <c r="DJ50" s="279"/>
      <c r="DK50" s="279"/>
      <c r="DL50" s="279"/>
      <c r="DM50" s="279"/>
      <c r="DN50" s="279"/>
      <c r="DO50" s="279"/>
      <c r="DP50" s="279"/>
      <c r="DQ50" s="279"/>
      <c r="DR50" s="279"/>
      <c r="DS50" s="279"/>
      <c r="DT50" s="279"/>
      <c r="DU50" s="279"/>
      <c r="DV50" s="279"/>
      <c r="DW50" s="279"/>
      <c r="DX50" s="279"/>
      <c r="DY50" s="279"/>
      <c r="DZ50" s="279"/>
      <c r="EA50" s="279"/>
      <c r="EB50" s="279"/>
      <c r="EC50" s="279"/>
      <c r="ED50" s="279"/>
      <c r="EE50" s="279"/>
      <c r="EF50" s="279"/>
      <c r="EG50" s="279"/>
      <c r="EH50" s="279"/>
      <c r="EI50" s="279"/>
      <c r="EJ50" s="279"/>
      <c r="EK50" s="279"/>
      <c r="EL50" s="279"/>
      <c r="EM50" s="279"/>
      <c r="EN50" s="279"/>
      <c r="EO50" s="279"/>
      <c r="EP50" s="279"/>
      <c r="EQ50" s="279"/>
      <c r="ER50" s="279"/>
      <c r="ES50" s="279"/>
      <c r="ET50" s="279"/>
      <c r="EU50" s="279"/>
      <c r="EV50" s="279"/>
      <c r="EW50" s="279"/>
      <c r="EX50" s="279"/>
      <c r="EY50" s="279"/>
      <c r="EZ50" s="279"/>
      <c r="FA50" s="279"/>
      <c r="FB50" s="279"/>
      <c r="FC50" s="279"/>
      <c r="FD50" s="279"/>
      <c r="FE50" s="279"/>
    </row>
    <row r="51" spans="1:161" s="281" customFormat="1" x14ac:dyDescent="0.2">
      <c r="A51" s="904"/>
      <c r="B51" s="267"/>
      <c r="C51" s="268"/>
      <c r="D51" s="268"/>
      <c r="E51" s="608" t="s">
        <v>614</v>
      </c>
      <c r="F51" s="271" t="s">
        <v>98</v>
      </c>
      <c r="G51" s="272">
        <v>500000</v>
      </c>
      <c r="H51" s="273">
        <f>BL51</f>
        <v>0</v>
      </c>
      <c r="I51" s="275">
        <f>H51*G51</f>
        <v>0</v>
      </c>
      <c r="J51" s="275"/>
      <c r="K51" s="275"/>
      <c r="L51" s="275">
        <f>I51*1</f>
        <v>0</v>
      </c>
      <c r="M51" s="275"/>
      <c r="N51" s="275"/>
      <c r="O51" s="275"/>
      <c r="P51" s="275"/>
      <c r="Q51" s="275"/>
      <c r="R51" s="275"/>
      <c r="S51" s="275"/>
      <c r="T51" s="613">
        <f>H51*0.25</f>
        <v>0</v>
      </c>
      <c r="U51" s="276">
        <f>H51*0.25</f>
        <v>0</v>
      </c>
      <c r="V51" s="276">
        <f>H51*0.25</f>
        <v>0</v>
      </c>
      <c r="W51" s="276">
        <f>H51*0.25</f>
        <v>0</v>
      </c>
      <c r="X51" s="275">
        <f>T51*I51</f>
        <v>0</v>
      </c>
      <c r="Y51" s="275">
        <f>U51*I51</f>
        <v>0</v>
      </c>
      <c r="Z51" s="275">
        <f>V51*I51</f>
        <v>0</v>
      </c>
      <c r="AA51" s="275">
        <f>W51*I51</f>
        <v>0</v>
      </c>
      <c r="AB51" s="277">
        <v>0</v>
      </c>
      <c r="AC51" s="278">
        <f t="shared" si="2"/>
        <v>0</v>
      </c>
      <c r="AD51" s="277">
        <v>0</v>
      </c>
      <c r="AE51" s="278">
        <f t="shared" si="3"/>
        <v>0</v>
      </c>
      <c r="AF51" s="277">
        <v>0</v>
      </c>
      <c r="AG51" s="278">
        <f t="shared" si="4"/>
        <v>0</v>
      </c>
      <c r="AH51" s="277">
        <v>0</v>
      </c>
      <c r="AI51" s="278">
        <f t="shared" si="5"/>
        <v>0</v>
      </c>
      <c r="AJ51" s="277">
        <v>0</v>
      </c>
      <c r="AK51" s="278">
        <f t="shared" si="6"/>
        <v>0</v>
      </c>
      <c r="AL51" s="277">
        <v>0</v>
      </c>
      <c r="AM51" s="278">
        <f t="shared" si="7"/>
        <v>0</v>
      </c>
      <c r="AN51" s="277">
        <v>0</v>
      </c>
      <c r="AO51" s="278">
        <f t="shared" si="8"/>
        <v>0</v>
      </c>
      <c r="AP51" s="277">
        <v>0</v>
      </c>
      <c r="AQ51" s="278">
        <f t="shared" si="9"/>
        <v>0</v>
      </c>
      <c r="AR51" s="277">
        <v>0</v>
      </c>
      <c r="AS51" s="278">
        <f t="shared" si="10"/>
        <v>0</v>
      </c>
      <c r="AT51" s="277">
        <v>0</v>
      </c>
      <c r="AU51" s="278">
        <f t="shared" si="11"/>
        <v>0</v>
      </c>
      <c r="AV51" s="277">
        <v>0</v>
      </c>
      <c r="AW51" s="278">
        <f t="shared" si="12"/>
        <v>0</v>
      </c>
      <c r="AX51" s="277">
        <v>0</v>
      </c>
      <c r="AY51" s="278">
        <f t="shared" si="13"/>
        <v>0</v>
      </c>
      <c r="AZ51" s="277">
        <v>0</v>
      </c>
      <c r="BA51" s="278">
        <f t="shared" si="14"/>
        <v>0</v>
      </c>
      <c r="BB51" s="277">
        <v>0</v>
      </c>
      <c r="BC51" s="278">
        <f t="shared" si="15"/>
        <v>0</v>
      </c>
      <c r="BD51" s="277">
        <v>0</v>
      </c>
      <c r="BE51" s="278">
        <f t="shared" si="16"/>
        <v>0</v>
      </c>
      <c r="BF51" s="277">
        <v>0</v>
      </c>
      <c r="BG51" s="278">
        <f t="shared" si="17"/>
        <v>0</v>
      </c>
      <c r="BH51" s="277">
        <v>0</v>
      </c>
      <c r="BI51" s="278">
        <f>BH51*G51</f>
        <v>0</v>
      </c>
      <c r="BJ51" s="277"/>
      <c r="BK51" s="278">
        <f>BJ51*G51</f>
        <v>0</v>
      </c>
      <c r="BL51" s="277">
        <f t="shared" ref="BL51:BM54" si="136">AB51+AD51+AF51+AH51+AJ51+AL51+AN51+AP51+AR51+AT51+AV51+AX51+AZ51+BB51+BD51+BF51+BH51+BJ51</f>
        <v>0</v>
      </c>
      <c r="BM51" s="278">
        <f t="shared" si="136"/>
        <v>0</v>
      </c>
      <c r="BN51" s="271" t="s">
        <v>526</v>
      </c>
      <c r="BO51" s="279"/>
      <c r="BP51" s="264"/>
      <c r="BQ51" s="264"/>
      <c r="BR51" s="264">
        <f>BM51</f>
        <v>0</v>
      </c>
      <c r="BS51" s="264"/>
      <c r="BT51" s="264">
        <f t="shared" si="42"/>
        <v>0</v>
      </c>
      <c r="BU51" s="264"/>
      <c r="BV51" s="264"/>
      <c r="BW51" s="264">
        <f>BU51+BV51</f>
        <v>0</v>
      </c>
      <c r="BX51" s="280">
        <f t="shared" si="22"/>
        <v>0</v>
      </c>
      <c r="BY51" s="279"/>
      <c r="BZ51" s="279"/>
      <c r="CA51" s="279"/>
      <c r="CB51" s="279"/>
      <c r="CC51" s="279"/>
      <c r="CD51" s="279"/>
      <c r="CE51" s="279"/>
      <c r="CF51" s="279"/>
      <c r="CG51" s="279"/>
      <c r="CH51" s="279"/>
      <c r="CI51" s="279"/>
      <c r="CJ51" s="279"/>
      <c r="CK51" s="279"/>
      <c r="CL51" s="279"/>
      <c r="CM51" s="279"/>
      <c r="CN51" s="279"/>
      <c r="CO51" s="279"/>
      <c r="CP51" s="279"/>
      <c r="CQ51" s="279"/>
      <c r="CR51" s="279"/>
      <c r="CS51" s="279"/>
      <c r="CT51" s="279"/>
      <c r="CU51" s="279"/>
      <c r="CV51" s="279"/>
      <c r="CW51" s="279"/>
      <c r="CX51" s="279"/>
      <c r="CY51" s="279"/>
      <c r="CZ51" s="279"/>
      <c r="DA51" s="279"/>
      <c r="DB51" s="279"/>
      <c r="DC51" s="279"/>
      <c r="DD51" s="279"/>
      <c r="DE51" s="279"/>
      <c r="DF51" s="279"/>
      <c r="DG51" s="279"/>
      <c r="DH51" s="279"/>
      <c r="DI51" s="279"/>
      <c r="DJ51" s="279"/>
      <c r="DK51" s="279"/>
      <c r="DL51" s="279"/>
      <c r="DM51" s="279"/>
      <c r="DN51" s="279"/>
      <c r="DO51" s="279"/>
      <c r="DP51" s="279"/>
      <c r="DQ51" s="279"/>
      <c r="DR51" s="279"/>
      <c r="DS51" s="279"/>
      <c r="DT51" s="279"/>
      <c r="DU51" s="279"/>
      <c r="DV51" s="279"/>
      <c r="DW51" s="279"/>
      <c r="DX51" s="279"/>
      <c r="DY51" s="279"/>
      <c r="DZ51" s="279"/>
      <c r="EA51" s="279"/>
      <c r="EB51" s="279"/>
      <c r="EC51" s="279"/>
      <c r="ED51" s="279"/>
      <c r="EE51" s="279"/>
      <c r="EF51" s="279"/>
      <c r="EG51" s="279"/>
      <c r="EH51" s="279"/>
      <c r="EI51" s="279"/>
      <c r="EJ51" s="279"/>
      <c r="EK51" s="279"/>
      <c r="EL51" s="279"/>
      <c r="EM51" s="279"/>
      <c r="EN51" s="279"/>
      <c r="EO51" s="279"/>
      <c r="EP51" s="279"/>
      <c r="EQ51" s="279"/>
      <c r="ER51" s="279"/>
      <c r="ES51" s="279"/>
      <c r="ET51" s="279"/>
      <c r="EU51" s="279"/>
      <c r="EV51" s="279"/>
      <c r="EW51" s="279"/>
      <c r="EX51" s="279"/>
      <c r="EY51" s="279"/>
      <c r="EZ51" s="279"/>
      <c r="FA51" s="279"/>
      <c r="FB51" s="279"/>
      <c r="FC51" s="279"/>
      <c r="FD51" s="279"/>
      <c r="FE51" s="279"/>
    </row>
    <row r="52" spans="1:161" x14ac:dyDescent="0.2">
      <c r="A52" s="904"/>
      <c r="B52" s="614"/>
      <c r="C52" s="599"/>
      <c r="D52" s="599"/>
      <c r="E52" s="270" t="s">
        <v>943</v>
      </c>
      <c r="F52" s="271" t="s">
        <v>98</v>
      </c>
      <c r="G52" s="272">
        <v>850000</v>
      </c>
      <c r="H52" s="273">
        <f>BL52</f>
        <v>0</v>
      </c>
      <c r="I52" s="275">
        <f>H52*G52</f>
        <v>0</v>
      </c>
      <c r="J52" s="277">
        <f>I52*0.2</f>
        <v>0</v>
      </c>
      <c r="K52" s="277">
        <f>I52*0.8</f>
        <v>0</v>
      </c>
      <c r="L52" s="277"/>
      <c r="M52" s="277"/>
      <c r="N52" s="277"/>
      <c r="O52" s="277"/>
      <c r="P52" s="277"/>
      <c r="Q52" s="277"/>
      <c r="R52" s="277">
        <f>I52*0</f>
        <v>0</v>
      </c>
      <c r="S52" s="277"/>
      <c r="T52" s="277">
        <f>H52*0.25</f>
        <v>0</v>
      </c>
      <c r="U52" s="277">
        <f>H52*0.25</f>
        <v>0</v>
      </c>
      <c r="V52" s="277">
        <f>H52*0.25</f>
        <v>0</v>
      </c>
      <c r="W52" s="277">
        <f>H52*0.25</f>
        <v>0</v>
      </c>
      <c r="X52" s="277">
        <f>T52*I52</f>
        <v>0</v>
      </c>
      <c r="Y52" s="277">
        <f>U52*I52</f>
        <v>0</v>
      </c>
      <c r="Z52" s="277">
        <f>V52*I52</f>
        <v>0</v>
      </c>
      <c r="AA52" s="277">
        <f>W52*I52</f>
        <v>0</v>
      </c>
      <c r="AB52" s="277">
        <v>0</v>
      </c>
      <c r="AC52" s="277">
        <f t="shared" si="2"/>
        <v>0</v>
      </c>
      <c r="AD52" s="277">
        <v>0</v>
      </c>
      <c r="AE52" s="278">
        <f t="shared" si="3"/>
        <v>0</v>
      </c>
      <c r="AF52" s="277">
        <v>0</v>
      </c>
      <c r="AG52" s="277">
        <f t="shared" si="4"/>
        <v>0</v>
      </c>
      <c r="AH52" s="277">
        <v>0</v>
      </c>
      <c r="AI52" s="277">
        <f t="shared" si="5"/>
        <v>0</v>
      </c>
      <c r="AJ52" s="277">
        <v>0</v>
      </c>
      <c r="AK52" s="277">
        <f t="shared" si="6"/>
        <v>0</v>
      </c>
      <c r="AL52" s="277">
        <v>0</v>
      </c>
      <c r="AM52" s="277">
        <f t="shared" si="7"/>
        <v>0</v>
      </c>
      <c r="AN52" s="277">
        <v>0</v>
      </c>
      <c r="AO52" s="277">
        <f t="shared" si="8"/>
        <v>0</v>
      </c>
      <c r="AP52" s="277">
        <v>0</v>
      </c>
      <c r="AQ52" s="277">
        <f t="shared" si="9"/>
        <v>0</v>
      </c>
      <c r="AR52" s="277">
        <v>0</v>
      </c>
      <c r="AS52" s="277">
        <f t="shared" si="10"/>
        <v>0</v>
      </c>
      <c r="AT52" s="277">
        <v>0</v>
      </c>
      <c r="AU52" s="277">
        <f t="shared" si="11"/>
        <v>0</v>
      </c>
      <c r="AV52" s="277">
        <v>0</v>
      </c>
      <c r="AW52" s="277">
        <f t="shared" si="12"/>
        <v>0</v>
      </c>
      <c r="AX52" s="277">
        <v>0</v>
      </c>
      <c r="AY52" s="277">
        <f t="shared" si="13"/>
        <v>0</v>
      </c>
      <c r="AZ52" s="277">
        <v>0</v>
      </c>
      <c r="BA52" s="277">
        <f t="shared" si="14"/>
        <v>0</v>
      </c>
      <c r="BB52" s="277">
        <v>0</v>
      </c>
      <c r="BC52" s="277">
        <f t="shared" si="15"/>
        <v>0</v>
      </c>
      <c r="BD52" s="277">
        <v>0</v>
      </c>
      <c r="BE52" s="277">
        <f t="shared" si="16"/>
        <v>0</v>
      </c>
      <c r="BF52" s="277">
        <v>0</v>
      </c>
      <c r="BG52" s="277">
        <f t="shared" si="17"/>
        <v>0</v>
      </c>
      <c r="BH52" s="277">
        <v>0</v>
      </c>
      <c r="BI52" s="277">
        <f>BH52*G52</f>
        <v>0</v>
      </c>
      <c r="BJ52" s="277"/>
      <c r="BK52" s="277">
        <f>BJ52*G52</f>
        <v>0</v>
      </c>
      <c r="BL52" s="615">
        <f t="shared" si="136"/>
        <v>0</v>
      </c>
      <c r="BM52" s="277">
        <f t="shared" si="136"/>
        <v>0</v>
      </c>
      <c r="BN52" s="271" t="s">
        <v>213</v>
      </c>
      <c r="BO52" s="616"/>
      <c r="BP52" s="599"/>
      <c r="BQ52" s="599"/>
      <c r="BR52" s="264">
        <f>BM52</f>
        <v>0</v>
      </c>
      <c r="BS52" s="599">
        <f>SUM(BS28:BS51)</f>
        <v>0</v>
      </c>
      <c r="BT52" s="264">
        <f t="shared" si="42"/>
        <v>0</v>
      </c>
      <c r="BU52" s="599">
        <f>SUM(BU28:BU51)</f>
        <v>0</v>
      </c>
      <c r="BV52" s="599">
        <f>SUM(BV28:BV51)</f>
        <v>0</v>
      </c>
      <c r="BW52" s="599">
        <f>SUM(BW28:BW51)</f>
        <v>0</v>
      </c>
      <c r="BX52" s="280">
        <f t="shared" si="22"/>
        <v>0</v>
      </c>
    </row>
    <row r="53" spans="1:161" x14ac:dyDescent="0.2">
      <c r="A53" s="904"/>
      <c r="B53" s="267"/>
      <c r="C53" s="587">
        <v>31500</v>
      </c>
      <c r="D53" s="269" t="s">
        <v>989</v>
      </c>
      <c r="E53" s="270" t="s">
        <v>401</v>
      </c>
      <c r="F53" s="271" t="s">
        <v>93</v>
      </c>
      <c r="G53" s="272">
        <v>0</v>
      </c>
      <c r="H53" s="273">
        <f>BL53</f>
        <v>0</v>
      </c>
      <c r="I53" s="273">
        <f t="shared" ref="I53:S53" si="137">BM53</f>
        <v>0</v>
      </c>
      <c r="J53" s="277">
        <f>I53*0</f>
        <v>0</v>
      </c>
      <c r="K53" s="277">
        <f>I53*0.8</f>
        <v>0</v>
      </c>
      <c r="L53" s="273">
        <f t="shared" si="137"/>
        <v>0</v>
      </c>
      <c r="M53" s="273">
        <f t="shared" si="137"/>
        <v>0</v>
      </c>
      <c r="N53" s="273">
        <v>0</v>
      </c>
      <c r="O53" s="273">
        <f t="shared" si="137"/>
        <v>0</v>
      </c>
      <c r="P53" s="273">
        <v>0</v>
      </c>
      <c r="Q53" s="273">
        <f t="shared" si="137"/>
        <v>0</v>
      </c>
      <c r="R53" s="273">
        <f>I53*0.2</f>
        <v>0</v>
      </c>
      <c r="S53" s="273">
        <f t="shared" si="137"/>
        <v>0</v>
      </c>
      <c r="T53" s="273">
        <v>260</v>
      </c>
      <c r="U53" s="273">
        <v>260</v>
      </c>
      <c r="V53" s="273">
        <v>260</v>
      </c>
      <c r="W53" s="273">
        <v>260</v>
      </c>
      <c r="X53" s="275">
        <f>I53*0.25</f>
        <v>0</v>
      </c>
      <c r="Y53" s="275">
        <f>I53*0.25</f>
        <v>0</v>
      </c>
      <c r="Z53" s="275">
        <f>I53*0.25</f>
        <v>0</v>
      </c>
      <c r="AA53" s="275">
        <f>I53*0.25</f>
        <v>0</v>
      </c>
      <c r="AB53" s="273">
        <v>0</v>
      </c>
      <c r="AC53" s="277">
        <f t="shared" si="2"/>
        <v>0</v>
      </c>
      <c r="AD53" s="277">
        <v>0</v>
      </c>
      <c r="AE53" s="277">
        <f t="shared" si="3"/>
        <v>0</v>
      </c>
      <c r="AF53" s="277">
        <v>0</v>
      </c>
      <c r="AG53" s="278">
        <f t="shared" si="4"/>
        <v>0</v>
      </c>
      <c r="AH53" s="277">
        <v>0</v>
      </c>
      <c r="AI53" s="278">
        <f t="shared" si="5"/>
        <v>0</v>
      </c>
      <c r="AJ53" s="277">
        <v>0</v>
      </c>
      <c r="AK53" s="278">
        <f t="shared" si="6"/>
        <v>0</v>
      </c>
      <c r="AL53" s="277">
        <v>0</v>
      </c>
      <c r="AM53" s="278">
        <f t="shared" si="7"/>
        <v>0</v>
      </c>
      <c r="AN53" s="277">
        <v>0</v>
      </c>
      <c r="AO53" s="278">
        <f t="shared" si="8"/>
        <v>0</v>
      </c>
      <c r="AP53" s="277">
        <v>0</v>
      </c>
      <c r="AQ53" s="278">
        <f t="shared" si="9"/>
        <v>0</v>
      </c>
      <c r="AR53" s="277">
        <v>0</v>
      </c>
      <c r="AS53" s="278">
        <f t="shared" si="10"/>
        <v>0</v>
      </c>
      <c r="AT53" s="277">
        <v>0</v>
      </c>
      <c r="AU53" s="278">
        <v>0</v>
      </c>
      <c r="AV53" s="277">
        <v>0</v>
      </c>
      <c r="AW53" s="278">
        <f t="shared" si="12"/>
        <v>0</v>
      </c>
      <c r="AX53" s="277">
        <v>0</v>
      </c>
      <c r="AY53" s="278">
        <f t="shared" si="13"/>
        <v>0</v>
      </c>
      <c r="AZ53" s="277">
        <v>0</v>
      </c>
      <c r="BA53" s="278">
        <f t="shared" si="14"/>
        <v>0</v>
      </c>
      <c r="BB53" s="277">
        <v>0</v>
      </c>
      <c r="BC53" s="278">
        <f t="shared" si="15"/>
        <v>0</v>
      </c>
      <c r="BD53" s="277">
        <v>0</v>
      </c>
      <c r="BE53" s="278">
        <f t="shared" si="16"/>
        <v>0</v>
      </c>
      <c r="BF53" s="277">
        <v>0</v>
      </c>
      <c r="BG53" s="278">
        <f t="shared" si="17"/>
        <v>0</v>
      </c>
      <c r="BH53" s="277">
        <v>0</v>
      </c>
      <c r="BI53" s="278">
        <f>BH53*G53</f>
        <v>0</v>
      </c>
      <c r="BJ53" s="277"/>
      <c r="BK53" s="278">
        <f>BJ53*G53</f>
        <v>0</v>
      </c>
      <c r="BL53" s="277">
        <f t="shared" si="136"/>
        <v>0</v>
      </c>
      <c r="BM53" s="278">
        <f t="shared" si="136"/>
        <v>0</v>
      </c>
      <c r="BN53" s="271" t="s">
        <v>213</v>
      </c>
      <c r="BP53" s="264"/>
      <c r="BQ53" s="264"/>
      <c r="BR53" s="264">
        <f>BM53</f>
        <v>0</v>
      </c>
      <c r="BS53" s="264"/>
      <c r="BT53" s="264">
        <f t="shared" si="42"/>
        <v>0</v>
      </c>
      <c r="BU53" s="264"/>
      <c r="BV53" s="264"/>
      <c r="BW53" s="264"/>
      <c r="BX53" s="280">
        <f t="shared" si="22"/>
        <v>0</v>
      </c>
    </row>
    <row r="54" spans="1:161" x14ac:dyDescent="0.2">
      <c r="A54" s="904"/>
      <c r="B54" s="267"/>
      <c r="C54" s="617"/>
      <c r="D54" s="617"/>
      <c r="E54" s="270" t="s">
        <v>916</v>
      </c>
      <c r="F54" s="271" t="s">
        <v>98</v>
      </c>
      <c r="G54" s="272">
        <v>1000000</v>
      </c>
      <c r="H54" s="273">
        <v>0</v>
      </c>
      <c r="I54" s="273">
        <f>H54*G54</f>
        <v>0</v>
      </c>
      <c r="J54" s="277"/>
      <c r="K54" s="277"/>
      <c r="L54" s="275">
        <f>I54*1</f>
        <v>0</v>
      </c>
      <c r="M54" s="278"/>
      <c r="N54" s="278"/>
      <c r="O54" s="278"/>
      <c r="P54" s="278"/>
      <c r="Q54" s="278"/>
      <c r="R54" s="278"/>
      <c r="S54" s="278"/>
      <c r="T54" s="276">
        <f>H54*0.25</f>
        <v>0</v>
      </c>
      <c r="U54" s="276">
        <f>H54*0.25</f>
        <v>0</v>
      </c>
      <c r="V54" s="276">
        <f>H54*0.25</f>
        <v>0</v>
      </c>
      <c r="W54" s="276">
        <f>H54*0.25</f>
        <v>0</v>
      </c>
      <c r="X54" s="278">
        <f>T54*G54</f>
        <v>0</v>
      </c>
      <c r="Y54" s="278">
        <f>U54*G54</f>
        <v>0</v>
      </c>
      <c r="Z54" s="278">
        <f>V54*G54</f>
        <v>0</v>
      </c>
      <c r="AA54" s="278">
        <f>W54*G54</f>
        <v>0</v>
      </c>
      <c r="AB54" s="277">
        <v>0</v>
      </c>
      <c r="AC54" s="278">
        <f t="shared" si="2"/>
        <v>0</v>
      </c>
      <c r="AD54" s="277">
        <v>0</v>
      </c>
      <c r="AE54" s="278">
        <f t="shared" si="3"/>
        <v>0</v>
      </c>
      <c r="AF54" s="277">
        <v>0</v>
      </c>
      <c r="AG54" s="278">
        <f t="shared" si="4"/>
        <v>0</v>
      </c>
      <c r="AH54" s="277">
        <v>0</v>
      </c>
      <c r="AI54" s="278">
        <f t="shared" si="5"/>
        <v>0</v>
      </c>
      <c r="AJ54" s="277">
        <v>0</v>
      </c>
      <c r="AK54" s="278">
        <f t="shared" si="6"/>
        <v>0</v>
      </c>
      <c r="AL54" s="277">
        <v>0</v>
      </c>
      <c r="AM54" s="278">
        <f t="shared" si="7"/>
        <v>0</v>
      </c>
      <c r="AN54" s="277">
        <v>0</v>
      </c>
      <c r="AO54" s="278">
        <f t="shared" si="8"/>
        <v>0</v>
      </c>
      <c r="AP54" s="277">
        <v>0</v>
      </c>
      <c r="AQ54" s="278">
        <f t="shared" si="9"/>
        <v>0</v>
      </c>
      <c r="AR54" s="277">
        <v>0</v>
      </c>
      <c r="AS54" s="278">
        <f t="shared" si="10"/>
        <v>0</v>
      </c>
      <c r="AT54" s="277">
        <v>0</v>
      </c>
      <c r="AU54" s="278">
        <f t="shared" si="11"/>
        <v>0</v>
      </c>
      <c r="AV54" s="277">
        <v>0</v>
      </c>
      <c r="AW54" s="278">
        <f t="shared" si="12"/>
        <v>0</v>
      </c>
      <c r="AX54" s="277">
        <v>0</v>
      </c>
      <c r="AY54" s="278">
        <f t="shared" si="13"/>
        <v>0</v>
      </c>
      <c r="AZ54" s="277">
        <v>0</v>
      </c>
      <c r="BA54" s="278">
        <f t="shared" si="14"/>
        <v>0</v>
      </c>
      <c r="BB54" s="277">
        <v>0</v>
      </c>
      <c r="BC54" s="278">
        <f t="shared" si="15"/>
        <v>0</v>
      </c>
      <c r="BD54" s="277">
        <v>0</v>
      </c>
      <c r="BE54" s="278">
        <f t="shared" si="16"/>
        <v>0</v>
      </c>
      <c r="BF54" s="277">
        <v>0</v>
      </c>
      <c r="BG54" s="278">
        <f t="shared" si="17"/>
        <v>0</v>
      </c>
      <c r="BH54" s="277">
        <v>0</v>
      </c>
      <c r="BI54" s="278">
        <f>BH54*G54</f>
        <v>0</v>
      </c>
      <c r="BJ54" s="277"/>
      <c r="BK54" s="278">
        <f>BJ54*G54</f>
        <v>0</v>
      </c>
      <c r="BL54" s="277">
        <f t="shared" si="136"/>
        <v>0</v>
      </c>
      <c r="BM54" s="278">
        <f t="shared" si="136"/>
        <v>0</v>
      </c>
      <c r="BN54" s="271" t="s">
        <v>526</v>
      </c>
      <c r="BP54" s="264"/>
      <c r="BQ54" s="264"/>
      <c r="BR54" s="264">
        <f>BM54</f>
        <v>0</v>
      </c>
      <c r="BS54" s="264"/>
      <c r="BT54" s="264">
        <f t="shared" si="42"/>
        <v>0</v>
      </c>
      <c r="BU54" s="264"/>
      <c r="BV54" s="264"/>
      <c r="BW54" s="264"/>
      <c r="BX54" s="280">
        <f t="shared" si="22"/>
        <v>0</v>
      </c>
    </row>
    <row r="55" spans="1:161" s="281" customFormat="1" x14ac:dyDescent="0.2">
      <c r="A55" s="904"/>
      <c r="B55" s="267"/>
      <c r="C55" s="268"/>
      <c r="D55" s="268"/>
      <c r="E55" s="589" t="s">
        <v>402</v>
      </c>
      <c r="F55" s="605" t="s">
        <v>111</v>
      </c>
      <c r="G55" s="603"/>
      <c r="H55" s="513">
        <f>SUM(H51:H54)</f>
        <v>0</v>
      </c>
      <c r="I55" s="513">
        <f t="shared" ref="I55:BT55" si="138">SUM(I51:I54)</f>
        <v>0</v>
      </c>
      <c r="J55" s="513">
        <f t="shared" si="138"/>
        <v>0</v>
      </c>
      <c r="K55" s="513">
        <f t="shared" si="138"/>
        <v>0</v>
      </c>
      <c r="L55" s="513">
        <f t="shared" si="138"/>
        <v>0</v>
      </c>
      <c r="M55" s="513">
        <f t="shared" si="138"/>
        <v>0</v>
      </c>
      <c r="N55" s="513">
        <f t="shared" si="138"/>
        <v>0</v>
      </c>
      <c r="O55" s="513">
        <f t="shared" si="138"/>
        <v>0</v>
      </c>
      <c r="P55" s="513">
        <f t="shared" si="138"/>
        <v>0</v>
      </c>
      <c r="Q55" s="513">
        <f t="shared" si="138"/>
        <v>0</v>
      </c>
      <c r="R55" s="513">
        <f t="shared" si="138"/>
        <v>0</v>
      </c>
      <c r="S55" s="513">
        <f t="shared" si="138"/>
        <v>0</v>
      </c>
      <c r="T55" s="513">
        <f t="shared" si="138"/>
        <v>260</v>
      </c>
      <c r="U55" s="513">
        <f t="shared" si="138"/>
        <v>260</v>
      </c>
      <c r="V55" s="513">
        <f t="shared" si="138"/>
        <v>260</v>
      </c>
      <c r="W55" s="513">
        <f t="shared" si="138"/>
        <v>260</v>
      </c>
      <c r="X55" s="513">
        <f t="shared" si="138"/>
        <v>0</v>
      </c>
      <c r="Y55" s="513">
        <f t="shared" si="138"/>
        <v>0</v>
      </c>
      <c r="Z55" s="513">
        <f t="shared" si="138"/>
        <v>0</v>
      </c>
      <c r="AA55" s="513">
        <f t="shared" si="138"/>
        <v>0</v>
      </c>
      <c r="AB55" s="513">
        <f t="shared" si="138"/>
        <v>0</v>
      </c>
      <c r="AC55" s="513">
        <f t="shared" si="138"/>
        <v>0</v>
      </c>
      <c r="AD55" s="513">
        <f t="shared" si="138"/>
        <v>0</v>
      </c>
      <c r="AE55" s="513">
        <f t="shared" si="138"/>
        <v>0</v>
      </c>
      <c r="AF55" s="513">
        <f t="shared" si="138"/>
        <v>0</v>
      </c>
      <c r="AG55" s="513">
        <f t="shared" si="138"/>
        <v>0</v>
      </c>
      <c r="AH55" s="513">
        <f t="shared" si="138"/>
        <v>0</v>
      </c>
      <c r="AI55" s="513">
        <f t="shared" si="138"/>
        <v>0</v>
      </c>
      <c r="AJ55" s="513">
        <f t="shared" si="138"/>
        <v>0</v>
      </c>
      <c r="AK55" s="513">
        <f t="shared" si="138"/>
        <v>0</v>
      </c>
      <c r="AL55" s="513">
        <f t="shared" si="138"/>
        <v>0</v>
      </c>
      <c r="AM55" s="513">
        <f t="shared" si="138"/>
        <v>0</v>
      </c>
      <c r="AN55" s="513">
        <f t="shared" si="138"/>
        <v>0</v>
      </c>
      <c r="AO55" s="513">
        <f t="shared" si="138"/>
        <v>0</v>
      </c>
      <c r="AP55" s="513">
        <f t="shared" si="138"/>
        <v>0</v>
      </c>
      <c r="AQ55" s="513">
        <f t="shared" si="138"/>
        <v>0</v>
      </c>
      <c r="AR55" s="513">
        <f t="shared" si="138"/>
        <v>0</v>
      </c>
      <c r="AS55" s="513">
        <f t="shared" si="138"/>
        <v>0</v>
      </c>
      <c r="AT55" s="513">
        <f t="shared" si="138"/>
        <v>0</v>
      </c>
      <c r="AU55" s="513">
        <f t="shared" si="138"/>
        <v>0</v>
      </c>
      <c r="AV55" s="513">
        <f t="shared" si="138"/>
        <v>0</v>
      </c>
      <c r="AW55" s="513">
        <f t="shared" si="138"/>
        <v>0</v>
      </c>
      <c r="AX55" s="513">
        <f t="shared" si="138"/>
        <v>0</v>
      </c>
      <c r="AY55" s="513">
        <f t="shared" si="138"/>
        <v>0</v>
      </c>
      <c r="AZ55" s="513">
        <f t="shared" si="138"/>
        <v>0</v>
      </c>
      <c r="BA55" s="513">
        <f t="shared" si="138"/>
        <v>0</v>
      </c>
      <c r="BB55" s="513">
        <f t="shared" si="138"/>
        <v>0</v>
      </c>
      <c r="BC55" s="513">
        <f t="shared" si="138"/>
        <v>0</v>
      </c>
      <c r="BD55" s="513">
        <f t="shared" si="138"/>
        <v>0</v>
      </c>
      <c r="BE55" s="513">
        <f t="shared" si="138"/>
        <v>0</v>
      </c>
      <c r="BF55" s="513">
        <f t="shared" si="138"/>
        <v>0</v>
      </c>
      <c r="BG55" s="513">
        <f t="shared" si="138"/>
        <v>0</v>
      </c>
      <c r="BH55" s="513">
        <f t="shared" si="138"/>
        <v>0</v>
      </c>
      <c r="BI55" s="513">
        <f t="shared" si="138"/>
        <v>0</v>
      </c>
      <c r="BJ55" s="513">
        <f t="shared" si="138"/>
        <v>0</v>
      </c>
      <c r="BK55" s="513">
        <f t="shared" si="138"/>
        <v>0</v>
      </c>
      <c r="BL55" s="513">
        <f t="shared" si="138"/>
        <v>0</v>
      </c>
      <c r="BM55" s="513">
        <f t="shared" si="138"/>
        <v>0</v>
      </c>
      <c r="BN55" s="513">
        <f t="shared" si="138"/>
        <v>0</v>
      </c>
      <c r="BO55" s="513">
        <f t="shared" si="138"/>
        <v>0</v>
      </c>
      <c r="BP55" s="513">
        <f t="shared" si="138"/>
        <v>0</v>
      </c>
      <c r="BQ55" s="513">
        <f t="shared" si="138"/>
        <v>0</v>
      </c>
      <c r="BR55" s="513">
        <f t="shared" si="138"/>
        <v>0</v>
      </c>
      <c r="BS55" s="513">
        <f t="shared" si="138"/>
        <v>0</v>
      </c>
      <c r="BT55" s="513">
        <f t="shared" si="138"/>
        <v>0</v>
      </c>
      <c r="BU55" s="513">
        <f>SUM(BU51:BU54)</f>
        <v>0</v>
      </c>
      <c r="BV55" s="513">
        <f>SUM(BV51:BV54)</f>
        <v>0</v>
      </c>
      <c r="BW55" s="513">
        <f>SUM(BW51:BW54)</f>
        <v>0</v>
      </c>
      <c r="BX55" s="513">
        <f>SUM(BX51:BX54)</f>
        <v>0</v>
      </c>
      <c r="BY55" s="499"/>
      <c r="BZ55" s="499"/>
      <c r="CA55" s="499"/>
      <c r="CB55" s="499"/>
      <c r="CC55" s="499"/>
      <c r="CD55" s="499"/>
      <c r="CE55" s="499"/>
      <c r="CF55" s="499"/>
      <c r="CG55" s="499"/>
      <c r="CH55" s="499"/>
      <c r="CI55" s="499"/>
      <c r="CJ55" s="499"/>
      <c r="CK55" s="499"/>
      <c r="CL55" s="499"/>
      <c r="CM55" s="499"/>
      <c r="CN55" s="499"/>
      <c r="CO55" s="499"/>
      <c r="CP55" s="499"/>
      <c r="CQ55" s="499"/>
      <c r="CR55" s="499"/>
      <c r="CS55" s="499"/>
      <c r="CT55" s="499"/>
      <c r="CU55" s="499"/>
      <c r="CV55" s="499"/>
      <c r="CW55" s="499"/>
      <c r="CX55" s="499"/>
      <c r="CY55" s="499"/>
      <c r="CZ55" s="499"/>
      <c r="DA55" s="499"/>
      <c r="DB55" s="499"/>
      <c r="DC55" s="499"/>
      <c r="DD55" s="499"/>
      <c r="DE55" s="499"/>
      <c r="DF55" s="499"/>
      <c r="DG55" s="499"/>
      <c r="DH55" s="499"/>
      <c r="DI55" s="499"/>
      <c r="DJ55" s="499"/>
      <c r="DK55" s="499"/>
      <c r="DL55" s="499"/>
      <c r="DM55" s="499"/>
      <c r="DN55" s="499"/>
      <c r="DO55" s="499"/>
      <c r="DP55" s="499"/>
      <c r="DQ55" s="499"/>
      <c r="DR55" s="499"/>
      <c r="DS55" s="499"/>
      <c r="DT55" s="499"/>
      <c r="DU55" s="499"/>
      <c r="DV55" s="499"/>
      <c r="DW55" s="499"/>
      <c r="DX55" s="499"/>
      <c r="DY55" s="499"/>
      <c r="DZ55" s="499"/>
      <c r="EA55" s="499"/>
      <c r="EB55" s="499"/>
      <c r="EC55" s="499"/>
      <c r="ED55" s="499"/>
      <c r="EE55" s="499"/>
      <c r="EF55" s="499"/>
      <c r="EG55" s="499"/>
      <c r="EH55" s="499"/>
      <c r="EI55" s="499"/>
      <c r="EJ55" s="499"/>
      <c r="EK55" s="499"/>
      <c r="EL55" s="499"/>
      <c r="EM55" s="499"/>
      <c r="EN55" s="499"/>
      <c r="EO55" s="499"/>
      <c r="EP55" s="499"/>
      <c r="EQ55" s="499"/>
      <c r="ER55" s="499"/>
      <c r="ES55" s="499"/>
      <c r="ET55" s="499"/>
      <c r="EU55" s="499"/>
      <c r="EV55" s="499"/>
      <c r="EW55" s="499"/>
      <c r="EX55" s="499"/>
      <c r="EY55" s="499"/>
      <c r="EZ55" s="499"/>
      <c r="FA55" s="499"/>
      <c r="FB55" s="499"/>
      <c r="FC55" s="499"/>
      <c r="FD55" s="499"/>
      <c r="FE55" s="499"/>
    </row>
    <row r="56" spans="1:161" s="281" customFormat="1" x14ac:dyDescent="0.2">
      <c r="A56" s="904"/>
      <c r="B56" s="267"/>
      <c r="C56" s="268"/>
      <c r="D56" s="268"/>
      <c r="E56" s="602" t="s">
        <v>333</v>
      </c>
      <c r="F56" s="605" t="s">
        <v>111</v>
      </c>
      <c r="G56" s="603" t="s">
        <v>111</v>
      </c>
      <c r="H56" s="618">
        <f t="shared" ref="H56:AL56" si="139">H55+H43+H41+H28+H19+H15+H49</f>
        <v>825</v>
      </c>
      <c r="I56" s="618">
        <f>I55+I41+I28+I19+I15+I49</f>
        <v>62380000</v>
      </c>
      <c r="J56" s="618">
        <f>J55+J41+J28+J19+J15+J49</f>
        <v>12060000</v>
      </c>
      <c r="K56" s="618">
        <f>K55+K41+K28+K19+K15+K49</f>
        <v>49488000</v>
      </c>
      <c r="L56" s="618">
        <f t="shared" si="139"/>
        <v>0</v>
      </c>
      <c r="M56" s="618">
        <f t="shared" si="139"/>
        <v>0</v>
      </c>
      <c r="N56" s="618">
        <f t="shared" si="139"/>
        <v>0</v>
      </c>
      <c r="O56" s="618">
        <f t="shared" si="139"/>
        <v>0</v>
      </c>
      <c r="P56" s="618">
        <f t="shared" si="139"/>
        <v>0</v>
      </c>
      <c r="Q56" s="618">
        <f t="shared" si="139"/>
        <v>0</v>
      </c>
      <c r="R56" s="618">
        <f t="shared" si="139"/>
        <v>832000</v>
      </c>
      <c r="S56" s="618">
        <f t="shared" si="139"/>
        <v>0</v>
      </c>
      <c r="T56" s="618">
        <f t="shared" si="139"/>
        <v>638.69999999999993</v>
      </c>
      <c r="U56" s="618">
        <f t="shared" si="139"/>
        <v>452.9</v>
      </c>
      <c r="V56" s="618">
        <f t="shared" si="139"/>
        <v>574.30000000000007</v>
      </c>
      <c r="W56" s="618">
        <f t="shared" si="139"/>
        <v>503.1</v>
      </c>
      <c r="X56" s="618">
        <f>X55+X41+X28+X19+X15+X49</f>
        <v>45552000</v>
      </c>
      <c r="Y56" s="618">
        <f>Y55+Y41+Y28+Y19+Y15+Y49</f>
        <v>5732000</v>
      </c>
      <c r="Z56" s="618">
        <f>Z55+Z41+Z28+Z19+Z15+Z49</f>
        <v>10888000</v>
      </c>
      <c r="AA56" s="618">
        <f>AA55+AA41+AA28+AA19+AA15+AA49</f>
        <v>208000</v>
      </c>
      <c r="AB56" s="618">
        <f t="shared" si="139"/>
        <v>19</v>
      </c>
      <c r="AC56" s="618">
        <f>AC55+AC41+AC28+AC19+AC15+AC49</f>
        <v>2500000</v>
      </c>
      <c r="AD56" s="618">
        <f t="shared" si="139"/>
        <v>13</v>
      </c>
      <c r="AE56" s="618">
        <f>AE55+AE41+AE28+AE19+AE15+AE49</f>
        <v>2100000</v>
      </c>
      <c r="AF56" s="618">
        <f t="shared" si="139"/>
        <v>15</v>
      </c>
      <c r="AG56" s="618">
        <f>AG55+AG41+AG28+AG19+AG15+AG49</f>
        <v>2700000</v>
      </c>
      <c r="AH56" s="618">
        <f t="shared" si="139"/>
        <v>65</v>
      </c>
      <c r="AI56" s="618">
        <f>AI55+AI41+AI28+AI19+AI15+AI49</f>
        <v>5260000</v>
      </c>
      <c r="AJ56" s="618">
        <f t="shared" si="139"/>
        <v>33</v>
      </c>
      <c r="AK56" s="618">
        <f>AK55+AK41+AK28+AK19+AK15+AK49</f>
        <v>3160000</v>
      </c>
      <c r="AL56" s="618">
        <f t="shared" si="139"/>
        <v>38</v>
      </c>
      <c r="AM56" s="618">
        <f>AM55+AM41+AM28+AM19+AM15+AM49</f>
        <v>5760000</v>
      </c>
      <c r="AN56" s="618">
        <f t="shared" ref="AN56:BL56" si="140">AN55+AN43+AN41+AN28+AN19+AN15+AN49</f>
        <v>13</v>
      </c>
      <c r="AO56" s="618">
        <f>AO55+AO41+AO28+AO19+AO15+AO49</f>
        <v>1400000</v>
      </c>
      <c r="AP56" s="618">
        <f t="shared" si="140"/>
        <v>32</v>
      </c>
      <c r="AQ56" s="618">
        <f>AQ55+AQ41+AQ28+AQ19+AQ15+AQ49</f>
        <v>1980000</v>
      </c>
      <c r="AR56" s="618">
        <f t="shared" si="140"/>
        <v>10</v>
      </c>
      <c r="AS56" s="618">
        <f>AS55+AS41+AS28+AS19+AS15+AS49</f>
        <v>1580000</v>
      </c>
      <c r="AT56" s="618">
        <f t="shared" si="140"/>
        <v>25</v>
      </c>
      <c r="AU56" s="618">
        <f>AU55+AU41+AU28+AU19+AU15+AU49</f>
        <v>4200000</v>
      </c>
      <c r="AV56" s="618">
        <f t="shared" si="140"/>
        <v>52</v>
      </c>
      <c r="AW56" s="618">
        <f>AW55+AW41+AW28+AW19+AW15+AW49</f>
        <v>5180000</v>
      </c>
      <c r="AX56" s="618">
        <f t="shared" si="140"/>
        <v>134</v>
      </c>
      <c r="AY56" s="618">
        <f>AY55+AY41+AY28+AY19+AY15+AY49</f>
        <v>5340000</v>
      </c>
      <c r="AZ56" s="618">
        <f t="shared" si="140"/>
        <v>192</v>
      </c>
      <c r="BA56" s="618">
        <f>BA55+BA41+BA28+BA19+BA15+BA49</f>
        <v>3000000</v>
      </c>
      <c r="BB56" s="618">
        <f t="shared" si="140"/>
        <v>49</v>
      </c>
      <c r="BC56" s="618">
        <f>BC55+BC41+BC28+BC19+BC15+BC49</f>
        <v>5080000</v>
      </c>
      <c r="BD56" s="618">
        <f t="shared" si="140"/>
        <v>72</v>
      </c>
      <c r="BE56" s="618">
        <f>BE55+BE41+BE28+BE19+BE15+BE49</f>
        <v>5180000</v>
      </c>
      <c r="BF56" s="618">
        <f t="shared" si="140"/>
        <v>46</v>
      </c>
      <c r="BG56" s="618">
        <f>BG55+BG41+BG28+BG19+BG15+BG49</f>
        <v>5180000</v>
      </c>
      <c r="BH56" s="618">
        <f t="shared" si="140"/>
        <v>15</v>
      </c>
      <c r="BI56" s="618">
        <f>BI55+BI41+BI28+BI19+BI15+BI49</f>
        <v>2700000</v>
      </c>
      <c r="BJ56" s="618">
        <f t="shared" si="140"/>
        <v>2</v>
      </c>
      <c r="BK56" s="618">
        <f t="shared" si="140"/>
        <v>80000</v>
      </c>
      <c r="BL56" s="618">
        <f t="shared" si="140"/>
        <v>825</v>
      </c>
      <c r="BM56" s="618">
        <f>BM55+BM41+BM28+BM19+BM15+BM49</f>
        <v>62380000</v>
      </c>
      <c r="BN56" s="618"/>
      <c r="BO56" s="618">
        <f t="shared" ref="BO56:BW56" si="141">BO55+BO43+BO41+BO28+BO19+BO15+BO49</f>
        <v>0</v>
      </c>
      <c r="BP56" s="618">
        <f>BP55+BP41+BP28+BP19+BP15+BP49</f>
        <v>43680000</v>
      </c>
      <c r="BQ56" s="618">
        <f t="shared" si="141"/>
        <v>0</v>
      </c>
      <c r="BR56" s="618">
        <f t="shared" si="141"/>
        <v>18700000</v>
      </c>
      <c r="BS56" s="618">
        <f t="shared" si="141"/>
        <v>0</v>
      </c>
      <c r="BT56" s="618">
        <f>BT55+BT41+BT28+BT19+BT15+BT49</f>
        <v>62380000</v>
      </c>
      <c r="BU56" s="618">
        <f t="shared" si="141"/>
        <v>0</v>
      </c>
      <c r="BV56" s="618">
        <f t="shared" si="141"/>
        <v>0</v>
      </c>
      <c r="BW56" s="618">
        <f t="shared" si="141"/>
        <v>0</v>
      </c>
      <c r="BX56" s="618">
        <f>BX55+BX41+BX28+BX19+BX15+BX49</f>
        <v>62380000</v>
      </c>
      <c r="BY56" s="499"/>
      <c r="BZ56" s="499"/>
      <c r="CA56" s="499"/>
      <c r="CB56" s="499"/>
      <c r="CC56" s="499"/>
      <c r="CD56" s="499"/>
      <c r="CE56" s="499"/>
      <c r="CF56" s="499"/>
      <c r="CG56" s="499"/>
      <c r="CH56" s="499"/>
      <c r="CI56" s="499"/>
      <c r="CJ56" s="499"/>
      <c r="CK56" s="499"/>
      <c r="CL56" s="499"/>
      <c r="CM56" s="499"/>
      <c r="CN56" s="499"/>
      <c r="CO56" s="499"/>
      <c r="CP56" s="499"/>
      <c r="CQ56" s="499"/>
      <c r="CR56" s="499"/>
      <c r="CS56" s="499"/>
      <c r="CT56" s="499"/>
      <c r="CU56" s="499"/>
      <c r="CV56" s="499"/>
      <c r="CW56" s="499"/>
      <c r="CX56" s="499"/>
      <c r="CY56" s="499"/>
      <c r="CZ56" s="499"/>
      <c r="DA56" s="499"/>
      <c r="DB56" s="499"/>
      <c r="DC56" s="499"/>
      <c r="DD56" s="499"/>
      <c r="DE56" s="499"/>
      <c r="DF56" s="499"/>
      <c r="DG56" s="499"/>
      <c r="DH56" s="499"/>
      <c r="DI56" s="499"/>
      <c r="DJ56" s="499"/>
      <c r="DK56" s="499"/>
      <c r="DL56" s="499"/>
      <c r="DM56" s="499"/>
      <c r="DN56" s="499"/>
      <c r="DO56" s="499"/>
      <c r="DP56" s="499"/>
      <c r="DQ56" s="499"/>
      <c r="DR56" s="499"/>
      <c r="DS56" s="499"/>
      <c r="DT56" s="499"/>
      <c r="DU56" s="499"/>
      <c r="DV56" s="499"/>
      <c r="DW56" s="499"/>
      <c r="DX56" s="499"/>
      <c r="DY56" s="499"/>
      <c r="DZ56" s="499"/>
      <c r="EA56" s="499"/>
      <c r="EB56" s="499"/>
      <c r="EC56" s="499"/>
      <c r="ED56" s="499"/>
      <c r="EE56" s="499"/>
      <c r="EF56" s="499"/>
      <c r="EG56" s="499"/>
      <c r="EH56" s="499"/>
      <c r="EI56" s="499"/>
      <c r="EJ56" s="499"/>
      <c r="EK56" s="499"/>
      <c r="EL56" s="499"/>
      <c r="EM56" s="499"/>
      <c r="EN56" s="499"/>
      <c r="EO56" s="499"/>
      <c r="EP56" s="499"/>
      <c r="EQ56" s="499"/>
      <c r="ER56" s="499"/>
      <c r="ES56" s="499"/>
      <c r="ET56" s="499"/>
      <c r="EU56" s="499"/>
      <c r="EV56" s="499"/>
      <c r="EW56" s="499"/>
      <c r="EX56" s="499"/>
      <c r="EY56" s="499"/>
      <c r="EZ56" s="499"/>
      <c r="FA56" s="499"/>
      <c r="FB56" s="499"/>
      <c r="FC56" s="499"/>
      <c r="FD56" s="499"/>
      <c r="FE56" s="499"/>
    </row>
    <row r="58" spans="1:161" x14ac:dyDescent="0.25">
      <c r="I58" s="619">
        <f>I56-J58</f>
        <v>0</v>
      </c>
      <c r="J58" s="619">
        <f>SUM(J56:S56)</f>
        <v>62380000</v>
      </c>
    </row>
    <row r="59" spans="1:161" x14ac:dyDescent="0.25">
      <c r="I59" s="619">
        <f>I56-BM56</f>
        <v>0</v>
      </c>
      <c r="X59" s="621">
        <f>SUM(X56:AA56)</f>
        <v>62380000</v>
      </c>
      <c r="BM59" s="622"/>
    </row>
    <row r="60" spans="1:161" x14ac:dyDescent="0.25">
      <c r="X60" s="621">
        <f>I56-X59</f>
        <v>0</v>
      </c>
    </row>
  </sheetData>
  <mergeCells count="42">
    <mergeCell ref="BX7:BX8"/>
    <mergeCell ref="A9:A56"/>
    <mergeCell ref="BH6:BI7"/>
    <mergeCell ref="BJ6:BK7"/>
    <mergeCell ref="BL6:BM7"/>
    <mergeCell ref="BN6:BN8"/>
    <mergeCell ref="C7:C8"/>
    <mergeCell ref="T6:W7"/>
    <mergeCell ref="X6:AA7"/>
    <mergeCell ref="AB6:AC7"/>
    <mergeCell ref="AR6:AS7"/>
    <mergeCell ref="AF6:AG7"/>
    <mergeCell ref="AH6:AI7"/>
    <mergeCell ref="BP7:BT7"/>
    <mergeCell ref="BU7:BW7"/>
    <mergeCell ref="BB6:BC7"/>
    <mergeCell ref="BD6:BE7"/>
    <mergeCell ref="BF6:BG7"/>
    <mergeCell ref="AT6:AU7"/>
    <mergeCell ref="AX6:AY7"/>
    <mergeCell ref="AZ6:BA7"/>
    <mergeCell ref="AV6:AW7"/>
    <mergeCell ref="AJ6:AK7"/>
    <mergeCell ref="AL6:AM7"/>
    <mergeCell ref="AN6:AO7"/>
    <mergeCell ref="AP6:AQ7"/>
    <mergeCell ref="AD6:AE7"/>
    <mergeCell ref="D8:D9"/>
    <mergeCell ref="A1:C1"/>
    <mergeCell ref="E1:S1"/>
    <mergeCell ref="A2:C2"/>
    <mergeCell ref="E2:S2"/>
    <mergeCell ref="A5:C5"/>
    <mergeCell ref="E5:S5"/>
    <mergeCell ref="A6:F6"/>
    <mergeCell ref="H6:I6"/>
    <mergeCell ref="J6:S6"/>
    <mergeCell ref="E7:E8"/>
    <mergeCell ref="F7:F8"/>
    <mergeCell ref="G7:G8"/>
    <mergeCell ref="H7:H8"/>
    <mergeCell ref="I7:I8"/>
  </mergeCells>
  <phoneticPr fontId="28" type="noConversion"/>
  <pageMargins left="0.26" right="0.34" top="0.75" bottom="0.75" header="0.3" footer="0.3"/>
  <pageSetup paperSize="9" scale="1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00B0F0"/>
    <pageSetUpPr fitToPage="1"/>
  </sheetPr>
  <dimension ref="A1:BV51"/>
  <sheetViews>
    <sheetView zoomScale="70" zoomScaleNormal="70" workbookViewId="0">
      <pane xSplit="7" ySplit="9" topLeftCell="H40" activePane="bottomRight" state="frozen"/>
      <selection pane="topRight" activeCell="H1" sqref="H1"/>
      <selection pane="bottomLeft" activeCell="A10" sqref="A10"/>
      <selection pane="bottomRight" activeCell="I60" sqref="I60"/>
    </sheetView>
  </sheetViews>
  <sheetFormatPr defaultColWidth="9.140625" defaultRowHeight="15.75" x14ac:dyDescent="0.25"/>
  <cols>
    <col min="1" max="1" width="10.28515625" style="318" bestFit="1" customWidth="1"/>
    <col min="2" max="2" width="10.28515625" style="318" customWidth="1"/>
    <col min="3" max="3" width="55.42578125" style="624" bestFit="1" customWidth="1"/>
    <col min="4" max="4" width="7.140625" style="318" customWidth="1"/>
    <col min="5" max="5" width="13.28515625" style="318" customWidth="1"/>
    <col min="6" max="6" width="11.85546875" style="625" customWidth="1"/>
    <col min="7" max="7" width="16.42578125" style="318" customWidth="1"/>
    <col min="8" max="8" width="15" style="318" bestFit="1" customWidth="1"/>
    <col min="9" max="9" width="16.42578125" style="318" bestFit="1" customWidth="1"/>
    <col min="10" max="10" width="11.5703125" style="318" bestFit="1" customWidth="1"/>
    <col min="11" max="11" width="14.140625" style="318" bestFit="1" customWidth="1"/>
    <col min="12" max="12" width="18.85546875" style="318" customWidth="1"/>
    <col min="13" max="13" width="13.42578125" style="318" bestFit="1" customWidth="1"/>
    <col min="14" max="14" width="6.140625" style="318" bestFit="1" customWidth="1"/>
    <col min="15" max="15" width="8" style="318" bestFit="1" customWidth="1"/>
    <col min="16" max="16" width="16.85546875" style="318" bestFit="1" customWidth="1"/>
    <col min="17" max="17" width="9.28515625" style="318" bestFit="1" customWidth="1"/>
    <col min="18" max="18" width="6.5703125" style="318" customWidth="1"/>
    <col min="19" max="21" width="6.42578125" style="318" customWidth="1"/>
    <col min="22" max="22" width="17.7109375" style="361" customWidth="1"/>
    <col min="23" max="25" width="15.7109375" style="361" customWidth="1"/>
    <col min="26" max="26" width="7.85546875" style="318" customWidth="1"/>
    <col min="27" max="27" width="14.42578125" style="361" customWidth="1"/>
    <col min="28" max="28" width="5.140625" style="318" customWidth="1"/>
    <col min="29" max="29" width="16.28515625" style="318" customWidth="1"/>
    <col min="30" max="30" width="6" style="318" customWidth="1"/>
    <col min="31" max="31" width="14.42578125" style="318" customWidth="1"/>
    <col min="32" max="32" width="9.28515625" style="318" customWidth="1"/>
    <col min="33" max="33" width="16.5703125" style="318" customWidth="1"/>
    <col min="34" max="34" width="5.140625" style="318" customWidth="1"/>
    <col min="35" max="35" width="14.42578125" style="318" customWidth="1"/>
    <col min="36" max="36" width="8.28515625" style="318" customWidth="1"/>
    <col min="37" max="37" width="16" style="318" customWidth="1"/>
    <col min="38" max="38" width="5.5703125" style="318" customWidth="1"/>
    <col min="39" max="39" width="17.5703125" style="318" customWidth="1"/>
    <col min="40" max="40" width="5.140625" style="318" customWidth="1"/>
    <col min="41" max="41" width="16" style="318" customWidth="1"/>
    <col min="42" max="42" width="5.5703125" style="318" customWidth="1"/>
    <col min="43" max="43" width="14.42578125" style="318" customWidth="1"/>
    <col min="44" max="44" width="6.42578125" style="318" customWidth="1"/>
    <col min="45" max="45" width="14.42578125" style="318" customWidth="1"/>
    <col min="46" max="46" width="5.85546875" style="318" customWidth="1"/>
    <col min="47" max="47" width="15.85546875" style="318" customWidth="1"/>
    <col min="48" max="48" width="6.140625" style="318" customWidth="1"/>
    <col min="49" max="49" width="14.5703125" style="318" customWidth="1"/>
    <col min="50" max="50" width="9.28515625" style="318" customWidth="1"/>
    <col min="51" max="51" width="14.42578125" style="318" customWidth="1"/>
    <col min="52" max="52" width="8.5703125" style="318" customWidth="1"/>
    <col min="53" max="53" width="15.42578125" style="318" customWidth="1"/>
    <col min="54" max="54" width="6.5703125" style="318" customWidth="1"/>
    <col min="55" max="55" width="14.42578125" style="318" customWidth="1"/>
    <col min="56" max="56" width="5.140625" style="318" customWidth="1"/>
    <col min="57" max="57" width="14.42578125" style="318" customWidth="1"/>
    <col min="58" max="58" width="6.42578125" style="318" customWidth="1"/>
    <col min="59" max="59" width="14.42578125" style="318" customWidth="1"/>
    <col min="60" max="60" width="5.140625" style="318" customWidth="1"/>
    <col min="61" max="61" width="13.7109375" style="318" customWidth="1"/>
    <col min="62" max="62" width="7.85546875" style="318" customWidth="1"/>
    <col min="63" max="63" width="15.7109375" style="318" customWidth="1"/>
    <col min="64" max="64" width="14.5703125" style="318" customWidth="1"/>
    <col min="65" max="65" width="6.28515625" style="318" customWidth="1"/>
    <col min="66" max="66" width="7.28515625" style="318" bestFit="1" customWidth="1"/>
    <col min="67" max="67" width="17.7109375" style="318" bestFit="1" customWidth="1"/>
    <col min="68" max="68" width="17" style="318" bestFit="1" customWidth="1"/>
    <col min="69" max="69" width="7.7109375" style="318" bestFit="1" customWidth="1"/>
    <col min="70" max="70" width="18.28515625" style="318" bestFit="1" customWidth="1"/>
    <col min="71" max="71" width="9.140625" style="318" customWidth="1"/>
    <col min="72" max="72" width="8.7109375" style="318" bestFit="1" customWidth="1"/>
    <col min="73" max="73" width="9.28515625" style="318" bestFit="1" customWidth="1"/>
    <col min="74" max="74" width="17" style="318" bestFit="1" customWidth="1"/>
    <col min="75" max="76" width="9.140625" style="318" customWidth="1"/>
    <col min="77" max="16384" width="9.140625" style="318"/>
  </cols>
  <sheetData>
    <row r="1" spans="1:74" x14ac:dyDescent="0.25">
      <c r="A1" s="623"/>
      <c r="B1" s="623"/>
      <c r="C1" s="812" t="s">
        <v>152</v>
      </c>
      <c r="D1" s="812"/>
      <c r="E1" s="812"/>
      <c r="F1" s="812"/>
      <c r="G1" s="812"/>
      <c r="H1" s="812"/>
      <c r="I1" s="812"/>
      <c r="J1" s="812"/>
      <c r="K1" s="812"/>
      <c r="L1" s="812"/>
      <c r="M1" s="812"/>
      <c r="N1" s="812"/>
      <c r="O1" s="812"/>
      <c r="P1" s="812"/>
      <c r="Q1" s="812"/>
      <c r="R1" s="317"/>
      <c r="S1" s="317"/>
      <c r="T1" s="317"/>
      <c r="U1" s="317"/>
    </row>
    <row r="2" spans="1:74" x14ac:dyDescent="0.25">
      <c r="A2" s="623"/>
      <c r="B2" s="623"/>
      <c r="C2" s="812" t="s">
        <v>153</v>
      </c>
      <c r="D2" s="812"/>
      <c r="E2" s="812"/>
      <c r="F2" s="812"/>
      <c r="G2" s="812"/>
      <c r="H2" s="812"/>
      <c r="I2" s="812"/>
      <c r="J2" s="812"/>
      <c r="K2" s="812"/>
      <c r="L2" s="812"/>
      <c r="M2" s="812"/>
      <c r="N2" s="812"/>
      <c r="O2" s="812"/>
      <c r="P2" s="812"/>
      <c r="Q2" s="812"/>
      <c r="R2" s="317"/>
      <c r="S2" s="317"/>
      <c r="T2" s="317"/>
      <c r="U2" s="317"/>
    </row>
    <row r="3" spans="1:74" x14ac:dyDescent="0.25">
      <c r="A3" s="623"/>
      <c r="B3" s="623"/>
      <c r="C3" s="812" t="s">
        <v>1174</v>
      </c>
      <c r="D3" s="812"/>
      <c r="E3" s="812"/>
      <c r="F3" s="812"/>
      <c r="G3" s="812"/>
      <c r="H3" s="812"/>
      <c r="I3" s="812"/>
      <c r="J3" s="812"/>
      <c r="K3" s="812"/>
      <c r="L3" s="812"/>
      <c r="M3" s="812"/>
      <c r="N3" s="812"/>
      <c r="O3" s="812"/>
      <c r="P3" s="812"/>
      <c r="Q3" s="812"/>
      <c r="R3" s="317"/>
      <c r="S3" s="317"/>
      <c r="T3" s="317"/>
      <c r="U3" s="317"/>
      <c r="Z3" s="9" t="s">
        <v>287</v>
      </c>
      <c r="AA3" s="9">
        <v>8.34</v>
      </c>
      <c r="AB3" s="9"/>
      <c r="AC3" s="9">
        <v>2.85</v>
      </c>
      <c r="AD3" s="9"/>
      <c r="AE3" s="9">
        <v>8.3800000000000008</v>
      </c>
      <c r="AF3" s="9"/>
      <c r="AG3" s="9">
        <v>7.49</v>
      </c>
      <c r="AH3" s="9"/>
      <c r="AI3" s="9">
        <v>3.33</v>
      </c>
      <c r="AJ3" s="9"/>
      <c r="AK3" s="9">
        <v>6.64</v>
      </c>
      <c r="AL3" s="9"/>
      <c r="AM3" s="9">
        <v>3.67</v>
      </c>
      <c r="AN3" s="9"/>
      <c r="AO3" s="9">
        <v>5.0599999999999996</v>
      </c>
      <c r="AP3" s="9"/>
      <c r="AQ3" s="9">
        <v>5.94</v>
      </c>
      <c r="AR3" s="9"/>
      <c r="AS3" s="9">
        <v>6.85</v>
      </c>
      <c r="AT3" s="9"/>
      <c r="AU3" s="9">
        <v>7.45</v>
      </c>
      <c r="AV3" s="9"/>
      <c r="AW3" s="9">
        <v>5.13</v>
      </c>
      <c r="AX3" s="9"/>
      <c r="AY3" s="9">
        <v>4.8600000000000003</v>
      </c>
      <c r="AZ3" s="9"/>
      <c r="BA3" s="9">
        <v>5.79</v>
      </c>
      <c r="BB3" s="9"/>
      <c r="BC3" s="9">
        <v>5.3</v>
      </c>
      <c r="BD3" s="9"/>
      <c r="BE3" s="9">
        <v>3.47</v>
      </c>
      <c r="BF3" s="9"/>
      <c r="BG3" s="9">
        <v>9.42</v>
      </c>
      <c r="BH3" s="9"/>
      <c r="BI3" s="9"/>
      <c r="BJ3" s="9"/>
      <c r="BK3" s="9"/>
    </row>
    <row r="4" spans="1:74" x14ac:dyDescent="0.25">
      <c r="A4" s="623"/>
      <c r="B4" s="623"/>
      <c r="C4" s="317" t="s">
        <v>91</v>
      </c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Z4" s="9" t="s">
        <v>285</v>
      </c>
      <c r="AA4" s="9">
        <v>48</v>
      </c>
      <c r="AB4" s="9"/>
      <c r="AC4" s="9">
        <v>23</v>
      </c>
      <c r="AD4" s="9"/>
      <c r="AE4" s="9">
        <v>80</v>
      </c>
      <c r="AF4" s="9"/>
      <c r="AG4" s="9">
        <v>105</v>
      </c>
      <c r="AH4" s="9"/>
      <c r="AI4" s="9">
        <v>43</v>
      </c>
      <c r="AJ4" s="9"/>
      <c r="AK4" s="9">
        <v>75</v>
      </c>
      <c r="AL4" s="9"/>
      <c r="AM4" s="9">
        <v>41</v>
      </c>
      <c r="AN4" s="9"/>
      <c r="AO4" s="9">
        <v>101</v>
      </c>
      <c r="AP4" s="9"/>
      <c r="AQ4" s="9">
        <v>8</v>
      </c>
      <c r="AR4" s="9"/>
      <c r="AS4" s="9">
        <v>33</v>
      </c>
      <c r="AT4" s="9"/>
      <c r="AU4" s="9">
        <v>53</v>
      </c>
      <c r="AV4" s="9"/>
      <c r="AW4" s="9">
        <v>52</v>
      </c>
      <c r="AX4" s="9"/>
      <c r="AY4" s="9">
        <v>76</v>
      </c>
      <c r="AZ4" s="9"/>
      <c r="BA4" s="9">
        <v>82</v>
      </c>
      <c r="BB4" s="9"/>
      <c r="BC4" s="9">
        <v>104</v>
      </c>
      <c r="BD4" s="9"/>
      <c r="BE4" s="9">
        <v>147</v>
      </c>
      <c r="BF4" s="9"/>
      <c r="BG4" s="9">
        <v>54</v>
      </c>
      <c r="BH4" s="9"/>
      <c r="BI4" s="9"/>
      <c r="BJ4" s="9"/>
      <c r="BK4" s="9"/>
    </row>
    <row r="5" spans="1:74" x14ac:dyDescent="0.25">
      <c r="A5" s="623"/>
      <c r="B5" s="623"/>
      <c r="C5" s="317" t="s">
        <v>164</v>
      </c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Z5" s="9" t="s">
        <v>286</v>
      </c>
      <c r="AA5" s="10">
        <f>AA4/1125*100</f>
        <v>4.2666666666666666</v>
      </c>
      <c r="AB5" s="10">
        <f t="shared" ref="AB5:BG5" si="0">AB4/1125*100</f>
        <v>0</v>
      </c>
      <c r="AC5" s="10">
        <f t="shared" si="0"/>
        <v>2.0444444444444447</v>
      </c>
      <c r="AD5" s="10">
        <f t="shared" si="0"/>
        <v>0</v>
      </c>
      <c r="AE5" s="10">
        <f t="shared" si="0"/>
        <v>7.1111111111111107</v>
      </c>
      <c r="AF5" s="10">
        <f t="shared" si="0"/>
        <v>0</v>
      </c>
      <c r="AG5" s="10">
        <f t="shared" si="0"/>
        <v>9.3333333333333339</v>
      </c>
      <c r="AH5" s="10">
        <f t="shared" si="0"/>
        <v>0</v>
      </c>
      <c r="AI5" s="10">
        <f t="shared" si="0"/>
        <v>3.822222222222222</v>
      </c>
      <c r="AJ5" s="10">
        <f t="shared" si="0"/>
        <v>0</v>
      </c>
      <c r="AK5" s="10">
        <f t="shared" si="0"/>
        <v>6.666666666666667</v>
      </c>
      <c r="AL5" s="10">
        <f t="shared" si="0"/>
        <v>0</v>
      </c>
      <c r="AM5" s="10">
        <f t="shared" si="0"/>
        <v>3.6444444444444448</v>
      </c>
      <c r="AN5" s="10">
        <f t="shared" si="0"/>
        <v>0</v>
      </c>
      <c r="AO5" s="10">
        <f t="shared" si="0"/>
        <v>8.9777777777777779</v>
      </c>
      <c r="AP5" s="10">
        <f t="shared" si="0"/>
        <v>0</v>
      </c>
      <c r="AQ5" s="10">
        <f t="shared" si="0"/>
        <v>0.71111111111111114</v>
      </c>
      <c r="AR5" s="10">
        <f t="shared" si="0"/>
        <v>0</v>
      </c>
      <c r="AS5" s="10">
        <f t="shared" si="0"/>
        <v>2.9333333333333331</v>
      </c>
      <c r="AT5" s="10">
        <f t="shared" si="0"/>
        <v>0</v>
      </c>
      <c r="AU5" s="10">
        <f t="shared" si="0"/>
        <v>4.7111111111111112</v>
      </c>
      <c r="AV5" s="10">
        <f t="shared" si="0"/>
        <v>0</v>
      </c>
      <c r="AW5" s="10">
        <f t="shared" si="0"/>
        <v>4.6222222222222218</v>
      </c>
      <c r="AX5" s="10">
        <f t="shared" si="0"/>
        <v>0</v>
      </c>
      <c r="AY5" s="10">
        <f t="shared" si="0"/>
        <v>6.7555555555555546</v>
      </c>
      <c r="AZ5" s="10">
        <f t="shared" si="0"/>
        <v>0</v>
      </c>
      <c r="BA5" s="10">
        <f t="shared" si="0"/>
        <v>7.2888888888888896</v>
      </c>
      <c r="BB5" s="10">
        <f t="shared" si="0"/>
        <v>0</v>
      </c>
      <c r="BC5" s="10">
        <f t="shared" si="0"/>
        <v>9.2444444444444436</v>
      </c>
      <c r="BD5" s="10">
        <f t="shared" si="0"/>
        <v>0</v>
      </c>
      <c r="BE5" s="10">
        <f t="shared" si="0"/>
        <v>13.066666666666665</v>
      </c>
      <c r="BF5" s="10">
        <f t="shared" si="0"/>
        <v>0</v>
      </c>
      <c r="BG5" s="10">
        <f t="shared" si="0"/>
        <v>4.8</v>
      </c>
      <c r="BH5" s="9"/>
      <c r="BI5" s="9"/>
      <c r="BJ5" s="9"/>
      <c r="BK5" s="9"/>
    </row>
    <row r="6" spans="1:74" x14ac:dyDescent="0.25"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</row>
    <row r="7" spans="1:74" x14ac:dyDescent="0.25">
      <c r="A7" s="933"/>
      <c r="B7" s="933"/>
      <c r="C7" s="933"/>
      <c r="D7" s="934"/>
      <c r="E7" s="935" t="s">
        <v>21</v>
      </c>
      <c r="F7" s="936"/>
      <c r="G7" s="937"/>
      <c r="H7" s="837" t="s">
        <v>151</v>
      </c>
      <c r="I7" s="838"/>
      <c r="J7" s="838"/>
      <c r="K7" s="838"/>
      <c r="L7" s="838"/>
      <c r="M7" s="838"/>
      <c r="N7" s="838"/>
      <c r="O7" s="838"/>
      <c r="P7" s="838"/>
      <c r="Q7" s="839"/>
      <c r="R7" s="920" t="s">
        <v>60</v>
      </c>
      <c r="S7" s="921"/>
      <c r="T7" s="921"/>
      <c r="U7" s="922"/>
      <c r="V7" s="818" t="s">
        <v>6</v>
      </c>
      <c r="W7" s="926"/>
      <c r="X7" s="926"/>
      <c r="Y7" s="826"/>
      <c r="Z7" s="928" t="s">
        <v>179</v>
      </c>
      <c r="AA7" s="929"/>
      <c r="AB7" s="928" t="s">
        <v>180</v>
      </c>
      <c r="AC7" s="929"/>
      <c r="AD7" s="863" t="s">
        <v>181</v>
      </c>
      <c r="AE7" s="863"/>
      <c r="AF7" s="863" t="s">
        <v>182</v>
      </c>
      <c r="AG7" s="863"/>
      <c r="AH7" s="863" t="s">
        <v>251</v>
      </c>
      <c r="AI7" s="863"/>
      <c r="AJ7" s="863" t="s">
        <v>184</v>
      </c>
      <c r="AK7" s="863"/>
      <c r="AL7" s="863" t="s">
        <v>185</v>
      </c>
      <c r="AM7" s="863"/>
      <c r="AN7" s="863" t="s">
        <v>186</v>
      </c>
      <c r="AO7" s="863"/>
      <c r="AP7" s="863" t="s">
        <v>187</v>
      </c>
      <c r="AQ7" s="863"/>
      <c r="AR7" s="863" t="s">
        <v>188</v>
      </c>
      <c r="AS7" s="863"/>
      <c r="AT7" s="863" t="s">
        <v>189</v>
      </c>
      <c r="AU7" s="863"/>
      <c r="AV7" s="863" t="s">
        <v>190</v>
      </c>
      <c r="AW7" s="863"/>
      <c r="AX7" s="863" t="s">
        <v>191</v>
      </c>
      <c r="AY7" s="863"/>
      <c r="AZ7" s="863" t="s">
        <v>192</v>
      </c>
      <c r="BA7" s="863"/>
      <c r="BB7" s="863" t="s">
        <v>193</v>
      </c>
      <c r="BC7" s="863"/>
      <c r="BD7" s="919" t="s">
        <v>194</v>
      </c>
      <c r="BE7" s="919"/>
      <c r="BF7" s="863" t="s">
        <v>195</v>
      </c>
      <c r="BG7" s="863"/>
      <c r="BH7" s="863" t="s">
        <v>196</v>
      </c>
      <c r="BI7" s="863"/>
      <c r="BJ7" s="863" t="s">
        <v>17</v>
      </c>
      <c r="BK7" s="932"/>
      <c r="BL7" s="825" t="s">
        <v>229</v>
      </c>
    </row>
    <row r="8" spans="1:74" s="359" customFormat="1" ht="31.5" x14ac:dyDescent="0.25">
      <c r="A8" s="938" t="s">
        <v>24</v>
      </c>
      <c r="B8" s="626"/>
      <c r="C8" s="851" t="s">
        <v>12</v>
      </c>
      <c r="D8" s="851" t="s">
        <v>14</v>
      </c>
      <c r="E8" s="627" t="s">
        <v>22</v>
      </c>
      <c r="F8" s="628" t="s">
        <v>23</v>
      </c>
      <c r="G8" s="851" t="s">
        <v>57</v>
      </c>
      <c r="H8" s="332" t="s">
        <v>199</v>
      </c>
      <c r="I8" s="332" t="s">
        <v>200</v>
      </c>
      <c r="J8" s="332" t="s">
        <v>201</v>
      </c>
      <c r="K8" s="332" t="s">
        <v>202</v>
      </c>
      <c r="L8" s="332" t="s">
        <v>203</v>
      </c>
      <c r="M8" s="332" t="s">
        <v>204</v>
      </c>
      <c r="N8" s="332" t="s">
        <v>889</v>
      </c>
      <c r="O8" s="332" t="s">
        <v>205</v>
      </c>
      <c r="P8" s="332" t="s">
        <v>206</v>
      </c>
      <c r="Q8" s="332" t="s">
        <v>740</v>
      </c>
      <c r="R8" s="923"/>
      <c r="S8" s="924"/>
      <c r="T8" s="924"/>
      <c r="U8" s="925"/>
      <c r="V8" s="827"/>
      <c r="W8" s="927"/>
      <c r="X8" s="927"/>
      <c r="Y8" s="828"/>
      <c r="Z8" s="930"/>
      <c r="AA8" s="931"/>
      <c r="AB8" s="930"/>
      <c r="AC8" s="931"/>
      <c r="AD8" s="863" t="s">
        <v>44</v>
      </c>
      <c r="AE8" s="863"/>
      <c r="AF8" s="863" t="s">
        <v>45</v>
      </c>
      <c r="AG8" s="863"/>
      <c r="AH8" s="863" t="s">
        <v>46</v>
      </c>
      <c r="AI8" s="863"/>
      <c r="AJ8" s="863" t="s">
        <v>47</v>
      </c>
      <c r="AK8" s="863"/>
      <c r="AL8" s="863" t="s">
        <v>48</v>
      </c>
      <c r="AM8" s="863"/>
      <c r="AN8" s="863" t="s">
        <v>49</v>
      </c>
      <c r="AO8" s="863"/>
      <c r="AP8" s="863" t="s">
        <v>50</v>
      </c>
      <c r="AQ8" s="863"/>
      <c r="AR8" s="863" t="s">
        <v>51</v>
      </c>
      <c r="AS8" s="863"/>
      <c r="AT8" s="863" t="s">
        <v>52</v>
      </c>
      <c r="AU8" s="863"/>
      <c r="AV8" s="863" t="s">
        <v>53</v>
      </c>
      <c r="AW8" s="863"/>
      <c r="AX8" s="863" t="s">
        <v>54</v>
      </c>
      <c r="AY8" s="863"/>
      <c r="AZ8" s="863" t="s">
        <v>55</v>
      </c>
      <c r="BA8" s="863"/>
      <c r="BB8" s="863" t="s">
        <v>40</v>
      </c>
      <c r="BC8" s="863"/>
      <c r="BD8" s="919" t="s">
        <v>37</v>
      </c>
      <c r="BE8" s="919"/>
      <c r="BF8" s="863"/>
      <c r="BG8" s="863"/>
      <c r="BH8" s="863"/>
      <c r="BI8" s="863"/>
      <c r="BJ8" s="863"/>
      <c r="BK8" s="932"/>
      <c r="BL8" s="825"/>
      <c r="BN8" s="830" t="s">
        <v>227</v>
      </c>
      <c r="BO8" s="830"/>
      <c r="BP8" s="830"/>
      <c r="BQ8" s="830"/>
      <c r="BR8" s="830"/>
      <c r="BS8" s="830" t="s">
        <v>228</v>
      </c>
      <c r="BT8" s="830"/>
      <c r="BU8" s="830"/>
      <c r="BV8" s="825" t="s">
        <v>17</v>
      </c>
    </row>
    <row r="9" spans="1:74" s="359" customFormat="1" ht="47.25" x14ac:dyDescent="0.25">
      <c r="A9" s="939"/>
      <c r="B9" s="938" t="s">
        <v>24</v>
      </c>
      <c r="C9" s="852"/>
      <c r="D9" s="852"/>
      <c r="E9" s="629"/>
      <c r="F9" s="630"/>
      <c r="G9" s="852"/>
      <c r="H9" s="425"/>
      <c r="I9" s="425"/>
      <c r="J9" s="425"/>
      <c r="K9" s="425"/>
      <c r="L9" s="425"/>
      <c r="M9" s="425"/>
      <c r="N9" s="631"/>
      <c r="O9" s="631"/>
      <c r="P9" s="631"/>
      <c r="Q9" s="631"/>
      <c r="R9" s="412" t="s">
        <v>7</v>
      </c>
      <c r="S9" s="412" t="s">
        <v>8</v>
      </c>
      <c r="T9" s="412" t="s">
        <v>9</v>
      </c>
      <c r="U9" s="412" t="s">
        <v>10</v>
      </c>
      <c r="V9" s="632" t="s">
        <v>7</v>
      </c>
      <c r="W9" s="632" t="s">
        <v>8</v>
      </c>
      <c r="X9" s="632" t="s">
        <v>9</v>
      </c>
      <c r="Y9" s="632" t="s">
        <v>10</v>
      </c>
      <c r="Z9" s="633" t="s">
        <v>14</v>
      </c>
      <c r="AA9" s="634" t="s">
        <v>15</v>
      </c>
      <c r="AB9" s="635" t="s">
        <v>14</v>
      </c>
      <c r="AC9" s="635" t="s">
        <v>15</v>
      </c>
      <c r="AD9" s="635" t="s">
        <v>14</v>
      </c>
      <c r="AE9" s="635" t="s">
        <v>15</v>
      </c>
      <c r="AF9" s="635" t="s">
        <v>14</v>
      </c>
      <c r="AG9" s="635" t="s">
        <v>15</v>
      </c>
      <c r="AH9" s="635" t="s">
        <v>14</v>
      </c>
      <c r="AI9" s="635" t="s">
        <v>15</v>
      </c>
      <c r="AJ9" s="635" t="s">
        <v>14</v>
      </c>
      <c r="AK9" s="635" t="s">
        <v>15</v>
      </c>
      <c r="AL9" s="635" t="s">
        <v>14</v>
      </c>
      <c r="AM9" s="635" t="s">
        <v>15</v>
      </c>
      <c r="AN9" s="635" t="s">
        <v>14</v>
      </c>
      <c r="AO9" s="635" t="s">
        <v>15</v>
      </c>
      <c r="AP9" s="635" t="s">
        <v>14</v>
      </c>
      <c r="AQ9" s="635" t="s">
        <v>15</v>
      </c>
      <c r="AR9" s="635" t="s">
        <v>14</v>
      </c>
      <c r="AS9" s="635" t="s">
        <v>15</v>
      </c>
      <c r="AT9" s="635" t="s">
        <v>14</v>
      </c>
      <c r="AU9" s="635" t="s">
        <v>15</v>
      </c>
      <c r="AV9" s="635" t="s">
        <v>14</v>
      </c>
      <c r="AW9" s="635" t="s">
        <v>15</v>
      </c>
      <c r="AX9" s="635" t="s">
        <v>14</v>
      </c>
      <c r="AY9" s="635" t="s">
        <v>15</v>
      </c>
      <c r="AZ9" s="635" t="s">
        <v>14</v>
      </c>
      <c r="BA9" s="635" t="s">
        <v>15</v>
      </c>
      <c r="BB9" s="635" t="s">
        <v>14</v>
      </c>
      <c r="BC9" s="635" t="s">
        <v>15</v>
      </c>
      <c r="BD9" s="635" t="s">
        <v>14</v>
      </c>
      <c r="BE9" s="635" t="s">
        <v>15</v>
      </c>
      <c r="BF9" s="635" t="s">
        <v>14</v>
      </c>
      <c r="BG9" s="635" t="s">
        <v>15</v>
      </c>
      <c r="BH9" s="635" t="s">
        <v>14</v>
      </c>
      <c r="BI9" s="635" t="s">
        <v>15</v>
      </c>
      <c r="BJ9" s="635" t="s">
        <v>14</v>
      </c>
      <c r="BK9" s="636" t="s">
        <v>15</v>
      </c>
      <c r="BL9" s="825"/>
      <c r="BN9" s="332" t="s">
        <v>218</v>
      </c>
      <c r="BO9" s="333" t="s">
        <v>219</v>
      </c>
      <c r="BP9" s="333" t="s">
        <v>220</v>
      </c>
      <c r="BQ9" s="334" t="s">
        <v>221</v>
      </c>
      <c r="BR9" s="333" t="s">
        <v>222</v>
      </c>
      <c r="BS9" s="333" t="s">
        <v>223</v>
      </c>
      <c r="BT9" s="333" t="s">
        <v>224</v>
      </c>
      <c r="BU9" s="333" t="s">
        <v>225</v>
      </c>
      <c r="BV9" s="825"/>
    </row>
    <row r="10" spans="1:74" x14ac:dyDescent="0.25">
      <c r="A10" s="637">
        <v>32000</v>
      </c>
      <c r="B10" s="939"/>
      <c r="C10" s="335" t="s">
        <v>314</v>
      </c>
      <c r="D10" s="336"/>
      <c r="E10" s="336"/>
      <c r="F10" s="638"/>
      <c r="G10" s="639"/>
      <c r="H10" s="639"/>
      <c r="I10" s="639"/>
      <c r="J10" s="639"/>
      <c r="K10" s="639"/>
      <c r="L10" s="639"/>
      <c r="M10" s="639"/>
      <c r="N10" s="639"/>
      <c r="O10" s="639"/>
      <c r="P10" s="639"/>
      <c r="Q10" s="640"/>
      <c r="R10" s="641"/>
      <c r="S10" s="641"/>
      <c r="T10" s="641"/>
      <c r="U10" s="641"/>
      <c r="V10" s="642"/>
      <c r="W10" s="642"/>
      <c r="X10" s="642"/>
      <c r="Y10" s="642"/>
      <c r="Z10" s="367"/>
      <c r="AA10" s="643"/>
      <c r="AB10" s="367"/>
      <c r="AC10" s="643"/>
      <c r="AD10" s="367"/>
      <c r="AE10" s="643"/>
      <c r="AF10" s="367"/>
      <c r="AG10" s="643"/>
      <c r="AH10" s="367"/>
      <c r="AI10" s="643"/>
      <c r="AJ10" s="367"/>
      <c r="AK10" s="643"/>
      <c r="AL10" s="367"/>
      <c r="AM10" s="643"/>
      <c r="AN10" s="367"/>
      <c r="AO10" s="643"/>
      <c r="AP10" s="367"/>
      <c r="AQ10" s="643"/>
      <c r="AR10" s="367"/>
      <c r="AS10" s="643"/>
      <c r="AT10" s="367"/>
      <c r="AU10" s="643"/>
      <c r="AV10" s="367"/>
      <c r="AW10" s="643"/>
      <c r="AX10" s="367"/>
      <c r="AY10" s="643"/>
      <c r="AZ10" s="367"/>
      <c r="BA10" s="643"/>
      <c r="BB10" s="367"/>
      <c r="BC10" s="643"/>
      <c r="BD10" s="367"/>
      <c r="BE10" s="643"/>
      <c r="BF10" s="367"/>
      <c r="BG10" s="643"/>
      <c r="BH10" s="367"/>
      <c r="BI10" s="643"/>
      <c r="BJ10" s="367"/>
      <c r="BK10" s="644"/>
      <c r="BL10" s="336"/>
      <c r="BN10" s="340"/>
      <c r="BO10" s="340"/>
      <c r="BP10" s="340"/>
      <c r="BQ10" s="340"/>
      <c r="BR10" s="340"/>
      <c r="BS10" s="340"/>
      <c r="BT10" s="340"/>
      <c r="BU10" s="340"/>
      <c r="BV10" s="322"/>
    </row>
    <row r="11" spans="1:74" x14ac:dyDescent="0.25">
      <c r="A11" s="637">
        <v>32100</v>
      </c>
      <c r="B11" s="637"/>
      <c r="C11" s="335" t="s">
        <v>362</v>
      </c>
      <c r="D11" s="336"/>
      <c r="E11" s="336"/>
      <c r="F11" s="350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645"/>
      <c r="R11" s="640"/>
      <c r="S11" s="640"/>
      <c r="T11" s="646"/>
      <c r="U11" s="647"/>
      <c r="V11" s="648"/>
      <c r="W11" s="648"/>
      <c r="X11" s="648"/>
      <c r="Y11" s="648"/>
      <c r="Z11" s="322"/>
      <c r="AA11" s="338"/>
      <c r="AB11" s="322"/>
      <c r="AC11" s="338"/>
      <c r="AD11" s="322"/>
      <c r="AE11" s="338"/>
      <c r="AF11" s="322"/>
      <c r="AG11" s="338"/>
      <c r="AH11" s="322"/>
      <c r="AI11" s="338"/>
      <c r="AJ11" s="322"/>
      <c r="AK11" s="338"/>
      <c r="AL11" s="322"/>
      <c r="AM11" s="338"/>
      <c r="AN11" s="322"/>
      <c r="AO11" s="338"/>
      <c r="AP11" s="322"/>
      <c r="AQ11" s="338"/>
      <c r="AR11" s="322"/>
      <c r="AS11" s="338"/>
      <c r="AT11" s="322"/>
      <c r="AU11" s="338"/>
      <c r="AV11" s="322"/>
      <c r="AW11" s="338"/>
      <c r="AX11" s="322"/>
      <c r="AY11" s="338"/>
      <c r="AZ11" s="322"/>
      <c r="BA11" s="338"/>
      <c r="BB11" s="322"/>
      <c r="BC11" s="338"/>
      <c r="BD11" s="322"/>
      <c r="BE11" s="338"/>
      <c r="BF11" s="322"/>
      <c r="BG11" s="338"/>
      <c r="BH11" s="322"/>
      <c r="BI11" s="338"/>
      <c r="BJ11" s="322"/>
      <c r="BK11" s="339"/>
      <c r="BL11" s="336"/>
      <c r="BN11" s="340"/>
      <c r="BO11" s="340"/>
      <c r="BP11" s="340"/>
      <c r="BQ11" s="340"/>
      <c r="BR11" s="340"/>
      <c r="BS11" s="340"/>
      <c r="BT11" s="340"/>
      <c r="BU11" s="340"/>
      <c r="BV11" s="341">
        <f>BR11+BU11</f>
        <v>0</v>
      </c>
    </row>
    <row r="12" spans="1:74" x14ac:dyDescent="0.25">
      <c r="A12" s="637"/>
      <c r="B12" s="269" t="s">
        <v>990</v>
      </c>
      <c r="C12" s="342" t="s">
        <v>363</v>
      </c>
      <c r="D12" s="336" t="s">
        <v>93</v>
      </c>
      <c r="E12" s="343" t="s">
        <v>338</v>
      </c>
      <c r="F12" s="638">
        <f t="shared" ref="F12:F14" si="1">BJ12</f>
        <v>0</v>
      </c>
      <c r="G12" s="649">
        <f>F12*E12</f>
        <v>0</v>
      </c>
      <c r="H12" s="649">
        <f>G12*0</f>
        <v>0</v>
      </c>
      <c r="I12" s="649">
        <f t="shared" ref="I12:I19" si="2">G12*0.8</f>
        <v>0</v>
      </c>
      <c r="J12" s="649">
        <f>G12*0</f>
        <v>0</v>
      </c>
      <c r="K12" s="649">
        <f>G12*0</f>
        <v>0</v>
      </c>
      <c r="L12" s="649">
        <f>G12*0</f>
        <v>0</v>
      </c>
      <c r="M12" s="649">
        <f>G12*0</f>
        <v>0</v>
      </c>
      <c r="N12" s="649">
        <f>G12*0</f>
        <v>0</v>
      </c>
      <c r="O12" s="396">
        <f>G12*0</f>
        <v>0</v>
      </c>
      <c r="P12" s="396">
        <f>G12*0.2</f>
        <v>0</v>
      </c>
      <c r="Q12" s="391">
        <f>G12*0</f>
        <v>0</v>
      </c>
      <c r="R12" s="453">
        <f>F12*0.25</f>
        <v>0</v>
      </c>
      <c r="S12" s="453">
        <f>F12*0.25</f>
        <v>0</v>
      </c>
      <c r="T12" s="453">
        <f>F12*0.25</f>
        <v>0</v>
      </c>
      <c r="U12" s="453">
        <f>F12*0.25</f>
        <v>0</v>
      </c>
      <c r="V12" s="433">
        <f>R12*E12</f>
        <v>0</v>
      </c>
      <c r="W12" s="433">
        <f>S12*E12</f>
        <v>0</v>
      </c>
      <c r="X12" s="433">
        <f>T12*E12</f>
        <v>0</v>
      </c>
      <c r="Y12" s="433">
        <f>U12*E12</f>
        <v>0</v>
      </c>
      <c r="Z12" s="351">
        <v>0</v>
      </c>
      <c r="AA12" s="433">
        <f>Z12*E12</f>
        <v>0</v>
      </c>
      <c r="AB12" s="351">
        <v>0</v>
      </c>
      <c r="AC12" s="433">
        <f>AB12*E12</f>
        <v>0</v>
      </c>
      <c r="AD12" s="351">
        <v>0</v>
      </c>
      <c r="AE12" s="433">
        <f>AD12*E12</f>
        <v>0</v>
      </c>
      <c r="AF12" s="351">
        <v>0</v>
      </c>
      <c r="AG12" s="433">
        <f>AF12*E12</f>
        <v>0</v>
      </c>
      <c r="AH12" s="351">
        <v>0</v>
      </c>
      <c r="AI12" s="433">
        <f>AH12*E12</f>
        <v>0</v>
      </c>
      <c r="AJ12" s="351">
        <v>0</v>
      </c>
      <c r="AK12" s="433">
        <f>AJ12*E12</f>
        <v>0</v>
      </c>
      <c r="AL12" s="351">
        <v>0</v>
      </c>
      <c r="AM12" s="433">
        <f>AL12*E12</f>
        <v>0</v>
      </c>
      <c r="AN12" s="351">
        <v>0</v>
      </c>
      <c r="AO12" s="433">
        <f>AN12*E12</f>
        <v>0</v>
      </c>
      <c r="AP12" s="351">
        <v>0</v>
      </c>
      <c r="AQ12" s="433">
        <f>AP12*E12</f>
        <v>0</v>
      </c>
      <c r="AR12" s="351">
        <v>0</v>
      </c>
      <c r="AS12" s="433">
        <f>AR12*E12</f>
        <v>0</v>
      </c>
      <c r="AT12" s="351">
        <v>0</v>
      </c>
      <c r="AU12" s="433">
        <f>AT12*E12</f>
        <v>0</v>
      </c>
      <c r="AV12" s="351">
        <v>0</v>
      </c>
      <c r="AW12" s="433">
        <f>AV12*E12</f>
        <v>0</v>
      </c>
      <c r="AX12" s="351">
        <v>0</v>
      </c>
      <c r="AY12" s="433">
        <f>AX12*E12</f>
        <v>0</v>
      </c>
      <c r="AZ12" s="351">
        <v>0</v>
      </c>
      <c r="BA12" s="433">
        <f>AZ12*E12</f>
        <v>0</v>
      </c>
      <c r="BB12" s="351">
        <v>0</v>
      </c>
      <c r="BC12" s="433">
        <f>BB12*E12</f>
        <v>0</v>
      </c>
      <c r="BD12" s="351">
        <v>0</v>
      </c>
      <c r="BE12" s="433">
        <f>BD12*E12</f>
        <v>0</v>
      </c>
      <c r="BF12" s="351">
        <v>0</v>
      </c>
      <c r="BG12" s="433">
        <f>BF12*E12</f>
        <v>0</v>
      </c>
      <c r="BH12" s="351"/>
      <c r="BI12" s="433">
        <f>BH12*E12</f>
        <v>0</v>
      </c>
      <c r="BJ12" s="322">
        <f t="shared" ref="BJ12:BK19" si="3">Z12+AB12+AD12+AF12+AH12+AJ12+AL12+AN12+AP12+AR12+AT12+AV12+AX12+AZ12+BB12+BD12+BF12+BH12</f>
        <v>0</v>
      </c>
      <c r="BK12" s="339">
        <f t="shared" si="3"/>
        <v>0</v>
      </c>
      <c r="BL12" s="336" t="s">
        <v>213</v>
      </c>
      <c r="BN12" s="340"/>
      <c r="BO12" s="340"/>
      <c r="BP12" s="340">
        <f>G12</f>
        <v>0</v>
      </c>
      <c r="BQ12" s="340"/>
      <c r="BR12" s="340">
        <f>BN12+BO12+BP12+BQ12</f>
        <v>0</v>
      </c>
      <c r="BS12" s="340"/>
      <c r="BT12" s="340"/>
      <c r="BU12" s="340">
        <f>BS12+BT12</f>
        <v>0</v>
      </c>
      <c r="BV12" s="341">
        <f t="shared" ref="BV12:BV44" si="4">BR12+BU12</f>
        <v>0</v>
      </c>
    </row>
    <row r="13" spans="1:74" x14ac:dyDescent="0.25">
      <c r="A13" s="650"/>
      <c r="B13" s="269" t="s">
        <v>991</v>
      </c>
      <c r="C13" s="342" t="s">
        <v>657</v>
      </c>
      <c r="D13" s="336" t="s">
        <v>584</v>
      </c>
      <c r="E13" s="343">
        <v>750</v>
      </c>
      <c r="F13" s="638">
        <f t="shared" si="1"/>
        <v>0</v>
      </c>
      <c r="G13" s="649">
        <f>F13*E13</f>
        <v>0</v>
      </c>
      <c r="H13" s="649">
        <f>G13*0.2</f>
        <v>0</v>
      </c>
      <c r="I13" s="649">
        <f t="shared" si="2"/>
        <v>0</v>
      </c>
      <c r="J13" s="649">
        <f>G13*0</f>
        <v>0</v>
      </c>
      <c r="K13" s="649">
        <f>G13*0</f>
        <v>0</v>
      </c>
      <c r="L13" s="649">
        <f>G13*0</f>
        <v>0</v>
      </c>
      <c r="M13" s="649">
        <f>G13*0</f>
        <v>0</v>
      </c>
      <c r="N13" s="649">
        <f>G13*0</f>
        <v>0</v>
      </c>
      <c r="O13" s="396">
        <f>G13*0</f>
        <v>0</v>
      </c>
      <c r="P13" s="396">
        <f>G13*0</f>
        <v>0</v>
      </c>
      <c r="Q13" s="391">
        <f>G13*0</f>
        <v>0</v>
      </c>
      <c r="R13" s="453">
        <f>F13*0.25</f>
        <v>0</v>
      </c>
      <c r="S13" s="453">
        <f>F13*0.25</f>
        <v>0</v>
      </c>
      <c r="T13" s="453">
        <f>F13*0.25</f>
        <v>0</v>
      </c>
      <c r="U13" s="453">
        <f>F13*0.25</f>
        <v>0</v>
      </c>
      <c r="V13" s="433">
        <f>R13*E13</f>
        <v>0</v>
      </c>
      <c r="W13" s="433">
        <f>S13*E13</f>
        <v>0</v>
      </c>
      <c r="X13" s="433">
        <f>T13*E13</f>
        <v>0</v>
      </c>
      <c r="Y13" s="433">
        <f>U13*E13</f>
        <v>0</v>
      </c>
      <c r="Z13" s="322">
        <v>0</v>
      </c>
      <c r="AA13" s="433">
        <f t="shared" ref="AA13:AA44" si="5">Z13*E13</f>
        <v>0</v>
      </c>
      <c r="AB13" s="322">
        <v>0</v>
      </c>
      <c r="AC13" s="433">
        <f t="shared" ref="AC13:AC44" si="6">AB13*E13</f>
        <v>0</v>
      </c>
      <c r="AD13" s="322">
        <v>0</v>
      </c>
      <c r="AE13" s="433">
        <f t="shared" ref="AE13:AE44" si="7">AD13*E13</f>
        <v>0</v>
      </c>
      <c r="AF13" s="322">
        <v>0</v>
      </c>
      <c r="AG13" s="433">
        <f t="shared" ref="AG13:AG44" si="8">AF13*E13</f>
        <v>0</v>
      </c>
      <c r="AH13" s="322">
        <v>0</v>
      </c>
      <c r="AI13" s="433">
        <f t="shared" ref="AI13:AI44" si="9">AH13*E13</f>
        <v>0</v>
      </c>
      <c r="AJ13" s="322">
        <v>0</v>
      </c>
      <c r="AK13" s="433">
        <f t="shared" ref="AK13:AK44" si="10">AJ13*E13</f>
        <v>0</v>
      </c>
      <c r="AL13" s="322">
        <v>0</v>
      </c>
      <c r="AM13" s="433">
        <f t="shared" ref="AM13:AM44" si="11">AL13*E13</f>
        <v>0</v>
      </c>
      <c r="AN13" s="322">
        <v>0</v>
      </c>
      <c r="AO13" s="433">
        <f t="shared" ref="AO13:AO44" si="12">AN13*E13</f>
        <v>0</v>
      </c>
      <c r="AP13" s="322">
        <v>0</v>
      </c>
      <c r="AQ13" s="433">
        <f t="shared" ref="AQ13:AQ44" si="13">AP13*E13</f>
        <v>0</v>
      </c>
      <c r="AR13" s="322">
        <v>0</v>
      </c>
      <c r="AS13" s="433">
        <f>AR13*E13</f>
        <v>0</v>
      </c>
      <c r="AT13" s="322">
        <v>0</v>
      </c>
      <c r="AU13" s="433">
        <f t="shared" ref="AU13:AU44" si="14">AT13*E13</f>
        <v>0</v>
      </c>
      <c r="AV13" s="322">
        <v>0</v>
      </c>
      <c r="AW13" s="433">
        <f t="shared" ref="AW13:AW44" si="15">AV13*E13</f>
        <v>0</v>
      </c>
      <c r="AX13" s="322">
        <v>0</v>
      </c>
      <c r="AY13" s="433">
        <f t="shared" ref="AY13:AY44" si="16">AX13*E13</f>
        <v>0</v>
      </c>
      <c r="AZ13" s="322">
        <v>0</v>
      </c>
      <c r="BA13" s="433">
        <f t="shared" ref="BA13:BA44" si="17">AZ13*E13</f>
        <v>0</v>
      </c>
      <c r="BB13" s="322">
        <v>0</v>
      </c>
      <c r="BC13" s="433">
        <f>BB13*E13</f>
        <v>0</v>
      </c>
      <c r="BD13" s="322">
        <v>0</v>
      </c>
      <c r="BE13" s="433">
        <f t="shared" ref="BE13:BE44" si="18">BD13*E13</f>
        <v>0</v>
      </c>
      <c r="BF13" s="322">
        <v>0</v>
      </c>
      <c r="BG13" s="433">
        <f t="shared" ref="BG13:BG44" si="19">BF13*E13</f>
        <v>0</v>
      </c>
      <c r="BH13" s="322"/>
      <c r="BI13" s="433">
        <f t="shared" ref="BI13:BI44" si="20">BH13*E13</f>
        <v>0</v>
      </c>
      <c r="BJ13" s="322">
        <f t="shared" si="3"/>
        <v>0</v>
      </c>
      <c r="BK13" s="339">
        <f t="shared" si="3"/>
        <v>0</v>
      </c>
      <c r="BL13" s="336" t="s">
        <v>213</v>
      </c>
      <c r="BN13" s="340">
        <f>G13</f>
        <v>0</v>
      </c>
      <c r="BO13" s="340"/>
      <c r="BP13" s="340"/>
      <c r="BQ13" s="340"/>
      <c r="BR13" s="340">
        <f t="shared" ref="BR13:BR44" si="21">BN13+BO13+BP13+BQ13</f>
        <v>0</v>
      </c>
      <c r="BS13" s="340"/>
      <c r="BT13" s="340"/>
      <c r="BU13" s="340">
        <f>BS13+BT13</f>
        <v>0</v>
      </c>
      <c r="BV13" s="341">
        <f t="shared" si="4"/>
        <v>0</v>
      </c>
    </row>
    <row r="14" spans="1:74" x14ac:dyDescent="0.25">
      <c r="A14" s="650" t="s">
        <v>928</v>
      </c>
      <c r="B14" s="650"/>
      <c r="C14" s="342" t="s">
        <v>905</v>
      </c>
      <c r="D14" s="336"/>
      <c r="E14" s="343">
        <v>4000</v>
      </c>
      <c r="F14" s="638">
        <f t="shared" si="1"/>
        <v>0</v>
      </c>
      <c r="G14" s="649">
        <f>BK14</f>
        <v>0</v>
      </c>
      <c r="H14" s="649"/>
      <c r="I14" s="649"/>
      <c r="J14" s="649"/>
      <c r="K14" s="649"/>
      <c r="L14" s="649">
        <f>G14</f>
        <v>0</v>
      </c>
      <c r="M14" s="649"/>
      <c r="N14" s="649"/>
      <c r="O14" s="396"/>
      <c r="P14" s="396"/>
      <c r="Q14" s="391"/>
      <c r="R14" s="453"/>
      <c r="S14" s="453"/>
      <c r="T14" s="453"/>
      <c r="U14" s="453"/>
      <c r="V14" s="433"/>
      <c r="W14" s="433"/>
      <c r="X14" s="433"/>
      <c r="Y14" s="433"/>
      <c r="Z14" s="322"/>
      <c r="AA14" s="433"/>
      <c r="AB14" s="651"/>
      <c r="AC14" s="433"/>
      <c r="AD14" s="651"/>
      <c r="AE14" s="433"/>
      <c r="AF14" s="651">
        <v>0</v>
      </c>
      <c r="AG14" s="433"/>
      <c r="AH14" s="651"/>
      <c r="AI14" s="433"/>
      <c r="AJ14" s="651">
        <v>0</v>
      </c>
      <c r="AK14" s="433"/>
      <c r="AL14" s="651">
        <v>0</v>
      </c>
      <c r="AM14" s="433">
        <v>0</v>
      </c>
      <c r="AN14" s="651"/>
      <c r="AO14" s="433"/>
      <c r="AP14" s="651"/>
      <c r="AQ14" s="433"/>
      <c r="AR14" s="651"/>
      <c r="AS14" s="433"/>
      <c r="AT14" s="651"/>
      <c r="AU14" s="433">
        <v>0</v>
      </c>
      <c r="AV14" s="651">
        <v>0</v>
      </c>
      <c r="AW14" s="433">
        <v>0</v>
      </c>
      <c r="AX14" s="651"/>
      <c r="AY14" s="433"/>
      <c r="AZ14" s="651"/>
      <c r="BA14" s="433"/>
      <c r="BB14" s="651"/>
      <c r="BC14" s="433"/>
      <c r="BD14" s="651"/>
      <c r="BE14" s="433"/>
      <c r="BF14" s="651"/>
      <c r="BG14" s="433"/>
      <c r="BH14" s="651"/>
      <c r="BI14" s="433"/>
      <c r="BJ14" s="322">
        <f t="shared" ref="BJ14" si="22">Z14+AB14+AD14+AF14+AH14+AJ14+AL14+AN14+AP14+AR14+AT14+AV14+AX14+AZ14+BB14+BD14+BF14+BH14</f>
        <v>0</v>
      </c>
      <c r="BK14" s="339">
        <f t="shared" si="3"/>
        <v>0</v>
      </c>
      <c r="BL14" s="336" t="s">
        <v>515</v>
      </c>
      <c r="BN14" s="340"/>
      <c r="BO14" s="652"/>
      <c r="BP14" s="652"/>
      <c r="BQ14" s="652"/>
      <c r="BR14" s="340">
        <f t="shared" si="21"/>
        <v>0</v>
      </c>
      <c r="BS14" s="340"/>
      <c r="BT14" s="340"/>
      <c r="BU14" s="340"/>
      <c r="BV14" s="341">
        <f t="shared" si="4"/>
        <v>0</v>
      </c>
    </row>
    <row r="15" spans="1:74" x14ac:dyDescent="0.25">
      <c r="A15" s="650"/>
      <c r="B15" s="269" t="s">
        <v>992</v>
      </c>
      <c r="C15" s="342" t="s">
        <v>656</v>
      </c>
      <c r="D15" s="336" t="s">
        <v>613</v>
      </c>
      <c r="E15" s="343">
        <v>20000</v>
      </c>
      <c r="F15" s="638">
        <f t="shared" ref="F15:G19" si="23">BJ15</f>
        <v>72</v>
      </c>
      <c r="G15" s="638">
        <f t="shared" si="23"/>
        <v>1440000</v>
      </c>
      <c r="H15" s="649">
        <f>G15*0</f>
        <v>0</v>
      </c>
      <c r="I15" s="649">
        <f t="shared" si="2"/>
        <v>1152000</v>
      </c>
      <c r="J15" s="649">
        <f>G15*0</f>
        <v>0</v>
      </c>
      <c r="K15" s="649">
        <f>G15*0</f>
        <v>0</v>
      </c>
      <c r="L15" s="649">
        <f>G15*0</f>
        <v>0</v>
      </c>
      <c r="M15" s="649">
        <f>G15*0</f>
        <v>0</v>
      </c>
      <c r="N15" s="649">
        <f>G15*0</f>
        <v>0</v>
      </c>
      <c r="O15" s="396">
        <f>G15*0</f>
        <v>0</v>
      </c>
      <c r="P15" s="396">
        <f>G15*0.2</f>
        <v>288000</v>
      </c>
      <c r="Q15" s="391">
        <f>G15*0</f>
        <v>0</v>
      </c>
      <c r="R15" s="453">
        <f t="shared" ref="R15" si="24">F15*0.25</f>
        <v>18</v>
      </c>
      <c r="S15" s="453">
        <f t="shared" ref="S15" si="25">F15*0.25</f>
        <v>18</v>
      </c>
      <c r="T15" s="453">
        <f t="shared" ref="T15" si="26">F15*0.25</f>
        <v>18</v>
      </c>
      <c r="U15" s="453">
        <f t="shared" ref="U15" si="27">F15*0.25</f>
        <v>18</v>
      </c>
      <c r="V15" s="433">
        <f>G15*0.3</f>
        <v>432000</v>
      </c>
      <c r="W15" s="433">
        <f>G15*0.4</f>
        <v>576000</v>
      </c>
      <c r="X15" s="433">
        <f>G15*0.2</f>
        <v>288000</v>
      </c>
      <c r="Y15" s="433">
        <f>G15*0.1</f>
        <v>144000</v>
      </c>
      <c r="Z15" s="322">
        <v>2</v>
      </c>
      <c r="AA15" s="433">
        <f t="shared" si="5"/>
        <v>40000</v>
      </c>
      <c r="AB15" s="651">
        <v>20</v>
      </c>
      <c r="AC15" s="433">
        <f t="shared" si="6"/>
        <v>400000</v>
      </c>
      <c r="AD15" s="651">
        <v>0</v>
      </c>
      <c r="AE15" s="433">
        <f t="shared" si="7"/>
        <v>0</v>
      </c>
      <c r="AF15" s="651">
        <v>5</v>
      </c>
      <c r="AG15" s="433">
        <f t="shared" si="8"/>
        <v>100000</v>
      </c>
      <c r="AH15" s="651">
        <v>0</v>
      </c>
      <c r="AI15" s="433">
        <f t="shared" si="9"/>
        <v>0</v>
      </c>
      <c r="AJ15" s="651">
        <v>0</v>
      </c>
      <c r="AK15" s="433">
        <f t="shared" si="10"/>
        <v>0</v>
      </c>
      <c r="AL15" s="651">
        <v>0</v>
      </c>
      <c r="AM15" s="433">
        <f t="shared" si="11"/>
        <v>0</v>
      </c>
      <c r="AN15" s="651">
        <v>5</v>
      </c>
      <c r="AO15" s="433">
        <f t="shared" si="12"/>
        <v>100000</v>
      </c>
      <c r="AP15" s="651">
        <v>0</v>
      </c>
      <c r="AQ15" s="433">
        <f t="shared" si="13"/>
        <v>0</v>
      </c>
      <c r="AR15" s="651">
        <v>0</v>
      </c>
      <c r="AS15" s="433">
        <f t="shared" ref="AS15:AS44" si="28">AR15*E15</f>
        <v>0</v>
      </c>
      <c r="AT15" s="651">
        <v>10</v>
      </c>
      <c r="AU15" s="433">
        <f t="shared" si="14"/>
        <v>200000</v>
      </c>
      <c r="AV15" s="651">
        <v>20</v>
      </c>
      <c r="AW15" s="433">
        <f t="shared" si="15"/>
        <v>400000</v>
      </c>
      <c r="AX15" s="651">
        <v>0</v>
      </c>
      <c r="AY15" s="433">
        <f t="shared" si="16"/>
        <v>0</v>
      </c>
      <c r="AZ15" s="651">
        <v>0</v>
      </c>
      <c r="BA15" s="433">
        <f t="shared" si="17"/>
        <v>0</v>
      </c>
      <c r="BB15" s="651">
        <v>0</v>
      </c>
      <c r="BC15" s="433">
        <v>0</v>
      </c>
      <c r="BD15" s="651">
        <v>0</v>
      </c>
      <c r="BE15" s="433">
        <f t="shared" si="18"/>
        <v>0</v>
      </c>
      <c r="BF15" s="651">
        <v>10</v>
      </c>
      <c r="BG15" s="433">
        <f t="shared" si="19"/>
        <v>200000</v>
      </c>
      <c r="BH15" s="651"/>
      <c r="BI15" s="433"/>
      <c r="BJ15" s="322">
        <f>Z15+AB15+AD15+AF15+AH15+AJ15+AL15+AN15+AP15+AR15+AT15+AV15+AX15+AZ15+BB15+BD15+BF15+BH15</f>
        <v>72</v>
      </c>
      <c r="BK15" s="339">
        <f t="shared" si="3"/>
        <v>1440000</v>
      </c>
      <c r="BL15" s="336" t="s">
        <v>213</v>
      </c>
      <c r="BN15" s="340"/>
      <c r="BO15" s="652"/>
      <c r="BP15" s="652">
        <f>G15</f>
        <v>1440000</v>
      </c>
      <c r="BQ15" s="652"/>
      <c r="BR15" s="340">
        <f t="shared" si="21"/>
        <v>1440000</v>
      </c>
      <c r="BS15" s="340"/>
      <c r="BT15" s="340"/>
      <c r="BU15" s="340"/>
      <c r="BV15" s="341">
        <f t="shared" si="4"/>
        <v>1440000</v>
      </c>
    </row>
    <row r="16" spans="1:74" x14ac:dyDescent="0.25">
      <c r="A16" s="650" t="s">
        <v>928</v>
      </c>
      <c r="B16" s="269" t="s">
        <v>993</v>
      </c>
      <c r="C16" s="342" t="s">
        <v>941</v>
      </c>
      <c r="D16" s="336" t="s">
        <v>16</v>
      </c>
      <c r="E16" s="343">
        <v>100000</v>
      </c>
      <c r="F16" s="638">
        <f t="shared" si="23"/>
        <v>139</v>
      </c>
      <c r="G16" s="638">
        <f>F16*E16</f>
        <v>13900000</v>
      </c>
      <c r="H16" s="649">
        <f>G16*0</f>
        <v>0</v>
      </c>
      <c r="I16" s="649">
        <f>G16*0.6</f>
        <v>8340000</v>
      </c>
      <c r="J16" s="649">
        <f>G16*0</f>
        <v>0</v>
      </c>
      <c r="K16" s="649">
        <f>G16*0</f>
        <v>0</v>
      </c>
      <c r="L16" s="649">
        <f>G16*0</f>
        <v>0</v>
      </c>
      <c r="M16" s="649">
        <f>G16*0</f>
        <v>0</v>
      </c>
      <c r="N16" s="649">
        <f>G16*0</f>
        <v>0</v>
      </c>
      <c r="O16" s="396">
        <f>G16*0</f>
        <v>0</v>
      </c>
      <c r="P16" s="396">
        <f>G16*0.4</f>
        <v>5560000</v>
      </c>
      <c r="Q16" s="391">
        <f>G16*0</f>
        <v>0</v>
      </c>
      <c r="R16" s="453">
        <f>F16*0.4</f>
        <v>55.6</v>
      </c>
      <c r="S16" s="453">
        <f>F16*0.4</f>
        <v>55.6</v>
      </c>
      <c r="T16" s="453">
        <f>F16*0.2</f>
        <v>27.8</v>
      </c>
      <c r="U16" s="453">
        <f>F16*0</f>
        <v>0</v>
      </c>
      <c r="V16" s="433">
        <f t="shared" ref="V16" si="29">R16*E16</f>
        <v>5560000</v>
      </c>
      <c r="W16" s="433">
        <f t="shared" ref="W16" si="30">S16*E16</f>
        <v>5560000</v>
      </c>
      <c r="X16" s="433">
        <f t="shared" ref="X16" si="31">T16*E16</f>
        <v>2780000</v>
      </c>
      <c r="Y16" s="433">
        <f t="shared" ref="Y16" si="32">U16*E16</f>
        <v>0</v>
      </c>
      <c r="Z16" s="322">
        <v>5</v>
      </c>
      <c r="AA16" s="433">
        <f t="shared" si="5"/>
        <v>500000</v>
      </c>
      <c r="AB16" s="651">
        <v>5</v>
      </c>
      <c r="AC16" s="433">
        <f>AB16*E16</f>
        <v>500000</v>
      </c>
      <c r="AD16" s="651">
        <v>4</v>
      </c>
      <c r="AE16" s="433">
        <f t="shared" si="7"/>
        <v>400000</v>
      </c>
      <c r="AF16" s="651">
        <v>5</v>
      </c>
      <c r="AG16" s="433">
        <f t="shared" si="8"/>
        <v>500000</v>
      </c>
      <c r="AH16" s="651">
        <v>6</v>
      </c>
      <c r="AI16" s="433">
        <f t="shared" si="9"/>
        <v>600000</v>
      </c>
      <c r="AJ16" s="651">
        <v>6</v>
      </c>
      <c r="AK16" s="433">
        <f t="shared" si="10"/>
        <v>600000</v>
      </c>
      <c r="AL16" s="651">
        <v>4</v>
      </c>
      <c r="AM16" s="433">
        <f t="shared" si="11"/>
        <v>400000</v>
      </c>
      <c r="AN16" s="651">
        <v>12</v>
      </c>
      <c r="AO16" s="433">
        <f t="shared" si="12"/>
        <v>1200000</v>
      </c>
      <c r="AP16" s="651">
        <v>8</v>
      </c>
      <c r="AQ16" s="433">
        <f>AP16*E16</f>
        <v>800000</v>
      </c>
      <c r="AR16" s="651">
        <v>8</v>
      </c>
      <c r="AS16" s="433">
        <f>AR16*E16</f>
        <v>800000</v>
      </c>
      <c r="AT16" s="651">
        <v>10</v>
      </c>
      <c r="AU16" s="433">
        <f t="shared" si="14"/>
        <v>1000000</v>
      </c>
      <c r="AV16" s="651">
        <v>9</v>
      </c>
      <c r="AW16" s="433">
        <f t="shared" si="15"/>
        <v>900000</v>
      </c>
      <c r="AX16" s="651">
        <v>11</v>
      </c>
      <c r="AY16" s="433">
        <f>AX16*E16</f>
        <v>1100000</v>
      </c>
      <c r="AZ16" s="651">
        <v>5</v>
      </c>
      <c r="BA16" s="433">
        <f>AZ16*E16</f>
        <v>500000</v>
      </c>
      <c r="BB16" s="651">
        <v>10</v>
      </c>
      <c r="BC16" s="433">
        <f>BB16*E16</f>
        <v>1000000</v>
      </c>
      <c r="BD16" s="651">
        <v>11</v>
      </c>
      <c r="BE16" s="433">
        <f>BD16*E16</f>
        <v>1100000</v>
      </c>
      <c r="BF16" s="651">
        <v>20</v>
      </c>
      <c r="BG16" s="433">
        <v>2000000</v>
      </c>
      <c r="BH16" s="651"/>
      <c r="BI16" s="433"/>
      <c r="BJ16" s="322">
        <f>Z16+AB16+AD16+AF16+AH16+AJ16+AL16+AN16+AP16+AR16+AT16+AV16+AX16+AZ16+BB16+BD16+BF16+BH16</f>
        <v>139</v>
      </c>
      <c r="BK16" s="339">
        <f t="shared" si="3"/>
        <v>13900000</v>
      </c>
      <c r="BL16" s="336" t="s">
        <v>1229</v>
      </c>
      <c r="BN16" s="340"/>
      <c r="BO16" s="652"/>
      <c r="BP16" s="652">
        <f>G16</f>
        <v>13900000</v>
      </c>
      <c r="BQ16" s="652"/>
      <c r="BR16" s="340">
        <f t="shared" si="21"/>
        <v>13900000</v>
      </c>
      <c r="BS16" s="340"/>
      <c r="BT16" s="340"/>
      <c r="BU16" s="340"/>
      <c r="BV16" s="341">
        <f t="shared" si="4"/>
        <v>13900000</v>
      </c>
    </row>
    <row r="17" spans="1:74" x14ac:dyDescent="0.25">
      <c r="A17" s="650"/>
      <c r="B17" s="269" t="s">
        <v>994</v>
      </c>
      <c r="C17" s="342" t="s">
        <v>622</v>
      </c>
      <c r="D17" s="336" t="s">
        <v>32</v>
      </c>
      <c r="E17" s="343" t="s">
        <v>343</v>
      </c>
      <c r="F17" s="638">
        <f t="shared" si="23"/>
        <v>0</v>
      </c>
      <c r="G17" s="649">
        <f>F17*E17</f>
        <v>0</v>
      </c>
      <c r="H17" s="649">
        <f>G17*0.1</f>
        <v>0</v>
      </c>
      <c r="I17" s="649">
        <f t="shared" si="2"/>
        <v>0</v>
      </c>
      <c r="J17" s="649"/>
      <c r="K17" s="649"/>
      <c r="L17" s="649"/>
      <c r="M17" s="649"/>
      <c r="N17" s="649"/>
      <c r="O17" s="396"/>
      <c r="P17" s="396">
        <f>G17*0.1</f>
        <v>0</v>
      </c>
      <c r="Q17" s="391"/>
      <c r="R17" s="653"/>
      <c r="S17" s="453">
        <f>F17</f>
        <v>0</v>
      </c>
      <c r="T17" s="453"/>
      <c r="U17" s="453"/>
      <c r="V17" s="433">
        <f>R17*E17</f>
        <v>0</v>
      </c>
      <c r="W17" s="433">
        <f>S17*E17</f>
        <v>0</v>
      </c>
      <c r="X17" s="433">
        <f>T17*E17</f>
        <v>0</v>
      </c>
      <c r="Y17" s="433">
        <f>U17*E17</f>
        <v>0</v>
      </c>
      <c r="Z17" s="322">
        <v>0</v>
      </c>
      <c r="AA17" s="433">
        <f t="shared" si="5"/>
        <v>0</v>
      </c>
      <c r="AB17" s="651">
        <v>0</v>
      </c>
      <c r="AC17" s="433">
        <f t="shared" si="6"/>
        <v>0</v>
      </c>
      <c r="AD17" s="651">
        <v>0</v>
      </c>
      <c r="AE17" s="433">
        <f t="shared" si="7"/>
        <v>0</v>
      </c>
      <c r="AF17" s="651">
        <v>0</v>
      </c>
      <c r="AG17" s="433">
        <f t="shared" si="8"/>
        <v>0</v>
      </c>
      <c r="AH17" s="651">
        <v>0</v>
      </c>
      <c r="AI17" s="433">
        <f t="shared" si="9"/>
        <v>0</v>
      </c>
      <c r="AJ17" s="651">
        <v>0</v>
      </c>
      <c r="AK17" s="433">
        <f t="shared" si="10"/>
        <v>0</v>
      </c>
      <c r="AL17" s="651">
        <v>0</v>
      </c>
      <c r="AM17" s="433">
        <f t="shared" si="11"/>
        <v>0</v>
      </c>
      <c r="AN17" s="651">
        <v>0</v>
      </c>
      <c r="AO17" s="433">
        <f t="shared" si="12"/>
        <v>0</v>
      </c>
      <c r="AP17" s="651">
        <v>0</v>
      </c>
      <c r="AQ17" s="433">
        <f t="shared" si="13"/>
        <v>0</v>
      </c>
      <c r="AR17" s="651">
        <v>0</v>
      </c>
      <c r="AS17" s="433">
        <f t="shared" si="28"/>
        <v>0</v>
      </c>
      <c r="AT17" s="651">
        <v>0</v>
      </c>
      <c r="AU17" s="433">
        <f t="shared" si="14"/>
        <v>0</v>
      </c>
      <c r="AV17" s="651">
        <v>0</v>
      </c>
      <c r="AW17" s="433">
        <f t="shared" si="15"/>
        <v>0</v>
      </c>
      <c r="AX17" s="651">
        <v>0</v>
      </c>
      <c r="AY17" s="433">
        <f t="shared" si="16"/>
        <v>0</v>
      </c>
      <c r="AZ17" s="651">
        <v>0</v>
      </c>
      <c r="BA17" s="433">
        <f t="shared" si="17"/>
        <v>0</v>
      </c>
      <c r="BB17" s="651">
        <v>0</v>
      </c>
      <c r="BC17" s="433">
        <f t="shared" ref="BC17:BC44" si="33">BB17*E17</f>
        <v>0</v>
      </c>
      <c r="BD17" s="651">
        <v>0</v>
      </c>
      <c r="BE17" s="433">
        <f t="shared" si="18"/>
        <v>0</v>
      </c>
      <c r="BF17" s="651">
        <v>0</v>
      </c>
      <c r="BG17" s="433">
        <f t="shared" si="19"/>
        <v>0</v>
      </c>
      <c r="BH17" s="651"/>
      <c r="BI17" s="433">
        <f t="shared" si="20"/>
        <v>0</v>
      </c>
      <c r="BJ17" s="322">
        <f t="shared" si="3"/>
        <v>0</v>
      </c>
      <c r="BK17" s="339">
        <f t="shared" si="3"/>
        <v>0</v>
      </c>
      <c r="BL17" s="336" t="s">
        <v>212</v>
      </c>
      <c r="BN17" s="340">
        <f>G17</f>
        <v>0</v>
      </c>
      <c r="BO17" s="652"/>
      <c r="BP17" s="652"/>
      <c r="BQ17" s="652"/>
      <c r="BR17" s="340">
        <f t="shared" si="21"/>
        <v>0</v>
      </c>
      <c r="BS17" s="340"/>
      <c r="BT17" s="340"/>
      <c r="BU17" s="340"/>
      <c r="BV17" s="341">
        <f t="shared" si="4"/>
        <v>0</v>
      </c>
    </row>
    <row r="18" spans="1:74" x14ac:dyDescent="0.25">
      <c r="A18" s="650"/>
      <c r="B18" s="269" t="s">
        <v>995</v>
      </c>
      <c r="C18" s="342" t="s">
        <v>658</v>
      </c>
      <c r="D18" s="336" t="s">
        <v>613</v>
      </c>
      <c r="E18" s="654">
        <v>500000</v>
      </c>
      <c r="F18" s="638">
        <f t="shared" si="23"/>
        <v>64</v>
      </c>
      <c r="G18" s="655">
        <f t="shared" si="23"/>
        <v>32000000</v>
      </c>
      <c r="H18" s="649">
        <f>G18*0</f>
        <v>0</v>
      </c>
      <c r="I18" s="649">
        <f t="shared" si="2"/>
        <v>25600000</v>
      </c>
      <c r="J18" s="649"/>
      <c r="K18" s="649"/>
      <c r="L18" s="649"/>
      <c r="M18" s="649"/>
      <c r="N18" s="649"/>
      <c r="O18" s="396"/>
      <c r="P18" s="396">
        <f>G18*0.2</f>
        <v>6400000</v>
      </c>
      <c r="Q18" s="391"/>
      <c r="R18" s="653">
        <f>F18*0.4</f>
        <v>25.6</v>
      </c>
      <c r="S18" s="453">
        <f>F18*0.4</f>
        <v>25.6</v>
      </c>
      <c r="T18" s="453">
        <f>F18*0.2</f>
        <v>12.8</v>
      </c>
      <c r="U18" s="453">
        <f>F18*0</f>
        <v>0</v>
      </c>
      <c r="V18" s="433">
        <f>R18*E18</f>
        <v>12800000</v>
      </c>
      <c r="W18" s="433">
        <f>S18*E18</f>
        <v>12800000</v>
      </c>
      <c r="X18" s="433">
        <f>T18*E18</f>
        <v>6400000</v>
      </c>
      <c r="Y18" s="433">
        <f>U18*E18</f>
        <v>0</v>
      </c>
      <c r="Z18" s="322">
        <v>0</v>
      </c>
      <c r="AA18" s="433">
        <f t="shared" si="5"/>
        <v>0</v>
      </c>
      <c r="AB18" s="651">
        <v>1</v>
      </c>
      <c r="AC18" s="433">
        <f t="shared" si="6"/>
        <v>500000</v>
      </c>
      <c r="AD18" s="651">
        <v>6</v>
      </c>
      <c r="AE18" s="433">
        <f t="shared" si="7"/>
        <v>3000000</v>
      </c>
      <c r="AF18" s="651">
        <v>1</v>
      </c>
      <c r="AG18" s="433">
        <f t="shared" si="8"/>
        <v>500000</v>
      </c>
      <c r="AH18" s="651">
        <v>0</v>
      </c>
      <c r="AI18" s="433">
        <f t="shared" si="9"/>
        <v>0</v>
      </c>
      <c r="AJ18" s="651">
        <v>15</v>
      </c>
      <c r="AK18" s="433">
        <f t="shared" si="10"/>
        <v>7500000</v>
      </c>
      <c r="AL18" s="651">
        <v>4</v>
      </c>
      <c r="AM18" s="433">
        <f t="shared" si="11"/>
        <v>2000000</v>
      </c>
      <c r="AN18" s="651">
        <v>0</v>
      </c>
      <c r="AO18" s="433">
        <f t="shared" si="12"/>
        <v>0</v>
      </c>
      <c r="AP18" s="651">
        <v>2</v>
      </c>
      <c r="AQ18" s="433">
        <f t="shared" si="13"/>
        <v>1000000</v>
      </c>
      <c r="AR18" s="651">
        <v>4</v>
      </c>
      <c r="AS18" s="433">
        <f t="shared" si="28"/>
        <v>2000000</v>
      </c>
      <c r="AT18" s="651">
        <v>10</v>
      </c>
      <c r="AU18" s="433">
        <f t="shared" si="14"/>
        <v>5000000</v>
      </c>
      <c r="AV18" s="651">
        <v>8</v>
      </c>
      <c r="AW18" s="433">
        <f t="shared" si="15"/>
        <v>4000000</v>
      </c>
      <c r="AX18" s="651">
        <v>0</v>
      </c>
      <c r="AY18" s="433">
        <f t="shared" si="16"/>
        <v>0</v>
      </c>
      <c r="AZ18" s="651">
        <v>0</v>
      </c>
      <c r="BA18" s="433">
        <f t="shared" si="17"/>
        <v>0</v>
      </c>
      <c r="BB18" s="651">
        <v>10</v>
      </c>
      <c r="BC18" s="433">
        <f t="shared" si="33"/>
        <v>5000000</v>
      </c>
      <c r="BD18" s="651">
        <v>3</v>
      </c>
      <c r="BE18" s="433">
        <f t="shared" si="18"/>
        <v>1500000</v>
      </c>
      <c r="BF18" s="651">
        <v>0</v>
      </c>
      <c r="BG18" s="433">
        <f t="shared" si="19"/>
        <v>0</v>
      </c>
      <c r="BH18" s="651"/>
      <c r="BI18" s="433">
        <f t="shared" si="20"/>
        <v>0</v>
      </c>
      <c r="BJ18" s="322">
        <f t="shared" si="3"/>
        <v>64</v>
      </c>
      <c r="BK18" s="339">
        <f t="shared" si="3"/>
        <v>32000000</v>
      </c>
      <c r="BL18" s="336" t="s">
        <v>213</v>
      </c>
      <c r="BN18" s="340"/>
      <c r="BO18" s="652"/>
      <c r="BP18" s="652">
        <f>BK18</f>
        <v>32000000</v>
      </c>
      <c r="BQ18" s="652"/>
      <c r="BR18" s="340">
        <f t="shared" si="21"/>
        <v>32000000</v>
      </c>
      <c r="BS18" s="340"/>
      <c r="BT18" s="340"/>
      <c r="BU18" s="340"/>
      <c r="BV18" s="341">
        <f t="shared" si="4"/>
        <v>32000000</v>
      </c>
    </row>
    <row r="19" spans="1:74" ht="31.5" x14ac:dyDescent="0.25">
      <c r="A19" s="650"/>
      <c r="B19" s="269" t="s">
        <v>996</v>
      </c>
      <c r="C19" s="344" t="s">
        <v>944</v>
      </c>
      <c r="D19" s="336" t="s">
        <v>613</v>
      </c>
      <c r="E19" s="654">
        <v>250000</v>
      </c>
      <c r="F19" s="638">
        <f t="shared" si="23"/>
        <v>93</v>
      </c>
      <c r="G19" s="638">
        <f t="shared" si="23"/>
        <v>23250000</v>
      </c>
      <c r="H19" s="649">
        <f>G19*0</f>
        <v>0</v>
      </c>
      <c r="I19" s="649">
        <f t="shared" si="2"/>
        <v>18600000</v>
      </c>
      <c r="J19" s="649"/>
      <c r="K19" s="649"/>
      <c r="L19" s="649"/>
      <c r="M19" s="649"/>
      <c r="N19" s="649"/>
      <c r="O19" s="396"/>
      <c r="P19" s="396">
        <f>G19*0.2</f>
        <v>4650000</v>
      </c>
      <c r="Q19" s="391"/>
      <c r="R19" s="653">
        <f>F19*0.4</f>
        <v>37.200000000000003</v>
      </c>
      <c r="S19" s="453">
        <f>F19*0.3</f>
        <v>27.9</v>
      </c>
      <c r="T19" s="453">
        <f>F19*0.2</f>
        <v>18.600000000000001</v>
      </c>
      <c r="U19" s="453">
        <f>F19*0.1</f>
        <v>9.3000000000000007</v>
      </c>
      <c r="V19" s="433">
        <f>G19*0.4</f>
        <v>9300000</v>
      </c>
      <c r="W19" s="433">
        <f>G19*0.3</f>
        <v>6975000</v>
      </c>
      <c r="X19" s="433">
        <f>G19*0.2</f>
        <v>4650000</v>
      </c>
      <c r="Y19" s="433">
        <f>G19*0.1</f>
        <v>2325000</v>
      </c>
      <c r="Z19" s="322">
        <v>1</v>
      </c>
      <c r="AA19" s="433">
        <f t="shared" si="5"/>
        <v>250000</v>
      </c>
      <c r="AB19" s="651">
        <v>8</v>
      </c>
      <c r="AC19" s="433">
        <f>(AB19*E19)</f>
        <v>2000000</v>
      </c>
      <c r="AD19" s="651">
        <v>3</v>
      </c>
      <c r="AE19" s="433">
        <f t="shared" si="7"/>
        <v>750000</v>
      </c>
      <c r="AF19" s="651">
        <v>9</v>
      </c>
      <c r="AG19" s="433">
        <f t="shared" si="8"/>
        <v>2250000</v>
      </c>
      <c r="AH19" s="651">
        <v>0</v>
      </c>
      <c r="AI19" s="433">
        <f t="shared" si="9"/>
        <v>0</v>
      </c>
      <c r="AJ19" s="651">
        <v>4</v>
      </c>
      <c r="AK19" s="433">
        <f t="shared" si="10"/>
        <v>1000000</v>
      </c>
      <c r="AL19" s="651">
        <v>2</v>
      </c>
      <c r="AM19" s="433">
        <f t="shared" si="11"/>
        <v>500000</v>
      </c>
      <c r="AN19" s="651">
        <v>0</v>
      </c>
      <c r="AO19" s="433">
        <f t="shared" si="12"/>
        <v>0</v>
      </c>
      <c r="AP19" s="651">
        <v>0</v>
      </c>
      <c r="AQ19" s="433">
        <f t="shared" si="13"/>
        <v>0</v>
      </c>
      <c r="AR19" s="651">
        <v>12</v>
      </c>
      <c r="AS19" s="433">
        <f t="shared" si="28"/>
        <v>3000000</v>
      </c>
      <c r="AT19" s="651">
        <v>7</v>
      </c>
      <c r="AU19" s="433">
        <f t="shared" si="14"/>
        <v>1750000</v>
      </c>
      <c r="AV19" s="651">
        <v>6</v>
      </c>
      <c r="AW19" s="433">
        <f t="shared" si="15"/>
        <v>1500000</v>
      </c>
      <c r="AX19" s="651">
        <v>8</v>
      </c>
      <c r="AY19" s="433">
        <f t="shared" si="16"/>
        <v>2000000</v>
      </c>
      <c r="AZ19" s="651">
        <v>2</v>
      </c>
      <c r="BA19" s="433">
        <f t="shared" si="17"/>
        <v>500000</v>
      </c>
      <c r="BB19" s="651">
        <v>7</v>
      </c>
      <c r="BC19" s="433">
        <f t="shared" si="33"/>
        <v>1750000</v>
      </c>
      <c r="BD19" s="651">
        <v>7</v>
      </c>
      <c r="BE19" s="433">
        <f t="shared" si="18"/>
        <v>1750000</v>
      </c>
      <c r="BF19" s="651">
        <v>17</v>
      </c>
      <c r="BG19" s="433">
        <f t="shared" si="19"/>
        <v>4250000</v>
      </c>
      <c r="BH19" s="651"/>
      <c r="BI19" s="433"/>
      <c r="BJ19" s="322">
        <f t="shared" si="3"/>
        <v>93</v>
      </c>
      <c r="BK19" s="339">
        <f t="shared" si="3"/>
        <v>23250000</v>
      </c>
      <c r="BL19" s="336" t="s">
        <v>213</v>
      </c>
      <c r="BN19" s="340"/>
      <c r="BO19" s="652"/>
      <c r="BP19" s="652">
        <f>G19</f>
        <v>23250000</v>
      </c>
      <c r="BQ19" s="652"/>
      <c r="BR19" s="340">
        <f t="shared" si="21"/>
        <v>23250000</v>
      </c>
      <c r="BS19" s="340"/>
      <c r="BT19" s="340"/>
      <c r="BU19" s="340"/>
      <c r="BV19" s="341">
        <f t="shared" si="4"/>
        <v>23250000</v>
      </c>
    </row>
    <row r="20" spans="1:74" s="317" customFormat="1" x14ac:dyDescent="0.25">
      <c r="A20" s="650"/>
      <c r="B20" s="650"/>
      <c r="C20" s="335" t="s">
        <v>364</v>
      </c>
      <c r="D20" s="346" t="s">
        <v>111</v>
      </c>
      <c r="E20" s="354"/>
      <c r="F20" s="656">
        <f t="shared" ref="F20" si="34">F18+F17+F13+F12+F19+F15+F16</f>
        <v>368</v>
      </c>
      <c r="G20" s="656">
        <f>G18+G17+G13+G12+G19+G15+G16</f>
        <v>70590000</v>
      </c>
      <c r="H20" s="656">
        <f t="shared" ref="H20:BI20" si="35">H18+H17+H13+H12+H19+H15+H16</f>
        <v>0</v>
      </c>
      <c r="I20" s="656">
        <f t="shared" si="35"/>
        <v>53692000</v>
      </c>
      <c r="J20" s="656">
        <f t="shared" si="35"/>
        <v>0</v>
      </c>
      <c r="K20" s="656">
        <f t="shared" si="35"/>
        <v>0</v>
      </c>
      <c r="L20" s="656">
        <f t="shared" si="35"/>
        <v>0</v>
      </c>
      <c r="M20" s="656">
        <f t="shared" si="35"/>
        <v>0</v>
      </c>
      <c r="N20" s="656">
        <f t="shared" si="35"/>
        <v>0</v>
      </c>
      <c r="O20" s="656">
        <f t="shared" si="35"/>
        <v>0</v>
      </c>
      <c r="P20" s="656">
        <f t="shared" si="35"/>
        <v>16898000</v>
      </c>
      <c r="Q20" s="656">
        <f t="shared" si="35"/>
        <v>0</v>
      </c>
      <c r="R20" s="656">
        <f t="shared" si="35"/>
        <v>136.4</v>
      </c>
      <c r="S20" s="656">
        <f t="shared" si="35"/>
        <v>127.1</v>
      </c>
      <c r="T20" s="656">
        <f t="shared" si="35"/>
        <v>77.2</v>
      </c>
      <c r="U20" s="656">
        <f t="shared" si="35"/>
        <v>27.3</v>
      </c>
      <c r="V20" s="656">
        <f t="shared" si="35"/>
        <v>28092000</v>
      </c>
      <c r="W20" s="656">
        <f t="shared" si="35"/>
        <v>25911000</v>
      </c>
      <c r="X20" s="656">
        <f t="shared" si="35"/>
        <v>14118000</v>
      </c>
      <c r="Y20" s="656">
        <f t="shared" si="35"/>
        <v>2469000</v>
      </c>
      <c r="Z20" s="656">
        <f t="shared" si="35"/>
        <v>8</v>
      </c>
      <c r="AA20" s="656">
        <f t="shared" si="35"/>
        <v>790000</v>
      </c>
      <c r="AB20" s="656">
        <f t="shared" si="35"/>
        <v>34</v>
      </c>
      <c r="AC20" s="656">
        <f t="shared" si="35"/>
        <v>3400000</v>
      </c>
      <c r="AD20" s="656">
        <f t="shared" si="35"/>
        <v>13</v>
      </c>
      <c r="AE20" s="656">
        <f t="shared" si="35"/>
        <v>4150000</v>
      </c>
      <c r="AF20" s="656">
        <f t="shared" si="35"/>
        <v>20</v>
      </c>
      <c r="AG20" s="656">
        <f t="shared" si="35"/>
        <v>3350000</v>
      </c>
      <c r="AH20" s="656">
        <f t="shared" si="35"/>
        <v>6</v>
      </c>
      <c r="AI20" s="656">
        <f t="shared" si="35"/>
        <v>600000</v>
      </c>
      <c r="AJ20" s="656">
        <f t="shared" si="35"/>
        <v>25</v>
      </c>
      <c r="AK20" s="656">
        <f t="shared" si="35"/>
        <v>9100000</v>
      </c>
      <c r="AL20" s="656">
        <f t="shared" si="35"/>
        <v>10</v>
      </c>
      <c r="AM20" s="656">
        <f t="shared" si="35"/>
        <v>2900000</v>
      </c>
      <c r="AN20" s="656">
        <f t="shared" si="35"/>
        <v>17</v>
      </c>
      <c r="AO20" s="656">
        <f t="shared" si="35"/>
        <v>1300000</v>
      </c>
      <c r="AP20" s="656">
        <f t="shared" si="35"/>
        <v>10</v>
      </c>
      <c r="AQ20" s="656">
        <f t="shared" si="35"/>
        <v>1800000</v>
      </c>
      <c r="AR20" s="656">
        <f t="shared" si="35"/>
        <v>24</v>
      </c>
      <c r="AS20" s="656">
        <f t="shared" si="35"/>
        <v>5800000</v>
      </c>
      <c r="AT20" s="656">
        <f t="shared" si="35"/>
        <v>37</v>
      </c>
      <c r="AU20" s="656">
        <f t="shared" si="35"/>
        <v>7950000</v>
      </c>
      <c r="AV20" s="656">
        <f t="shared" si="35"/>
        <v>43</v>
      </c>
      <c r="AW20" s="656">
        <f t="shared" si="35"/>
        <v>6800000</v>
      </c>
      <c r="AX20" s="656">
        <f t="shared" si="35"/>
        <v>19</v>
      </c>
      <c r="AY20" s="656">
        <f t="shared" si="35"/>
        <v>3100000</v>
      </c>
      <c r="AZ20" s="656">
        <f t="shared" si="35"/>
        <v>7</v>
      </c>
      <c r="BA20" s="656">
        <f t="shared" si="35"/>
        <v>1000000</v>
      </c>
      <c r="BB20" s="656">
        <f t="shared" si="35"/>
        <v>27</v>
      </c>
      <c r="BC20" s="656">
        <f t="shared" si="35"/>
        <v>7750000</v>
      </c>
      <c r="BD20" s="656">
        <f t="shared" si="35"/>
        <v>21</v>
      </c>
      <c r="BE20" s="656">
        <f t="shared" si="35"/>
        <v>4350000</v>
      </c>
      <c r="BF20" s="656">
        <f t="shared" si="35"/>
        <v>47</v>
      </c>
      <c r="BG20" s="656">
        <f t="shared" si="35"/>
        <v>6450000</v>
      </c>
      <c r="BH20" s="656">
        <f t="shared" si="35"/>
        <v>0</v>
      </c>
      <c r="BI20" s="656">
        <f t="shared" si="35"/>
        <v>0</v>
      </c>
      <c r="BJ20" s="656">
        <f t="shared" ref="BJ20:BQ20" si="36">BJ18+BJ17+BJ13+BJ12+BJ19+BJ15+BJ16</f>
        <v>368</v>
      </c>
      <c r="BK20" s="656">
        <f t="shared" si="36"/>
        <v>70590000</v>
      </c>
      <c r="BL20" s="656"/>
      <c r="BM20" s="656">
        <f t="shared" si="36"/>
        <v>0</v>
      </c>
      <c r="BN20" s="656">
        <f t="shared" si="36"/>
        <v>0</v>
      </c>
      <c r="BO20" s="656">
        <f t="shared" si="36"/>
        <v>0</v>
      </c>
      <c r="BP20" s="656">
        <f t="shared" si="36"/>
        <v>70590000</v>
      </c>
      <c r="BQ20" s="656">
        <f t="shared" si="36"/>
        <v>0</v>
      </c>
      <c r="BR20" s="656">
        <f t="shared" ref="BR20:BV20" si="37">BR18+BR17+BR13+BR12+BR19+BR15+BR16</f>
        <v>70590000</v>
      </c>
      <c r="BS20" s="656">
        <f t="shared" si="37"/>
        <v>0</v>
      </c>
      <c r="BT20" s="656">
        <f t="shared" si="37"/>
        <v>0</v>
      </c>
      <c r="BU20" s="656">
        <f t="shared" si="37"/>
        <v>0</v>
      </c>
      <c r="BV20" s="656">
        <f t="shared" si="37"/>
        <v>70590000</v>
      </c>
    </row>
    <row r="21" spans="1:74" x14ac:dyDescent="0.25">
      <c r="A21" s="650"/>
      <c r="B21" s="650"/>
      <c r="C21" s="335" t="s">
        <v>1250</v>
      </c>
      <c r="D21" s="336"/>
      <c r="E21" s="336"/>
      <c r="F21" s="638"/>
      <c r="G21" s="649"/>
      <c r="H21" s="649">
        <f>G21*0.1</f>
        <v>0</v>
      </c>
      <c r="I21" s="649">
        <f t="shared" ref="I21:I25" si="38">G21*0.8</f>
        <v>0</v>
      </c>
      <c r="J21" s="649"/>
      <c r="K21" s="649"/>
      <c r="L21" s="649"/>
      <c r="M21" s="649"/>
      <c r="N21" s="649"/>
      <c r="O21" s="396"/>
      <c r="P21" s="396">
        <f>G21*0.1</f>
        <v>0</v>
      </c>
      <c r="Q21" s="391"/>
      <c r="R21" s="653"/>
      <c r="S21" s="453"/>
      <c r="T21" s="453"/>
      <c r="U21" s="453"/>
      <c r="V21" s="433"/>
      <c r="W21" s="433"/>
      <c r="X21" s="433"/>
      <c r="Y21" s="433"/>
      <c r="Z21" s="322"/>
      <c r="AA21" s="433">
        <f t="shared" si="5"/>
        <v>0</v>
      </c>
      <c r="AB21" s="651"/>
      <c r="AC21" s="433">
        <f t="shared" si="6"/>
        <v>0</v>
      </c>
      <c r="AD21" s="651"/>
      <c r="AE21" s="433">
        <f t="shared" si="7"/>
        <v>0</v>
      </c>
      <c r="AF21" s="651"/>
      <c r="AG21" s="433">
        <f t="shared" si="8"/>
        <v>0</v>
      </c>
      <c r="AH21" s="651"/>
      <c r="AI21" s="433">
        <f t="shared" si="9"/>
        <v>0</v>
      </c>
      <c r="AJ21" s="651"/>
      <c r="AK21" s="433">
        <f t="shared" si="10"/>
        <v>0</v>
      </c>
      <c r="AL21" s="651"/>
      <c r="AM21" s="433">
        <f t="shared" si="11"/>
        <v>0</v>
      </c>
      <c r="AN21" s="651"/>
      <c r="AO21" s="433">
        <f t="shared" si="12"/>
        <v>0</v>
      </c>
      <c r="AP21" s="651"/>
      <c r="AQ21" s="433">
        <f t="shared" si="13"/>
        <v>0</v>
      </c>
      <c r="AR21" s="651"/>
      <c r="AS21" s="433">
        <f t="shared" si="28"/>
        <v>0</v>
      </c>
      <c r="AT21" s="651"/>
      <c r="AU21" s="433">
        <f t="shared" si="14"/>
        <v>0</v>
      </c>
      <c r="AV21" s="651"/>
      <c r="AW21" s="433">
        <f t="shared" si="15"/>
        <v>0</v>
      </c>
      <c r="AX21" s="651"/>
      <c r="AY21" s="433">
        <f t="shared" si="16"/>
        <v>0</v>
      </c>
      <c r="AZ21" s="651"/>
      <c r="BA21" s="433">
        <f t="shared" si="17"/>
        <v>0</v>
      </c>
      <c r="BB21" s="651"/>
      <c r="BC21" s="433">
        <f t="shared" si="33"/>
        <v>0</v>
      </c>
      <c r="BD21" s="651"/>
      <c r="BE21" s="433">
        <f t="shared" si="18"/>
        <v>0</v>
      </c>
      <c r="BF21" s="651"/>
      <c r="BG21" s="433">
        <f t="shared" si="19"/>
        <v>0</v>
      </c>
      <c r="BH21" s="651"/>
      <c r="BI21" s="433">
        <f t="shared" si="20"/>
        <v>0</v>
      </c>
      <c r="BJ21" s="322">
        <f t="shared" ref="BJ21:BK36" si="39">Z21+AB21+AD21+AF21+AH21+AJ21+AL21+AN21+AP21+AR21+AT21+AV21+AX21+AZ21+BB21+BD21+BF21+BH21</f>
        <v>0</v>
      </c>
      <c r="BK21" s="339">
        <f t="shared" si="39"/>
        <v>0</v>
      </c>
      <c r="BL21" s="336"/>
      <c r="BN21" s="340">
        <f>G21</f>
        <v>0</v>
      </c>
      <c r="BO21" s="652"/>
      <c r="BP21" s="652"/>
      <c r="BQ21" s="652"/>
      <c r="BR21" s="340">
        <f t="shared" si="21"/>
        <v>0</v>
      </c>
      <c r="BS21" s="340"/>
      <c r="BT21" s="340"/>
      <c r="BU21" s="340"/>
      <c r="BV21" s="341">
        <f t="shared" si="4"/>
        <v>0</v>
      </c>
    </row>
    <row r="22" spans="1:74" x14ac:dyDescent="0.25">
      <c r="A22" s="650"/>
      <c r="B22" s="269" t="s">
        <v>997</v>
      </c>
      <c r="C22" s="344" t="s">
        <v>659</v>
      </c>
      <c r="D22" s="336" t="s">
        <v>16</v>
      </c>
      <c r="E22" s="343">
        <v>20000</v>
      </c>
      <c r="F22" s="638">
        <f t="shared" ref="F22:G36" si="40">BJ22</f>
        <v>17</v>
      </c>
      <c r="G22" s="649">
        <f>F22*E22</f>
        <v>340000</v>
      </c>
      <c r="H22" s="649">
        <f>G22*0.2</f>
        <v>68000</v>
      </c>
      <c r="I22" s="649">
        <f t="shared" si="38"/>
        <v>272000</v>
      </c>
      <c r="J22" s="649"/>
      <c r="K22" s="649"/>
      <c r="L22" s="649"/>
      <c r="M22" s="649"/>
      <c r="N22" s="649"/>
      <c r="O22" s="396"/>
      <c r="P22" s="396">
        <f>G22*0</f>
        <v>0</v>
      </c>
      <c r="Q22" s="391"/>
      <c r="R22" s="653"/>
      <c r="S22" s="453">
        <f>F22*0.4</f>
        <v>6.8000000000000007</v>
      </c>
      <c r="T22" s="453">
        <f>F22*0.3</f>
        <v>5.0999999999999996</v>
      </c>
      <c r="U22" s="453">
        <f>F22*0.3</f>
        <v>5.0999999999999996</v>
      </c>
      <c r="V22" s="433"/>
      <c r="W22" s="433">
        <f t="shared" ref="W22:W35" si="41">S22*E22</f>
        <v>136000</v>
      </c>
      <c r="X22" s="433">
        <f t="shared" ref="X22:X35" si="42">T22*E22</f>
        <v>102000</v>
      </c>
      <c r="Y22" s="433">
        <f t="shared" ref="Y22:Y35" si="43">U22*E22</f>
        <v>102000</v>
      </c>
      <c r="Z22" s="322">
        <v>1</v>
      </c>
      <c r="AA22" s="433">
        <f t="shared" si="5"/>
        <v>20000</v>
      </c>
      <c r="AB22" s="651">
        <v>1</v>
      </c>
      <c r="AC22" s="433">
        <f t="shared" si="6"/>
        <v>20000</v>
      </c>
      <c r="AD22" s="651">
        <v>1</v>
      </c>
      <c r="AE22" s="433">
        <f t="shared" si="7"/>
        <v>20000</v>
      </c>
      <c r="AF22" s="651">
        <v>1</v>
      </c>
      <c r="AG22" s="433">
        <f t="shared" si="8"/>
        <v>20000</v>
      </c>
      <c r="AH22" s="651">
        <v>1</v>
      </c>
      <c r="AI22" s="433">
        <f t="shared" si="9"/>
        <v>20000</v>
      </c>
      <c r="AJ22" s="651">
        <v>1</v>
      </c>
      <c r="AK22" s="433">
        <f t="shared" si="10"/>
        <v>20000</v>
      </c>
      <c r="AL22" s="651">
        <v>1</v>
      </c>
      <c r="AM22" s="433">
        <f t="shared" si="11"/>
        <v>20000</v>
      </c>
      <c r="AN22" s="651">
        <v>1</v>
      </c>
      <c r="AO22" s="433">
        <f t="shared" si="12"/>
        <v>20000</v>
      </c>
      <c r="AP22" s="651">
        <v>1</v>
      </c>
      <c r="AQ22" s="433">
        <f t="shared" si="13"/>
        <v>20000</v>
      </c>
      <c r="AR22" s="651">
        <v>1</v>
      </c>
      <c r="AS22" s="433">
        <f t="shared" si="28"/>
        <v>20000</v>
      </c>
      <c r="AT22" s="651">
        <v>1</v>
      </c>
      <c r="AU22" s="433">
        <f t="shared" si="14"/>
        <v>20000</v>
      </c>
      <c r="AV22" s="651">
        <v>1</v>
      </c>
      <c r="AW22" s="433">
        <f t="shared" si="15"/>
        <v>20000</v>
      </c>
      <c r="AX22" s="651">
        <v>1</v>
      </c>
      <c r="AY22" s="433">
        <f t="shared" si="16"/>
        <v>20000</v>
      </c>
      <c r="AZ22" s="651">
        <v>1</v>
      </c>
      <c r="BA22" s="433">
        <f t="shared" si="17"/>
        <v>20000</v>
      </c>
      <c r="BB22" s="651">
        <v>1</v>
      </c>
      <c r="BC22" s="433">
        <f t="shared" si="33"/>
        <v>20000</v>
      </c>
      <c r="BD22" s="651">
        <v>1</v>
      </c>
      <c r="BE22" s="433">
        <f t="shared" si="18"/>
        <v>20000</v>
      </c>
      <c r="BF22" s="651">
        <v>1</v>
      </c>
      <c r="BG22" s="433">
        <f t="shared" si="19"/>
        <v>20000</v>
      </c>
      <c r="BH22" s="651"/>
      <c r="BI22" s="433">
        <f t="shared" si="20"/>
        <v>0</v>
      </c>
      <c r="BJ22" s="322">
        <f t="shared" si="39"/>
        <v>17</v>
      </c>
      <c r="BK22" s="339">
        <f t="shared" si="39"/>
        <v>340000</v>
      </c>
      <c r="BL22" s="336" t="s">
        <v>590</v>
      </c>
      <c r="BN22" s="340"/>
      <c r="BO22" s="652"/>
      <c r="BP22" s="652">
        <f>BK22</f>
        <v>340000</v>
      </c>
      <c r="BQ22" s="652"/>
      <c r="BR22" s="340">
        <f t="shared" si="21"/>
        <v>340000</v>
      </c>
      <c r="BS22" s="340"/>
      <c r="BT22" s="340"/>
      <c r="BU22" s="340"/>
      <c r="BV22" s="341">
        <f t="shared" si="4"/>
        <v>340000</v>
      </c>
    </row>
    <row r="23" spans="1:74" ht="47.25" x14ac:dyDescent="0.25">
      <c r="A23" s="650"/>
      <c r="B23" s="269" t="s">
        <v>998</v>
      </c>
      <c r="C23" s="344" t="s">
        <v>625</v>
      </c>
      <c r="D23" s="336" t="s">
        <v>16</v>
      </c>
      <c r="E23" s="343">
        <v>150000</v>
      </c>
      <c r="F23" s="638">
        <f t="shared" si="40"/>
        <v>0</v>
      </c>
      <c r="G23" s="649">
        <f>F23*E23</f>
        <v>0</v>
      </c>
      <c r="H23" s="649">
        <f>G23*0.1</f>
        <v>0</v>
      </c>
      <c r="I23" s="649">
        <f t="shared" si="38"/>
        <v>0</v>
      </c>
      <c r="J23" s="649"/>
      <c r="K23" s="649"/>
      <c r="L23" s="649"/>
      <c r="M23" s="649"/>
      <c r="N23" s="649"/>
      <c r="O23" s="396"/>
      <c r="P23" s="649">
        <f>G23*0.1</f>
        <v>0</v>
      </c>
      <c r="Q23" s="391"/>
      <c r="R23" s="653"/>
      <c r="S23" s="453">
        <v>0</v>
      </c>
      <c r="T23" s="453">
        <v>0</v>
      </c>
      <c r="U23" s="453">
        <v>0</v>
      </c>
      <c r="V23" s="433"/>
      <c r="W23" s="433">
        <f>S23*E23</f>
        <v>0</v>
      </c>
      <c r="X23" s="433">
        <f>T23*E23</f>
        <v>0</v>
      </c>
      <c r="Y23" s="433">
        <v>0</v>
      </c>
      <c r="Z23" s="322">
        <v>0</v>
      </c>
      <c r="AA23" s="433">
        <f t="shared" si="5"/>
        <v>0</v>
      </c>
      <c r="AB23" s="651">
        <v>0</v>
      </c>
      <c r="AC23" s="433">
        <f t="shared" si="6"/>
        <v>0</v>
      </c>
      <c r="AD23" s="651">
        <v>0</v>
      </c>
      <c r="AE23" s="433">
        <f t="shared" si="7"/>
        <v>0</v>
      </c>
      <c r="AF23" s="651">
        <v>0</v>
      </c>
      <c r="AG23" s="433">
        <f t="shared" si="8"/>
        <v>0</v>
      </c>
      <c r="AH23" s="651">
        <v>0</v>
      </c>
      <c r="AI23" s="433">
        <f t="shared" si="9"/>
        <v>0</v>
      </c>
      <c r="AJ23" s="651">
        <v>0</v>
      </c>
      <c r="AK23" s="433">
        <f t="shared" si="10"/>
        <v>0</v>
      </c>
      <c r="AL23" s="651"/>
      <c r="AM23" s="433"/>
      <c r="AN23" s="651">
        <v>0</v>
      </c>
      <c r="AO23" s="433">
        <f t="shared" si="12"/>
        <v>0</v>
      </c>
      <c r="AP23" s="651">
        <v>0</v>
      </c>
      <c r="AQ23" s="433">
        <f t="shared" si="13"/>
        <v>0</v>
      </c>
      <c r="AR23" s="651">
        <v>0</v>
      </c>
      <c r="AS23" s="433">
        <f t="shared" si="28"/>
        <v>0</v>
      </c>
      <c r="AT23" s="651"/>
      <c r="AU23" s="433"/>
      <c r="AV23" s="651">
        <v>0</v>
      </c>
      <c r="AW23" s="433">
        <f t="shared" si="15"/>
        <v>0</v>
      </c>
      <c r="AX23" s="651">
        <v>0</v>
      </c>
      <c r="AY23" s="433">
        <f t="shared" si="16"/>
        <v>0</v>
      </c>
      <c r="AZ23" s="651">
        <v>0</v>
      </c>
      <c r="BA23" s="433">
        <f t="shared" si="17"/>
        <v>0</v>
      </c>
      <c r="BB23" s="651">
        <v>0</v>
      </c>
      <c r="BC23" s="433">
        <f t="shared" si="33"/>
        <v>0</v>
      </c>
      <c r="BD23" s="651">
        <v>0</v>
      </c>
      <c r="BE23" s="433">
        <f t="shared" si="18"/>
        <v>0</v>
      </c>
      <c r="BF23" s="651"/>
      <c r="BG23" s="433"/>
      <c r="BH23" s="651"/>
      <c r="BI23" s="433"/>
      <c r="BJ23" s="322">
        <f t="shared" si="39"/>
        <v>0</v>
      </c>
      <c r="BK23" s="339">
        <f t="shared" si="39"/>
        <v>0</v>
      </c>
      <c r="BL23" s="657" t="s">
        <v>591</v>
      </c>
      <c r="BN23" s="340"/>
      <c r="BO23" s="652"/>
      <c r="BP23" s="652">
        <f>BK23</f>
        <v>0</v>
      </c>
      <c r="BQ23" s="652"/>
      <c r="BR23" s="340">
        <f t="shared" si="21"/>
        <v>0</v>
      </c>
      <c r="BS23" s="340"/>
      <c r="BT23" s="340"/>
      <c r="BU23" s="340"/>
      <c r="BV23" s="341">
        <f t="shared" si="4"/>
        <v>0</v>
      </c>
    </row>
    <row r="24" spans="1:74" ht="47.25" x14ac:dyDescent="0.25">
      <c r="A24" s="650"/>
      <c r="B24" s="269" t="s">
        <v>999</v>
      </c>
      <c r="C24" s="342" t="s">
        <v>620</v>
      </c>
      <c r="D24" s="336" t="s">
        <v>238</v>
      </c>
      <c r="E24" s="343">
        <v>50000</v>
      </c>
      <c r="F24" s="638">
        <f t="shared" si="40"/>
        <v>0</v>
      </c>
      <c r="G24" s="649">
        <f>BK24</f>
        <v>0</v>
      </c>
      <c r="H24" s="649">
        <f>G24*0.1</f>
        <v>0</v>
      </c>
      <c r="I24" s="649">
        <f t="shared" si="38"/>
        <v>0</v>
      </c>
      <c r="J24" s="649"/>
      <c r="K24" s="649"/>
      <c r="L24" s="649"/>
      <c r="M24" s="649"/>
      <c r="N24" s="649"/>
      <c r="O24" s="396"/>
      <c r="P24" s="649">
        <f>G24*0.1</f>
        <v>0</v>
      </c>
      <c r="Q24" s="391"/>
      <c r="R24" s="653"/>
      <c r="S24" s="453">
        <v>6</v>
      </c>
      <c r="T24" s="453">
        <v>4</v>
      </c>
      <c r="U24" s="453"/>
      <c r="V24" s="433"/>
      <c r="W24" s="433"/>
      <c r="X24" s="433"/>
      <c r="Y24" s="433"/>
      <c r="Z24" s="322"/>
      <c r="AA24" s="433"/>
      <c r="AB24" s="651">
        <v>0</v>
      </c>
      <c r="AC24" s="433"/>
      <c r="AD24" s="651">
        <v>0</v>
      </c>
      <c r="AE24" s="433">
        <f t="shared" si="7"/>
        <v>0</v>
      </c>
      <c r="AF24" s="651">
        <v>0</v>
      </c>
      <c r="AG24" s="433">
        <f t="shared" si="8"/>
        <v>0</v>
      </c>
      <c r="AH24" s="651">
        <v>0</v>
      </c>
      <c r="AI24" s="433">
        <f t="shared" si="9"/>
        <v>0</v>
      </c>
      <c r="AJ24" s="651">
        <v>0</v>
      </c>
      <c r="AK24" s="433">
        <f t="shared" si="10"/>
        <v>0</v>
      </c>
      <c r="AL24" s="651"/>
      <c r="AM24" s="433"/>
      <c r="AN24" s="651">
        <v>0</v>
      </c>
      <c r="AO24" s="433">
        <f t="shared" si="12"/>
        <v>0</v>
      </c>
      <c r="AP24" s="651"/>
      <c r="AQ24" s="433"/>
      <c r="AR24" s="651"/>
      <c r="AS24" s="433"/>
      <c r="AT24" s="651"/>
      <c r="AU24" s="433"/>
      <c r="AV24" s="651">
        <v>0</v>
      </c>
      <c r="AW24" s="433">
        <f t="shared" si="15"/>
        <v>0</v>
      </c>
      <c r="AX24" s="651">
        <v>0</v>
      </c>
      <c r="AY24" s="433">
        <f t="shared" si="16"/>
        <v>0</v>
      </c>
      <c r="AZ24" s="651">
        <v>0</v>
      </c>
      <c r="BA24" s="433">
        <f t="shared" si="17"/>
        <v>0</v>
      </c>
      <c r="BB24" s="651"/>
      <c r="BC24" s="433"/>
      <c r="BD24" s="651"/>
      <c r="BE24" s="433">
        <f t="shared" si="18"/>
        <v>0</v>
      </c>
      <c r="BF24" s="651"/>
      <c r="BG24" s="433"/>
      <c r="BH24" s="651"/>
      <c r="BI24" s="433"/>
      <c r="BJ24" s="322">
        <f t="shared" ref="BJ24:BJ26" si="44">Z24+AB24+AD24+AF24+AH24+AJ24+AL24+AN24+AP24+AR24+AT24+AV24+AX24+AZ24+BB24+BD24+BF24+BH24</f>
        <v>0</v>
      </c>
      <c r="BK24" s="339">
        <f t="shared" si="39"/>
        <v>0</v>
      </c>
      <c r="BL24" s="657" t="s">
        <v>591</v>
      </c>
      <c r="BN24" s="340"/>
      <c r="BO24" s="652"/>
      <c r="BP24" s="652"/>
      <c r="BQ24" s="652"/>
      <c r="BR24" s="340"/>
      <c r="BS24" s="340"/>
      <c r="BT24" s="340"/>
      <c r="BU24" s="340"/>
      <c r="BV24" s="341"/>
    </row>
    <row r="25" spans="1:74" ht="47.25" x14ac:dyDescent="0.25">
      <c r="A25" s="650"/>
      <c r="B25" s="269" t="s">
        <v>1000</v>
      </c>
      <c r="C25" s="342" t="s">
        <v>621</v>
      </c>
      <c r="D25" s="336" t="s">
        <v>16</v>
      </c>
      <c r="E25" s="343">
        <v>500000</v>
      </c>
      <c r="F25" s="638">
        <f t="shared" si="40"/>
        <v>0</v>
      </c>
      <c r="G25" s="649">
        <f>F25*E25</f>
        <v>0</v>
      </c>
      <c r="H25" s="649">
        <f>G25*0.1</f>
        <v>0</v>
      </c>
      <c r="I25" s="649">
        <f t="shared" si="38"/>
        <v>0</v>
      </c>
      <c r="J25" s="649"/>
      <c r="K25" s="649"/>
      <c r="L25" s="649"/>
      <c r="M25" s="649"/>
      <c r="N25" s="649"/>
      <c r="O25" s="396"/>
      <c r="P25" s="649">
        <f>G25*0.1</f>
        <v>0</v>
      </c>
      <c r="Q25" s="391"/>
      <c r="R25" s="653"/>
      <c r="S25" s="453">
        <v>2</v>
      </c>
      <c r="T25" s="453"/>
      <c r="U25" s="453"/>
      <c r="V25" s="433"/>
      <c r="W25" s="433"/>
      <c r="X25" s="433"/>
      <c r="Y25" s="433"/>
      <c r="Z25" s="322"/>
      <c r="AA25" s="433"/>
      <c r="AB25" s="651">
        <v>0</v>
      </c>
      <c r="AC25" s="433">
        <f t="shared" si="6"/>
        <v>0</v>
      </c>
      <c r="AD25" s="651">
        <v>0</v>
      </c>
      <c r="AE25" s="433">
        <f t="shared" si="7"/>
        <v>0</v>
      </c>
      <c r="AF25" s="651">
        <v>0</v>
      </c>
      <c r="AG25" s="433">
        <f t="shared" si="8"/>
        <v>0</v>
      </c>
      <c r="AH25" s="651">
        <v>0</v>
      </c>
      <c r="AI25" s="433">
        <f t="shared" si="9"/>
        <v>0</v>
      </c>
      <c r="AJ25" s="651">
        <v>0</v>
      </c>
      <c r="AK25" s="433">
        <f t="shared" si="10"/>
        <v>0</v>
      </c>
      <c r="AL25" s="651">
        <v>0</v>
      </c>
      <c r="AM25" s="433">
        <f t="shared" si="11"/>
        <v>0</v>
      </c>
      <c r="AN25" s="651">
        <v>0</v>
      </c>
      <c r="AO25" s="433">
        <f t="shared" si="12"/>
        <v>0</v>
      </c>
      <c r="AP25" s="651"/>
      <c r="AQ25" s="433"/>
      <c r="AR25" s="651"/>
      <c r="AS25" s="433"/>
      <c r="AT25" s="651"/>
      <c r="AU25" s="433"/>
      <c r="AV25" s="651">
        <v>0</v>
      </c>
      <c r="AW25" s="433">
        <f t="shared" si="15"/>
        <v>0</v>
      </c>
      <c r="AX25" s="651">
        <v>0</v>
      </c>
      <c r="AY25" s="433">
        <f t="shared" si="16"/>
        <v>0</v>
      </c>
      <c r="AZ25" s="651">
        <v>0</v>
      </c>
      <c r="BA25" s="433">
        <f t="shared" si="17"/>
        <v>0</v>
      </c>
      <c r="BB25" s="651"/>
      <c r="BC25" s="433"/>
      <c r="BD25" s="651">
        <v>0</v>
      </c>
      <c r="BE25" s="433">
        <f t="shared" si="18"/>
        <v>0</v>
      </c>
      <c r="BF25" s="651"/>
      <c r="BG25" s="433"/>
      <c r="BH25" s="651"/>
      <c r="BI25" s="433"/>
      <c r="BJ25" s="322">
        <f t="shared" si="44"/>
        <v>0</v>
      </c>
      <c r="BK25" s="339">
        <f t="shared" si="39"/>
        <v>0</v>
      </c>
      <c r="BL25" s="657" t="s">
        <v>591</v>
      </c>
      <c r="BN25" s="340"/>
      <c r="BO25" s="652"/>
      <c r="BP25" s="652"/>
      <c r="BQ25" s="652"/>
      <c r="BR25" s="340"/>
      <c r="BS25" s="340"/>
      <c r="BT25" s="340"/>
      <c r="BU25" s="340"/>
      <c r="BV25" s="341"/>
    </row>
    <row r="26" spans="1:74" ht="31.5" x14ac:dyDescent="0.25">
      <c r="A26" s="650"/>
      <c r="B26" s="269" t="s">
        <v>1001</v>
      </c>
      <c r="C26" s="342" t="s">
        <v>1206</v>
      </c>
      <c r="D26" s="336" t="s">
        <v>16</v>
      </c>
      <c r="E26" s="343">
        <v>50000</v>
      </c>
      <c r="F26" s="638">
        <f t="shared" si="40"/>
        <v>83</v>
      </c>
      <c r="G26" s="649">
        <f>F26*E26</f>
        <v>4150000</v>
      </c>
      <c r="H26" s="649">
        <f>G26*0</f>
        <v>0</v>
      </c>
      <c r="I26" s="649">
        <f>G26*0.6</f>
        <v>2490000</v>
      </c>
      <c r="J26" s="649"/>
      <c r="K26" s="649"/>
      <c r="L26" s="649"/>
      <c r="M26" s="649"/>
      <c r="N26" s="649"/>
      <c r="O26" s="396"/>
      <c r="P26" s="649">
        <f>G26*0.4</f>
        <v>1660000</v>
      </c>
      <c r="Q26" s="391"/>
      <c r="R26" s="653">
        <v>13</v>
      </c>
      <c r="S26" s="453">
        <v>40</v>
      </c>
      <c r="T26" s="453">
        <v>30</v>
      </c>
      <c r="U26" s="453">
        <v>0</v>
      </c>
      <c r="V26" s="433">
        <f>R26*E26</f>
        <v>650000</v>
      </c>
      <c r="W26" s="433">
        <f t="shared" ref="W26" si="45">S26*E26</f>
        <v>2000000</v>
      </c>
      <c r="X26" s="433">
        <f t="shared" ref="X26" si="46">T26*E26</f>
        <v>1500000</v>
      </c>
      <c r="Y26" s="433">
        <f t="shared" ref="Y26" si="47">U26*E26</f>
        <v>0</v>
      </c>
      <c r="Z26" s="322">
        <v>10</v>
      </c>
      <c r="AA26" s="433">
        <f t="shared" si="5"/>
        <v>500000</v>
      </c>
      <c r="AB26" s="651">
        <v>3</v>
      </c>
      <c r="AC26" s="433">
        <f t="shared" si="6"/>
        <v>150000</v>
      </c>
      <c r="AD26" s="651">
        <v>4</v>
      </c>
      <c r="AE26" s="433">
        <f t="shared" si="7"/>
        <v>200000</v>
      </c>
      <c r="AF26" s="651">
        <v>5</v>
      </c>
      <c r="AG26" s="433">
        <f t="shared" si="8"/>
        <v>250000</v>
      </c>
      <c r="AH26" s="651">
        <v>5</v>
      </c>
      <c r="AI26" s="433">
        <f t="shared" si="9"/>
        <v>250000</v>
      </c>
      <c r="AJ26" s="651">
        <v>7</v>
      </c>
      <c r="AK26" s="433">
        <f t="shared" si="10"/>
        <v>350000</v>
      </c>
      <c r="AL26" s="651">
        <v>2</v>
      </c>
      <c r="AM26" s="433">
        <f t="shared" si="11"/>
        <v>100000</v>
      </c>
      <c r="AN26" s="651">
        <v>5</v>
      </c>
      <c r="AO26" s="433">
        <f t="shared" si="12"/>
        <v>250000</v>
      </c>
      <c r="AP26" s="651">
        <v>4</v>
      </c>
      <c r="AQ26" s="433">
        <f t="shared" si="13"/>
        <v>200000</v>
      </c>
      <c r="AR26" s="651">
        <v>4</v>
      </c>
      <c r="AS26" s="433">
        <f t="shared" si="28"/>
        <v>200000</v>
      </c>
      <c r="AT26" s="651">
        <v>6</v>
      </c>
      <c r="AU26" s="433">
        <f t="shared" si="14"/>
        <v>300000</v>
      </c>
      <c r="AV26" s="651">
        <v>5</v>
      </c>
      <c r="AW26" s="433">
        <f t="shared" si="15"/>
        <v>250000</v>
      </c>
      <c r="AX26" s="651">
        <v>6</v>
      </c>
      <c r="AY26" s="433">
        <f t="shared" si="16"/>
        <v>300000</v>
      </c>
      <c r="AZ26" s="651">
        <v>2</v>
      </c>
      <c r="BA26" s="433">
        <f t="shared" si="17"/>
        <v>100000</v>
      </c>
      <c r="BB26" s="651">
        <v>5</v>
      </c>
      <c r="BC26" s="433">
        <f t="shared" si="33"/>
        <v>250000</v>
      </c>
      <c r="BD26" s="651">
        <v>7</v>
      </c>
      <c r="BE26" s="433">
        <f t="shared" si="18"/>
        <v>350000</v>
      </c>
      <c r="BF26" s="651">
        <v>3</v>
      </c>
      <c r="BG26" s="433">
        <f t="shared" si="19"/>
        <v>150000</v>
      </c>
      <c r="BH26" s="651"/>
      <c r="BI26" s="433"/>
      <c r="BJ26" s="322">
        <f t="shared" si="44"/>
        <v>83</v>
      </c>
      <c r="BK26" s="339">
        <f t="shared" si="39"/>
        <v>4150000</v>
      </c>
      <c r="BL26" s="657" t="s">
        <v>1229</v>
      </c>
      <c r="BN26" s="340"/>
      <c r="BO26" s="652"/>
      <c r="BP26" s="652">
        <f>G26</f>
        <v>4150000</v>
      </c>
      <c r="BQ26" s="652"/>
      <c r="BR26" s="340">
        <f t="shared" ref="BR26" si="48">BN26+BO26+BP26+BQ26</f>
        <v>4150000</v>
      </c>
      <c r="BS26" s="340"/>
      <c r="BT26" s="340"/>
      <c r="BU26" s="340"/>
      <c r="BV26" s="341">
        <f t="shared" ref="BV26" si="49">BR26+BU26</f>
        <v>4150000</v>
      </c>
    </row>
    <row r="27" spans="1:74" x14ac:dyDescent="0.25">
      <c r="A27" s="650"/>
      <c r="B27" s="269"/>
      <c r="C27" s="342" t="s">
        <v>909</v>
      </c>
      <c r="D27" s="336" t="s">
        <v>238</v>
      </c>
      <c r="E27" s="343">
        <v>20000</v>
      </c>
      <c r="F27" s="638">
        <f t="shared" si="40"/>
        <v>0</v>
      </c>
      <c r="G27" s="649">
        <f>BK27</f>
        <v>0</v>
      </c>
      <c r="H27" s="649"/>
      <c r="I27" s="649"/>
      <c r="J27" s="649"/>
      <c r="K27" s="649"/>
      <c r="L27" s="649">
        <f>G27*1</f>
        <v>0</v>
      </c>
      <c r="M27" s="649"/>
      <c r="N27" s="649"/>
      <c r="O27" s="396"/>
      <c r="P27" s="396"/>
      <c r="Q27" s="391"/>
      <c r="R27" s="653"/>
      <c r="S27" s="453">
        <f>F27*0.4</f>
        <v>0</v>
      </c>
      <c r="T27" s="453">
        <f>F27*0.3</f>
        <v>0</v>
      </c>
      <c r="U27" s="453">
        <f>F27*0.3</f>
        <v>0</v>
      </c>
      <c r="V27" s="433"/>
      <c r="W27" s="433">
        <f t="shared" si="41"/>
        <v>0</v>
      </c>
      <c r="X27" s="433">
        <f t="shared" si="42"/>
        <v>0</v>
      </c>
      <c r="Y27" s="433">
        <f t="shared" si="43"/>
        <v>0</v>
      </c>
      <c r="Z27" s="322">
        <v>0</v>
      </c>
      <c r="AA27" s="433">
        <f t="shared" si="5"/>
        <v>0</v>
      </c>
      <c r="AB27" s="651">
        <v>0</v>
      </c>
      <c r="AC27" s="433">
        <f t="shared" si="6"/>
        <v>0</v>
      </c>
      <c r="AD27" s="651">
        <v>0</v>
      </c>
      <c r="AE27" s="433">
        <f t="shared" si="7"/>
        <v>0</v>
      </c>
      <c r="AF27" s="651">
        <v>0</v>
      </c>
      <c r="AG27" s="433">
        <f t="shared" si="8"/>
        <v>0</v>
      </c>
      <c r="AH27" s="651">
        <v>0</v>
      </c>
      <c r="AI27" s="433">
        <f t="shared" si="9"/>
        <v>0</v>
      </c>
      <c r="AJ27" s="651">
        <v>0</v>
      </c>
      <c r="AK27" s="433">
        <f t="shared" si="10"/>
        <v>0</v>
      </c>
      <c r="AL27" s="651">
        <v>0</v>
      </c>
      <c r="AM27" s="433">
        <v>0</v>
      </c>
      <c r="AN27" s="651">
        <v>0</v>
      </c>
      <c r="AO27" s="433">
        <f t="shared" si="12"/>
        <v>0</v>
      </c>
      <c r="AP27" s="651">
        <v>0</v>
      </c>
      <c r="AQ27" s="433">
        <f t="shared" si="13"/>
        <v>0</v>
      </c>
      <c r="AR27" s="651">
        <v>0</v>
      </c>
      <c r="AS27" s="433">
        <f t="shared" si="28"/>
        <v>0</v>
      </c>
      <c r="AT27" s="651">
        <v>0</v>
      </c>
      <c r="AU27" s="433">
        <f t="shared" si="14"/>
        <v>0</v>
      </c>
      <c r="AV27" s="651">
        <v>0</v>
      </c>
      <c r="AW27" s="433">
        <f t="shared" si="15"/>
        <v>0</v>
      </c>
      <c r="AX27" s="651">
        <v>0</v>
      </c>
      <c r="AY27" s="433">
        <f t="shared" si="16"/>
        <v>0</v>
      </c>
      <c r="AZ27" s="651">
        <v>0</v>
      </c>
      <c r="BA27" s="433">
        <f t="shared" si="17"/>
        <v>0</v>
      </c>
      <c r="BB27" s="651">
        <v>0</v>
      </c>
      <c r="BC27" s="433">
        <f t="shared" si="33"/>
        <v>0</v>
      </c>
      <c r="BD27" s="651">
        <v>0</v>
      </c>
      <c r="BE27" s="433">
        <f t="shared" si="18"/>
        <v>0</v>
      </c>
      <c r="BF27" s="651"/>
      <c r="BG27" s="433">
        <f t="shared" si="19"/>
        <v>0</v>
      </c>
      <c r="BH27" s="651"/>
      <c r="BI27" s="433">
        <f t="shared" si="20"/>
        <v>0</v>
      </c>
      <c r="BJ27" s="322">
        <f t="shared" ref="BJ27:BJ32" si="50">Z27+AB27+AD27+AF27+AH27+AJ27+AL27+AN27+AP27+AR27+AT27+AV27+AX27+AZ27+BB27+BD27+BF27+BH27</f>
        <v>0</v>
      </c>
      <c r="BK27" s="339">
        <f t="shared" si="39"/>
        <v>0</v>
      </c>
      <c r="BL27" s="336" t="s">
        <v>515</v>
      </c>
      <c r="BN27" s="340"/>
      <c r="BO27" s="652"/>
      <c r="BP27" s="652">
        <f>BK27</f>
        <v>0</v>
      </c>
      <c r="BQ27" s="652"/>
      <c r="BR27" s="340">
        <f t="shared" si="21"/>
        <v>0</v>
      </c>
      <c r="BS27" s="340"/>
      <c r="BT27" s="340"/>
      <c r="BU27" s="340"/>
      <c r="BV27" s="341">
        <f t="shared" si="4"/>
        <v>0</v>
      </c>
    </row>
    <row r="28" spans="1:74" x14ac:dyDescent="0.25">
      <c r="A28" s="650"/>
      <c r="B28" s="650"/>
      <c r="C28" s="342" t="s">
        <v>552</v>
      </c>
      <c r="D28" s="336" t="s">
        <v>238</v>
      </c>
      <c r="E28" s="343">
        <v>500000</v>
      </c>
      <c r="F28" s="638">
        <f t="shared" si="40"/>
        <v>0</v>
      </c>
      <c r="G28" s="649">
        <f t="shared" ref="G28:G35" si="51">F28*E28</f>
        <v>0</v>
      </c>
      <c r="H28" s="649"/>
      <c r="I28" s="649"/>
      <c r="J28" s="649"/>
      <c r="K28" s="649"/>
      <c r="L28" s="649">
        <f>G28*1</f>
        <v>0</v>
      </c>
      <c r="M28" s="649"/>
      <c r="N28" s="649"/>
      <c r="O28" s="396"/>
      <c r="P28" s="396"/>
      <c r="Q28" s="391"/>
      <c r="R28" s="653"/>
      <c r="S28" s="453">
        <f>F28*0.4</f>
        <v>0</v>
      </c>
      <c r="T28" s="453">
        <f>F28*0.3</f>
        <v>0</v>
      </c>
      <c r="U28" s="453">
        <f>F28*0.3</f>
        <v>0</v>
      </c>
      <c r="V28" s="433"/>
      <c r="W28" s="433">
        <f t="shared" si="41"/>
        <v>0</v>
      </c>
      <c r="X28" s="433">
        <f t="shared" si="42"/>
        <v>0</v>
      </c>
      <c r="Y28" s="433">
        <f t="shared" si="43"/>
        <v>0</v>
      </c>
      <c r="Z28" s="322">
        <v>0</v>
      </c>
      <c r="AA28" s="433">
        <f t="shared" si="5"/>
        <v>0</v>
      </c>
      <c r="AB28" s="651">
        <v>0</v>
      </c>
      <c r="AC28" s="433">
        <f t="shared" si="6"/>
        <v>0</v>
      </c>
      <c r="AD28" s="651">
        <v>0</v>
      </c>
      <c r="AE28" s="433">
        <f t="shared" si="7"/>
        <v>0</v>
      </c>
      <c r="AF28" s="651">
        <v>0</v>
      </c>
      <c r="AG28" s="433">
        <f t="shared" si="8"/>
        <v>0</v>
      </c>
      <c r="AH28" s="651">
        <v>0</v>
      </c>
      <c r="AI28" s="433">
        <f t="shared" si="9"/>
        <v>0</v>
      </c>
      <c r="AJ28" s="651">
        <v>0</v>
      </c>
      <c r="AK28" s="433">
        <f t="shared" si="10"/>
        <v>0</v>
      </c>
      <c r="AL28" s="651">
        <v>0</v>
      </c>
      <c r="AM28" s="433">
        <f t="shared" si="11"/>
        <v>0</v>
      </c>
      <c r="AN28" s="651">
        <v>0</v>
      </c>
      <c r="AO28" s="433">
        <f t="shared" si="12"/>
        <v>0</v>
      </c>
      <c r="AP28" s="651">
        <v>0</v>
      </c>
      <c r="AQ28" s="433">
        <f t="shared" si="13"/>
        <v>0</v>
      </c>
      <c r="AR28" s="651">
        <v>0</v>
      </c>
      <c r="AS28" s="433">
        <f t="shared" si="28"/>
        <v>0</v>
      </c>
      <c r="AT28" s="651">
        <v>0</v>
      </c>
      <c r="AU28" s="433">
        <f t="shared" si="14"/>
        <v>0</v>
      </c>
      <c r="AV28" s="651">
        <v>0</v>
      </c>
      <c r="AW28" s="433">
        <f t="shared" si="15"/>
        <v>0</v>
      </c>
      <c r="AX28" s="651">
        <v>0</v>
      </c>
      <c r="AY28" s="433">
        <f t="shared" si="16"/>
        <v>0</v>
      </c>
      <c r="AZ28" s="651">
        <v>0</v>
      </c>
      <c r="BA28" s="433">
        <f t="shared" si="17"/>
        <v>0</v>
      </c>
      <c r="BB28" s="651">
        <v>0</v>
      </c>
      <c r="BC28" s="433">
        <f t="shared" si="33"/>
        <v>0</v>
      </c>
      <c r="BD28" s="651">
        <v>0</v>
      </c>
      <c r="BE28" s="433">
        <f t="shared" si="18"/>
        <v>0</v>
      </c>
      <c r="BF28" s="651">
        <v>0</v>
      </c>
      <c r="BG28" s="433">
        <f t="shared" si="19"/>
        <v>0</v>
      </c>
      <c r="BH28" s="651"/>
      <c r="BI28" s="433">
        <f t="shared" si="20"/>
        <v>0</v>
      </c>
      <c r="BJ28" s="322">
        <f t="shared" si="50"/>
        <v>0</v>
      </c>
      <c r="BK28" s="339">
        <f t="shared" si="39"/>
        <v>0</v>
      </c>
      <c r="BL28" s="336" t="s">
        <v>515</v>
      </c>
      <c r="BN28" s="340">
        <f>BK28</f>
        <v>0</v>
      </c>
      <c r="BO28" s="652"/>
      <c r="BP28" s="652"/>
      <c r="BQ28" s="652"/>
      <c r="BR28" s="340">
        <f t="shared" si="21"/>
        <v>0</v>
      </c>
      <c r="BS28" s="340"/>
      <c r="BT28" s="340"/>
      <c r="BU28" s="340"/>
      <c r="BV28" s="341">
        <f t="shared" si="4"/>
        <v>0</v>
      </c>
    </row>
    <row r="29" spans="1:74" ht="31.5" x14ac:dyDescent="0.25">
      <c r="A29" s="650"/>
      <c r="B29" s="650"/>
      <c r="C29" s="344" t="s">
        <v>553</v>
      </c>
      <c r="D29" s="336" t="s">
        <v>238</v>
      </c>
      <c r="E29" s="343">
        <v>250000</v>
      </c>
      <c r="F29" s="638">
        <f t="shared" si="40"/>
        <v>0</v>
      </c>
      <c r="G29" s="649">
        <f t="shared" si="51"/>
        <v>0</v>
      </c>
      <c r="H29" s="649"/>
      <c r="I29" s="649"/>
      <c r="J29" s="649"/>
      <c r="K29" s="649"/>
      <c r="L29" s="649">
        <f>G29*1</f>
        <v>0</v>
      </c>
      <c r="M29" s="649"/>
      <c r="N29" s="649"/>
      <c r="O29" s="396"/>
      <c r="P29" s="396"/>
      <c r="Q29" s="391"/>
      <c r="R29" s="653"/>
      <c r="S29" s="453">
        <f>F29*0.4</f>
        <v>0</v>
      </c>
      <c r="T29" s="453">
        <f>F29*0.3</f>
        <v>0</v>
      </c>
      <c r="U29" s="453">
        <f>F29*0.3</f>
        <v>0</v>
      </c>
      <c r="V29" s="433"/>
      <c r="W29" s="433">
        <f t="shared" si="41"/>
        <v>0</v>
      </c>
      <c r="X29" s="433">
        <f t="shared" si="42"/>
        <v>0</v>
      </c>
      <c r="Y29" s="433">
        <f t="shared" si="43"/>
        <v>0</v>
      </c>
      <c r="Z29" s="322">
        <v>0</v>
      </c>
      <c r="AA29" s="433">
        <f t="shared" si="5"/>
        <v>0</v>
      </c>
      <c r="AB29" s="651">
        <v>0</v>
      </c>
      <c r="AC29" s="433">
        <f t="shared" si="6"/>
        <v>0</v>
      </c>
      <c r="AD29" s="651">
        <v>0</v>
      </c>
      <c r="AE29" s="433">
        <f t="shared" si="7"/>
        <v>0</v>
      </c>
      <c r="AF29" s="651">
        <v>0</v>
      </c>
      <c r="AG29" s="433">
        <f t="shared" si="8"/>
        <v>0</v>
      </c>
      <c r="AH29" s="651">
        <v>0</v>
      </c>
      <c r="AI29" s="433">
        <f t="shared" si="9"/>
        <v>0</v>
      </c>
      <c r="AJ29" s="651">
        <v>0</v>
      </c>
      <c r="AK29" s="433">
        <f t="shared" si="10"/>
        <v>0</v>
      </c>
      <c r="AL29" s="651">
        <v>0</v>
      </c>
      <c r="AM29" s="433">
        <f t="shared" si="11"/>
        <v>0</v>
      </c>
      <c r="AN29" s="651">
        <v>0</v>
      </c>
      <c r="AO29" s="433">
        <f t="shared" si="12"/>
        <v>0</v>
      </c>
      <c r="AP29" s="651">
        <v>0</v>
      </c>
      <c r="AQ29" s="433">
        <f t="shared" si="13"/>
        <v>0</v>
      </c>
      <c r="AR29" s="651">
        <v>0</v>
      </c>
      <c r="AS29" s="433">
        <f t="shared" si="28"/>
        <v>0</v>
      </c>
      <c r="AT29" s="651">
        <v>0</v>
      </c>
      <c r="AU29" s="433">
        <f t="shared" si="14"/>
        <v>0</v>
      </c>
      <c r="AV29" s="651">
        <v>0</v>
      </c>
      <c r="AW29" s="433">
        <f t="shared" si="15"/>
        <v>0</v>
      </c>
      <c r="AX29" s="651">
        <v>0</v>
      </c>
      <c r="AY29" s="433">
        <f t="shared" si="16"/>
        <v>0</v>
      </c>
      <c r="AZ29" s="651">
        <v>0</v>
      </c>
      <c r="BA29" s="433">
        <f t="shared" si="17"/>
        <v>0</v>
      </c>
      <c r="BB29" s="651">
        <v>0</v>
      </c>
      <c r="BC29" s="433">
        <f t="shared" si="33"/>
        <v>0</v>
      </c>
      <c r="BD29" s="651">
        <v>0</v>
      </c>
      <c r="BE29" s="433">
        <f t="shared" si="18"/>
        <v>0</v>
      </c>
      <c r="BF29" s="651">
        <v>0</v>
      </c>
      <c r="BG29" s="433">
        <f t="shared" si="19"/>
        <v>0</v>
      </c>
      <c r="BH29" s="651"/>
      <c r="BI29" s="433">
        <f t="shared" si="20"/>
        <v>0</v>
      </c>
      <c r="BJ29" s="322">
        <f t="shared" si="50"/>
        <v>0</v>
      </c>
      <c r="BK29" s="339">
        <f t="shared" si="39"/>
        <v>0</v>
      </c>
      <c r="BL29" s="336" t="s">
        <v>515</v>
      </c>
      <c r="BN29" s="340">
        <f>BK29</f>
        <v>0</v>
      </c>
      <c r="BO29" s="652"/>
      <c r="BP29" s="652"/>
      <c r="BQ29" s="652"/>
      <c r="BR29" s="340">
        <f t="shared" si="21"/>
        <v>0</v>
      </c>
      <c r="BS29" s="340"/>
      <c r="BT29" s="340"/>
      <c r="BU29" s="340"/>
      <c r="BV29" s="341">
        <f t="shared" si="4"/>
        <v>0</v>
      </c>
    </row>
    <row r="30" spans="1:74" x14ac:dyDescent="0.25">
      <c r="A30" s="650"/>
      <c r="B30" s="269" t="s">
        <v>1002</v>
      </c>
      <c r="C30" s="344" t="s">
        <v>885</v>
      </c>
      <c r="D30" s="336" t="s">
        <v>238</v>
      </c>
      <c r="E30" s="343">
        <v>200000</v>
      </c>
      <c r="F30" s="638">
        <f t="shared" ref="F30:G30" si="52">BJ30</f>
        <v>0</v>
      </c>
      <c r="G30" s="638">
        <f t="shared" si="52"/>
        <v>0</v>
      </c>
      <c r="H30" s="649">
        <f>G30*0</f>
        <v>0</v>
      </c>
      <c r="I30" s="649">
        <f>G30*0.8</f>
        <v>0</v>
      </c>
      <c r="J30" s="649"/>
      <c r="K30" s="649"/>
      <c r="L30" s="649">
        <f>G30*0.2</f>
        <v>0</v>
      </c>
      <c r="M30" s="649"/>
      <c r="N30" s="649"/>
      <c r="O30" s="396"/>
      <c r="P30" s="396"/>
      <c r="Q30" s="391"/>
      <c r="R30" s="653"/>
      <c r="S30" s="453"/>
      <c r="T30" s="453"/>
      <c r="U30" s="453"/>
      <c r="V30" s="433"/>
      <c r="W30" s="433"/>
      <c r="X30" s="433"/>
      <c r="Y30" s="433"/>
      <c r="Z30" s="322"/>
      <c r="AA30" s="433"/>
      <c r="AB30" s="651"/>
      <c r="AC30" s="433"/>
      <c r="AD30" s="651"/>
      <c r="AE30" s="433"/>
      <c r="AF30" s="651">
        <v>0</v>
      </c>
      <c r="AG30" s="433">
        <f t="shared" si="8"/>
        <v>0</v>
      </c>
      <c r="AH30" s="651"/>
      <c r="AI30" s="433"/>
      <c r="AJ30" s="651">
        <v>0</v>
      </c>
      <c r="AK30" s="433">
        <f t="shared" si="10"/>
        <v>0</v>
      </c>
      <c r="AL30" s="651"/>
      <c r="AM30" s="433"/>
      <c r="AN30" s="651"/>
      <c r="AO30" s="433"/>
      <c r="AP30" s="651"/>
      <c r="AQ30" s="433"/>
      <c r="AR30" s="651"/>
      <c r="AS30" s="433"/>
      <c r="AT30" s="651"/>
      <c r="AU30" s="433"/>
      <c r="AV30" s="651">
        <v>0</v>
      </c>
      <c r="AW30" s="433">
        <f t="shared" si="15"/>
        <v>0</v>
      </c>
      <c r="AX30" s="651">
        <v>0</v>
      </c>
      <c r="AY30" s="433">
        <f t="shared" si="16"/>
        <v>0</v>
      </c>
      <c r="AZ30" s="651"/>
      <c r="BA30" s="433"/>
      <c r="BB30" s="651"/>
      <c r="BC30" s="433"/>
      <c r="BD30" s="651"/>
      <c r="BE30" s="433"/>
      <c r="BF30" s="651"/>
      <c r="BG30" s="433"/>
      <c r="BH30" s="651"/>
      <c r="BI30" s="433"/>
      <c r="BJ30" s="322">
        <f t="shared" ref="BJ30" si="53">Z30+AB30+AD30+AF30+AH30+AJ30+AL30+AN30+AP30+AR30+AT30+AV30+AX30+AZ30+BB30+BD30+BF30+BH30</f>
        <v>0</v>
      </c>
      <c r="BK30" s="339">
        <f t="shared" si="39"/>
        <v>0</v>
      </c>
      <c r="BL30" s="336" t="s">
        <v>592</v>
      </c>
      <c r="BN30" s="340"/>
      <c r="BO30" s="652"/>
      <c r="BP30" s="652"/>
      <c r="BQ30" s="652"/>
      <c r="BR30" s="340"/>
      <c r="BS30" s="340"/>
      <c r="BT30" s="340"/>
      <c r="BU30" s="340"/>
      <c r="BV30" s="341"/>
    </row>
    <row r="31" spans="1:74" x14ac:dyDescent="0.25">
      <c r="A31" s="650"/>
      <c r="B31" s="650"/>
      <c r="C31" s="342" t="s">
        <v>539</v>
      </c>
      <c r="D31" s="336" t="s">
        <v>238</v>
      </c>
      <c r="E31" s="343">
        <v>250000</v>
      </c>
      <c r="F31" s="638">
        <f t="shared" si="40"/>
        <v>0</v>
      </c>
      <c r="G31" s="649">
        <f t="shared" si="51"/>
        <v>0</v>
      </c>
      <c r="H31" s="649"/>
      <c r="I31" s="649"/>
      <c r="J31" s="649"/>
      <c r="K31" s="649"/>
      <c r="L31" s="649">
        <f>G31*1</f>
        <v>0</v>
      </c>
      <c r="M31" s="649"/>
      <c r="N31" s="649"/>
      <c r="O31" s="396"/>
      <c r="P31" s="396"/>
      <c r="Q31" s="391"/>
      <c r="R31" s="653"/>
      <c r="S31" s="453">
        <f>F31*0.4</f>
        <v>0</v>
      </c>
      <c r="T31" s="453">
        <f>F31*0.3</f>
        <v>0</v>
      </c>
      <c r="U31" s="453">
        <f>F31*0.3</f>
        <v>0</v>
      </c>
      <c r="V31" s="433"/>
      <c r="W31" s="433">
        <f t="shared" si="41"/>
        <v>0</v>
      </c>
      <c r="X31" s="433">
        <f t="shared" si="42"/>
        <v>0</v>
      </c>
      <c r="Y31" s="433">
        <f t="shared" si="43"/>
        <v>0</v>
      </c>
      <c r="Z31" s="322">
        <v>0</v>
      </c>
      <c r="AA31" s="433">
        <f t="shared" si="5"/>
        <v>0</v>
      </c>
      <c r="AB31" s="651">
        <v>0</v>
      </c>
      <c r="AC31" s="433">
        <f t="shared" si="6"/>
        <v>0</v>
      </c>
      <c r="AD31" s="651">
        <v>0</v>
      </c>
      <c r="AE31" s="433">
        <f t="shared" si="7"/>
        <v>0</v>
      </c>
      <c r="AF31" s="651">
        <v>0</v>
      </c>
      <c r="AG31" s="433">
        <f t="shared" si="8"/>
        <v>0</v>
      </c>
      <c r="AH31" s="651">
        <v>0</v>
      </c>
      <c r="AI31" s="433">
        <f t="shared" si="9"/>
        <v>0</v>
      </c>
      <c r="AJ31" s="651">
        <v>0</v>
      </c>
      <c r="AK31" s="433">
        <f t="shared" si="10"/>
        <v>0</v>
      </c>
      <c r="AL31" s="651">
        <v>0</v>
      </c>
      <c r="AM31" s="433">
        <f t="shared" si="11"/>
        <v>0</v>
      </c>
      <c r="AN31" s="651">
        <v>0</v>
      </c>
      <c r="AO31" s="433">
        <f t="shared" si="12"/>
        <v>0</v>
      </c>
      <c r="AP31" s="651">
        <v>0</v>
      </c>
      <c r="AQ31" s="433">
        <f t="shared" si="13"/>
        <v>0</v>
      </c>
      <c r="AR31" s="651">
        <v>0</v>
      </c>
      <c r="AS31" s="433">
        <f t="shared" si="28"/>
        <v>0</v>
      </c>
      <c r="AT31" s="651">
        <v>0</v>
      </c>
      <c r="AU31" s="433">
        <f t="shared" si="14"/>
        <v>0</v>
      </c>
      <c r="AV31" s="651">
        <v>0</v>
      </c>
      <c r="AW31" s="433">
        <f t="shared" si="15"/>
        <v>0</v>
      </c>
      <c r="AX31" s="651">
        <v>0</v>
      </c>
      <c r="AY31" s="433">
        <f t="shared" si="16"/>
        <v>0</v>
      </c>
      <c r="AZ31" s="651">
        <v>0</v>
      </c>
      <c r="BA31" s="433">
        <f t="shared" si="17"/>
        <v>0</v>
      </c>
      <c r="BB31" s="651">
        <v>0</v>
      </c>
      <c r="BC31" s="433">
        <f t="shared" si="33"/>
        <v>0</v>
      </c>
      <c r="BD31" s="651">
        <v>0</v>
      </c>
      <c r="BE31" s="433">
        <f t="shared" si="18"/>
        <v>0</v>
      </c>
      <c r="BF31" s="651">
        <v>0</v>
      </c>
      <c r="BG31" s="433">
        <f t="shared" si="19"/>
        <v>0</v>
      </c>
      <c r="BH31" s="651"/>
      <c r="BI31" s="433">
        <f t="shared" si="20"/>
        <v>0</v>
      </c>
      <c r="BJ31" s="322">
        <f t="shared" si="50"/>
        <v>0</v>
      </c>
      <c r="BK31" s="339">
        <f t="shared" si="39"/>
        <v>0</v>
      </c>
      <c r="BL31" s="336" t="s">
        <v>515</v>
      </c>
      <c r="BN31" s="340">
        <f>BK31</f>
        <v>0</v>
      </c>
      <c r="BO31" s="652"/>
      <c r="BP31" s="652"/>
      <c r="BQ31" s="652"/>
      <c r="BR31" s="340">
        <f t="shared" si="21"/>
        <v>0</v>
      </c>
      <c r="BS31" s="340"/>
      <c r="BT31" s="340"/>
      <c r="BU31" s="340"/>
      <c r="BV31" s="341">
        <f t="shared" si="4"/>
        <v>0</v>
      </c>
    </row>
    <row r="32" spans="1:74" x14ac:dyDescent="0.25">
      <c r="A32" s="650" t="s">
        <v>928</v>
      </c>
      <c r="B32" s="650"/>
      <c r="C32" s="342" t="s">
        <v>913</v>
      </c>
      <c r="D32" s="336"/>
      <c r="E32" s="343"/>
      <c r="F32" s="638">
        <f t="shared" si="40"/>
        <v>0</v>
      </c>
      <c r="G32" s="638">
        <f t="shared" si="40"/>
        <v>0</v>
      </c>
      <c r="H32" s="649"/>
      <c r="I32" s="649"/>
      <c r="J32" s="649"/>
      <c r="K32" s="649"/>
      <c r="L32" s="649"/>
      <c r="M32" s="649"/>
      <c r="N32" s="649"/>
      <c r="O32" s="396"/>
      <c r="P32" s="396"/>
      <c r="Q32" s="391"/>
      <c r="R32" s="653"/>
      <c r="S32" s="453"/>
      <c r="T32" s="453"/>
      <c r="U32" s="453"/>
      <c r="V32" s="433"/>
      <c r="W32" s="433"/>
      <c r="X32" s="433"/>
      <c r="Y32" s="433"/>
      <c r="Z32" s="322"/>
      <c r="AA32" s="433"/>
      <c r="AB32" s="651">
        <v>0</v>
      </c>
      <c r="AC32" s="433"/>
      <c r="AD32" s="651">
        <v>0</v>
      </c>
      <c r="AE32" s="433"/>
      <c r="AF32" s="651">
        <v>0</v>
      </c>
      <c r="AG32" s="433"/>
      <c r="AH32" s="651"/>
      <c r="AI32" s="433"/>
      <c r="AJ32" s="651">
        <v>0</v>
      </c>
      <c r="AK32" s="433"/>
      <c r="AL32" s="651"/>
      <c r="AM32" s="433"/>
      <c r="AN32" s="651"/>
      <c r="AO32" s="433"/>
      <c r="AP32" s="651"/>
      <c r="AQ32" s="433"/>
      <c r="AR32" s="651"/>
      <c r="AS32" s="433"/>
      <c r="AT32" s="651">
        <v>0</v>
      </c>
      <c r="AU32" s="433">
        <v>0</v>
      </c>
      <c r="AV32" s="651"/>
      <c r="AW32" s="433"/>
      <c r="AX32" s="651">
        <v>0</v>
      </c>
      <c r="AY32" s="433"/>
      <c r="AZ32" s="651">
        <v>0</v>
      </c>
      <c r="BA32" s="433"/>
      <c r="BB32" s="651">
        <v>0</v>
      </c>
      <c r="BC32" s="433"/>
      <c r="BD32" s="651"/>
      <c r="BE32" s="433"/>
      <c r="BF32" s="651"/>
      <c r="BG32" s="433"/>
      <c r="BH32" s="651"/>
      <c r="BI32" s="433"/>
      <c r="BJ32" s="322">
        <f t="shared" si="50"/>
        <v>0</v>
      </c>
      <c r="BK32" s="339">
        <f t="shared" si="39"/>
        <v>0</v>
      </c>
      <c r="BL32" s="336"/>
      <c r="BN32" s="340"/>
      <c r="BO32" s="652"/>
      <c r="BP32" s="652"/>
      <c r="BQ32" s="652"/>
      <c r="BR32" s="340"/>
      <c r="BS32" s="340"/>
      <c r="BT32" s="340"/>
      <c r="BU32" s="340"/>
      <c r="BV32" s="341"/>
    </row>
    <row r="33" spans="1:74" x14ac:dyDescent="0.25">
      <c r="A33" s="650"/>
      <c r="B33" s="269" t="s">
        <v>1003</v>
      </c>
      <c r="C33" s="342" t="s">
        <v>538</v>
      </c>
      <c r="D33" s="336" t="s">
        <v>238</v>
      </c>
      <c r="E33" s="343">
        <v>250000</v>
      </c>
      <c r="F33" s="638">
        <f t="shared" si="40"/>
        <v>0</v>
      </c>
      <c r="G33" s="649">
        <f t="shared" si="51"/>
        <v>0</v>
      </c>
      <c r="H33" s="649">
        <f>G33*0.2</f>
        <v>0</v>
      </c>
      <c r="I33" s="649">
        <f>G33*0.8</f>
        <v>0</v>
      </c>
      <c r="J33" s="649"/>
      <c r="K33" s="649"/>
      <c r="L33" s="649">
        <f>G33*0</f>
        <v>0</v>
      </c>
      <c r="M33" s="649"/>
      <c r="N33" s="649"/>
      <c r="O33" s="396"/>
      <c r="P33" s="396">
        <f>G33*0</f>
        <v>0</v>
      </c>
      <c r="Q33" s="391"/>
      <c r="R33" s="653"/>
      <c r="S33" s="453">
        <f>F33*0.4</f>
        <v>0</v>
      </c>
      <c r="T33" s="453">
        <f>F33*0.3</f>
        <v>0</v>
      </c>
      <c r="U33" s="453">
        <f>F33*0.3</f>
        <v>0</v>
      </c>
      <c r="V33" s="433"/>
      <c r="W33" s="433">
        <f>G33*0.1</f>
        <v>0</v>
      </c>
      <c r="X33" s="433">
        <f>G33*0.4</f>
        <v>0</v>
      </c>
      <c r="Y33" s="433">
        <f>G33*0.5</f>
        <v>0</v>
      </c>
      <c r="Z33" s="322">
        <v>0</v>
      </c>
      <c r="AA33" s="433">
        <f t="shared" si="5"/>
        <v>0</v>
      </c>
      <c r="AB33" s="651">
        <v>0</v>
      </c>
      <c r="AC33" s="433">
        <f t="shared" si="6"/>
        <v>0</v>
      </c>
      <c r="AD33" s="651">
        <v>0</v>
      </c>
      <c r="AE33" s="433">
        <f t="shared" si="7"/>
        <v>0</v>
      </c>
      <c r="AF33" s="651">
        <v>0</v>
      </c>
      <c r="AG33" s="433">
        <f t="shared" si="8"/>
        <v>0</v>
      </c>
      <c r="AH33" s="651">
        <v>0</v>
      </c>
      <c r="AI33" s="433">
        <f t="shared" si="9"/>
        <v>0</v>
      </c>
      <c r="AJ33" s="651">
        <v>0</v>
      </c>
      <c r="AK33" s="433">
        <f t="shared" si="10"/>
        <v>0</v>
      </c>
      <c r="AL33" s="651">
        <v>0</v>
      </c>
      <c r="AM33" s="433">
        <f t="shared" si="11"/>
        <v>0</v>
      </c>
      <c r="AN33" s="651">
        <v>0</v>
      </c>
      <c r="AO33" s="433">
        <f t="shared" si="12"/>
        <v>0</v>
      </c>
      <c r="AP33" s="651">
        <v>0</v>
      </c>
      <c r="AQ33" s="433">
        <f t="shared" si="13"/>
        <v>0</v>
      </c>
      <c r="AR33" s="651">
        <v>0</v>
      </c>
      <c r="AS33" s="433">
        <f t="shared" si="28"/>
        <v>0</v>
      </c>
      <c r="AT33" s="651">
        <v>0</v>
      </c>
      <c r="AU33" s="433">
        <f t="shared" si="14"/>
        <v>0</v>
      </c>
      <c r="AV33" s="651">
        <v>0</v>
      </c>
      <c r="AW33" s="433">
        <f t="shared" si="15"/>
        <v>0</v>
      </c>
      <c r="AX33" s="651">
        <v>0</v>
      </c>
      <c r="AY33" s="433">
        <f t="shared" si="16"/>
        <v>0</v>
      </c>
      <c r="AZ33" s="651">
        <v>0</v>
      </c>
      <c r="BA33" s="433">
        <f t="shared" si="17"/>
        <v>0</v>
      </c>
      <c r="BB33" s="651">
        <v>0</v>
      </c>
      <c r="BC33" s="433">
        <f t="shared" si="33"/>
        <v>0</v>
      </c>
      <c r="BD33" s="651">
        <v>0</v>
      </c>
      <c r="BE33" s="433">
        <f t="shared" si="18"/>
        <v>0</v>
      </c>
      <c r="BF33" s="651">
        <v>0</v>
      </c>
      <c r="BG33" s="433">
        <f t="shared" si="19"/>
        <v>0</v>
      </c>
      <c r="BH33" s="651"/>
      <c r="BI33" s="433">
        <f t="shared" si="20"/>
        <v>0</v>
      </c>
      <c r="BJ33" s="322">
        <f t="shared" ref="BJ33:BJ35" si="54">Z33+AB33+AD33+AF33+AH33+AJ33+AL33+AN33+AP33+AR33+AT33+AV33+AX33+AZ33+BB33+BD33+BF33+BH33</f>
        <v>0</v>
      </c>
      <c r="BK33" s="339">
        <f t="shared" si="39"/>
        <v>0</v>
      </c>
      <c r="BL33" s="336" t="s">
        <v>590</v>
      </c>
      <c r="BN33" s="340">
        <f>G33</f>
        <v>0</v>
      </c>
      <c r="BO33" s="652"/>
      <c r="BP33" s="652"/>
      <c r="BQ33" s="652"/>
      <c r="BR33" s="340">
        <f t="shared" si="21"/>
        <v>0</v>
      </c>
      <c r="BS33" s="340"/>
      <c r="BT33" s="340"/>
      <c r="BU33" s="340"/>
      <c r="BV33" s="341">
        <f t="shared" si="4"/>
        <v>0</v>
      </c>
    </row>
    <row r="34" spans="1:74" s="450" customFormat="1" ht="31.5" x14ac:dyDescent="0.25">
      <c r="A34" s="658"/>
      <c r="B34" s="269" t="s">
        <v>1004</v>
      </c>
      <c r="C34" s="444" t="s">
        <v>964</v>
      </c>
      <c r="D34" s="445" t="s">
        <v>238</v>
      </c>
      <c r="E34" s="445">
        <v>0</v>
      </c>
      <c r="F34" s="312">
        <f t="shared" si="40"/>
        <v>65</v>
      </c>
      <c r="G34" s="659">
        <f t="shared" si="40"/>
        <v>0</v>
      </c>
      <c r="H34" s="660">
        <f>G34*0.2</f>
        <v>0</v>
      </c>
      <c r="I34" s="660">
        <f>G34*0.8</f>
        <v>0</v>
      </c>
      <c r="J34" s="660"/>
      <c r="K34" s="660"/>
      <c r="L34" s="660">
        <f>G34*0</f>
        <v>0</v>
      </c>
      <c r="M34" s="660"/>
      <c r="N34" s="660"/>
      <c r="O34" s="660"/>
      <c r="P34" s="660"/>
      <c r="Q34" s="446"/>
      <c r="R34" s="661"/>
      <c r="S34" s="662">
        <v>0</v>
      </c>
      <c r="T34" s="662">
        <v>2</v>
      </c>
      <c r="U34" s="662">
        <v>5</v>
      </c>
      <c r="V34" s="446"/>
      <c r="W34" s="446">
        <f>G34*0.1</f>
        <v>0</v>
      </c>
      <c r="X34" s="446">
        <f>G34*0.4</f>
        <v>0</v>
      </c>
      <c r="Y34" s="446">
        <f>G34*0.5</f>
        <v>0</v>
      </c>
      <c r="Z34" s="443">
        <v>2</v>
      </c>
      <c r="AA34" s="446">
        <f t="shared" si="5"/>
        <v>0</v>
      </c>
      <c r="AB34" s="663">
        <v>5</v>
      </c>
      <c r="AC34" s="446">
        <f t="shared" si="6"/>
        <v>0</v>
      </c>
      <c r="AD34" s="663">
        <v>4</v>
      </c>
      <c r="AE34" s="446">
        <f t="shared" si="7"/>
        <v>0</v>
      </c>
      <c r="AF34" s="663">
        <v>8</v>
      </c>
      <c r="AG34" s="446">
        <f t="shared" si="8"/>
        <v>0</v>
      </c>
      <c r="AH34" s="663">
        <v>2</v>
      </c>
      <c r="AI34" s="446">
        <f t="shared" si="9"/>
        <v>0</v>
      </c>
      <c r="AJ34" s="663">
        <v>5</v>
      </c>
      <c r="AK34" s="446">
        <f t="shared" si="10"/>
        <v>0</v>
      </c>
      <c r="AL34" s="663">
        <v>5</v>
      </c>
      <c r="AM34" s="446">
        <f t="shared" si="11"/>
        <v>0</v>
      </c>
      <c r="AN34" s="663">
        <v>2</v>
      </c>
      <c r="AO34" s="446">
        <f t="shared" si="12"/>
        <v>0</v>
      </c>
      <c r="AP34" s="663">
        <v>1</v>
      </c>
      <c r="AQ34" s="446">
        <f t="shared" si="13"/>
        <v>0</v>
      </c>
      <c r="AR34" s="663">
        <v>11</v>
      </c>
      <c r="AS34" s="446">
        <f t="shared" si="28"/>
        <v>0</v>
      </c>
      <c r="AT34" s="663">
        <v>2</v>
      </c>
      <c r="AU34" s="446">
        <f t="shared" si="14"/>
        <v>0</v>
      </c>
      <c r="AV34" s="663">
        <v>0</v>
      </c>
      <c r="AW34" s="446">
        <f t="shared" si="15"/>
        <v>0</v>
      </c>
      <c r="AX34" s="663">
        <v>0</v>
      </c>
      <c r="AY34" s="446">
        <f t="shared" si="16"/>
        <v>0</v>
      </c>
      <c r="AZ34" s="663">
        <v>4</v>
      </c>
      <c r="BA34" s="446">
        <f t="shared" si="17"/>
        <v>0</v>
      </c>
      <c r="BB34" s="663">
        <v>0</v>
      </c>
      <c r="BC34" s="446">
        <f t="shared" si="33"/>
        <v>0</v>
      </c>
      <c r="BD34" s="663">
        <v>12</v>
      </c>
      <c r="BE34" s="446">
        <f t="shared" si="18"/>
        <v>0</v>
      </c>
      <c r="BF34" s="663">
        <v>2</v>
      </c>
      <c r="BG34" s="446">
        <f t="shared" si="19"/>
        <v>0</v>
      </c>
      <c r="BH34" s="663"/>
      <c r="BI34" s="446"/>
      <c r="BJ34" s="443">
        <f t="shared" si="54"/>
        <v>65</v>
      </c>
      <c r="BK34" s="664">
        <f t="shared" si="39"/>
        <v>0</v>
      </c>
      <c r="BL34" s="445" t="s">
        <v>213</v>
      </c>
      <c r="BN34" s="451"/>
      <c r="BO34" s="665"/>
      <c r="BP34" s="665">
        <f>G34</f>
        <v>0</v>
      </c>
      <c r="BQ34" s="665"/>
      <c r="BR34" s="451">
        <f t="shared" si="21"/>
        <v>0</v>
      </c>
      <c r="BS34" s="451"/>
      <c r="BT34" s="451"/>
      <c r="BU34" s="451"/>
      <c r="BV34" s="452">
        <f t="shared" si="4"/>
        <v>0</v>
      </c>
    </row>
    <row r="35" spans="1:74" x14ac:dyDescent="0.25">
      <c r="A35" s="650"/>
      <c r="B35" s="269" t="s">
        <v>1005</v>
      </c>
      <c r="C35" s="342" t="s">
        <v>945</v>
      </c>
      <c r="D35" s="336" t="s">
        <v>32</v>
      </c>
      <c r="E35" s="343">
        <v>35000</v>
      </c>
      <c r="F35" s="312">
        <f t="shared" si="40"/>
        <v>95</v>
      </c>
      <c r="G35" s="649">
        <f t="shared" si="51"/>
        <v>3325000</v>
      </c>
      <c r="H35" s="649">
        <f>G35*0.2</f>
        <v>665000</v>
      </c>
      <c r="I35" s="649">
        <f>G35*0.8</f>
        <v>2660000</v>
      </c>
      <c r="J35" s="649"/>
      <c r="K35" s="649"/>
      <c r="L35" s="649"/>
      <c r="M35" s="649"/>
      <c r="N35" s="649"/>
      <c r="O35" s="396"/>
      <c r="P35" s="396">
        <f>G35*0</f>
        <v>0</v>
      </c>
      <c r="Q35" s="391"/>
      <c r="R35" s="653"/>
      <c r="S35" s="453">
        <f>F35*0.4</f>
        <v>38</v>
      </c>
      <c r="T35" s="453">
        <f>F35*0.4</f>
        <v>38</v>
      </c>
      <c r="U35" s="453">
        <f>F35*0.2</f>
        <v>19</v>
      </c>
      <c r="V35" s="433"/>
      <c r="W35" s="433">
        <f t="shared" si="41"/>
        <v>1330000</v>
      </c>
      <c r="X35" s="433">
        <f t="shared" si="42"/>
        <v>1330000</v>
      </c>
      <c r="Y35" s="433">
        <f t="shared" si="43"/>
        <v>665000</v>
      </c>
      <c r="Z35" s="322">
        <v>5</v>
      </c>
      <c r="AA35" s="433">
        <f t="shared" si="5"/>
        <v>175000</v>
      </c>
      <c r="AB35" s="651">
        <v>5</v>
      </c>
      <c r="AC35" s="433">
        <f t="shared" si="6"/>
        <v>175000</v>
      </c>
      <c r="AD35" s="651">
        <v>5</v>
      </c>
      <c r="AE35" s="433">
        <f t="shared" si="7"/>
        <v>175000</v>
      </c>
      <c r="AF35" s="651">
        <v>10</v>
      </c>
      <c r="AG35" s="433">
        <f t="shared" si="8"/>
        <v>350000</v>
      </c>
      <c r="AH35" s="651">
        <v>5</v>
      </c>
      <c r="AI35" s="433">
        <f t="shared" si="9"/>
        <v>175000</v>
      </c>
      <c r="AJ35" s="651">
        <v>5</v>
      </c>
      <c r="AK35" s="433">
        <f t="shared" si="10"/>
        <v>175000</v>
      </c>
      <c r="AL35" s="651">
        <v>5</v>
      </c>
      <c r="AM35" s="433">
        <f t="shared" si="11"/>
        <v>175000</v>
      </c>
      <c r="AN35" s="651">
        <v>10</v>
      </c>
      <c r="AO35" s="433">
        <f t="shared" si="12"/>
        <v>350000</v>
      </c>
      <c r="AP35" s="651">
        <v>5</v>
      </c>
      <c r="AQ35" s="433">
        <f t="shared" si="13"/>
        <v>175000</v>
      </c>
      <c r="AR35" s="651">
        <v>5</v>
      </c>
      <c r="AS35" s="433">
        <f t="shared" si="28"/>
        <v>175000</v>
      </c>
      <c r="AT35" s="651">
        <v>5</v>
      </c>
      <c r="AU35" s="433">
        <f t="shared" si="14"/>
        <v>175000</v>
      </c>
      <c r="AV35" s="651">
        <v>5</v>
      </c>
      <c r="AW35" s="433">
        <f t="shared" si="15"/>
        <v>175000</v>
      </c>
      <c r="AX35" s="651">
        <v>5</v>
      </c>
      <c r="AY35" s="433">
        <f t="shared" si="16"/>
        <v>175000</v>
      </c>
      <c r="AZ35" s="651">
        <v>5</v>
      </c>
      <c r="BA35" s="433">
        <f t="shared" si="17"/>
        <v>175000</v>
      </c>
      <c r="BB35" s="651">
        <v>5</v>
      </c>
      <c r="BC35" s="433">
        <f t="shared" si="33"/>
        <v>175000</v>
      </c>
      <c r="BD35" s="651">
        <v>5</v>
      </c>
      <c r="BE35" s="433">
        <f t="shared" si="18"/>
        <v>175000</v>
      </c>
      <c r="BF35" s="651">
        <v>5</v>
      </c>
      <c r="BG35" s="433">
        <f t="shared" si="19"/>
        <v>175000</v>
      </c>
      <c r="BH35" s="651"/>
      <c r="BI35" s="433">
        <f t="shared" si="20"/>
        <v>0</v>
      </c>
      <c r="BJ35" s="322">
        <f t="shared" si="54"/>
        <v>95</v>
      </c>
      <c r="BK35" s="339">
        <f t="shared" si="39"/>
        <v>3325000</v>
      </c>
      <c r="BL35" s="336" t="s">
        <v>209</v>
      </c>
      <c r="BN35" s="340"/>
      <c r="BO35" s="652"/>
      <c r="BP35" s="652">
        <f>G35</f>
        <v>3325000</v>
      </c>
      <c r="BQ35" s="652"/>
      <c r="BR35" s="340">
        <f t="shared" si="21"/>
        <v>3325000</v>
      </c>
      <c r="BS35" s="340"/>
      <c r="BT35" s="340"/>
      <c r="BU35" s="340"/>
      <c r="BV35" s="341">
        <f t="shared" si="4"/>
        <v>3325000</v>
      </c>
    </row>
    <row r="36" spans="1:74" x14ac:dyDescent="0.25">
      <c r="A36" s="650"/>
      <c r="B36" s="650"/>
      <c r="C36" s="342" t="s">
        <v>912</v>
      </c>
      <c r="D36" s="336"/>
      <c r="E36" s="343"/>
      <c r="F36" s="638">
        <f t="shared" si="40"/>
        <v>0</v>
      </c>
      <c r="G36" s="638">
        <f t="shared" si="40"/>
        <v>0</v>
      </c>
      <c r="H36" s="649"/>
      <c r="I36" s="649"/>
      <c r="J36" s="649">
        <f>G36</f>
        <v>0</v>
      </c>
      <c r="K36" s="649"/>
      <c r="L36" s="649"/>
      <c r="M36" s="649"/>
      <c r="N36" s="649"/>
      <c r="O36" s="396"/>
      <c r="P36" s="396"/>
      <c r="Q36" s="391"/>
      <c r="R36" s="653"/>
      <c r="S36" s="453"/>
      <c r="T36" s="453"/>
      <c r="U36" s="453"/>
      <c r="V36" s="433"/>
      <c r="W36" s="433"/>
      <c r="X36" s="433"/>
      <c r="Y36" s="433"/>
      <c r="Z36" s="322"/>
      <c r="AA36" s="433"/>
      <c r="AB36" s="651">
        <v>0</v>
      </c>
      <c r="AC36" s="433"/>
      <c r="AD36" s="651"/>
      <c r="AE36" s="433"/>
      <c r="AF36" s="651">
        <v>0</v>
      </c>
      <c r="AG36" s="433"/>
      <c r="AH36" s="651"/>
      <c r="AI36" s="433"/>
      <c r="AJ36" s="651">
        <v>0</v>
      </c>
      <c r="AK36" s="433"/>
      <c r="AL36" s="651">
        <v>0</v>
      </c>
      <c r="AM36" s="433">
        <v>0</v>
      </c>
      <c r="AN36" s="651"/>
      <c r="AO36" s="433"/>
      <c r="AP36" s="651"/>
      <c r="AQ36" s="433"/>
      <c r="AR36" s="651"/>
      <c r="AS36" s="433"/>
      <c r="AT36" s="651"/>
      <c r="AU36" s="433"/>
      <c r="AV36" s="651"/>
      <c r="AW36" s="433"/>
      <c r="AX36" s="651">
        <v>0</v>
      </c>
      <c r="AY36" s="433"/>
      <c r="AZ36" s="651">
        <v>0</v>
      </c>
      <c r="BA36" s="433"/>
      <c r="BB36" s="651"/>
      <c r="BC36" s="433"/>
      <c r="BD36" s="651"/>
      <c r="BE36" s="433"/>
      <c r="BF36" s="651"/>
      <c r="BG36" s="433"/>
      <c r="BH36" s="651"/>
      <c r="BI36" s="433"/>
      <c r="BJ36" s="322">
        <f t="shared" ref="BJ36" si="55">Z36+AB36+AD36+AF36+AH36+AJ36+AL36+AN36+AP36+AR36+AT36+AV36+AX36+AZ36+BB36+BD36+BF36+BH36</f>
        <v>0</v>
      </c>
      <c r="BK36" s="339">
        <f t="shared" si="39"/>
        <v>0</v>
      </c>
      <c r="BL36" s="336" t="s">
        <v>518</v>
      </c>
      <c r="BN36" s="340"/>
      <c r="BO36" s="652"/>
      <c r="BP36" s="652"/>
      <c r="BQ36" s="652"/>
      <c r="BR36" s="340"/>
      <c r="BS36" s="340"/>
      <c r="BT36" s="340"/>
      <c r="BU36" s="340"/>
      <c r="BV36" s="341"/>
    </row>
    <row r="37" spans="1:74" s="317" customFormat="1" x14ac:dyDescent="0.25">
      <c r="A37" s="650"/>
      <c r="B37" s="650"/>
      <c r="C37" s="335" t="s">
        <v>365</v>
      </c>
      <c r="D37" s="346" t="s">
        <v>111</v>
      </c>
      <c r="E37" s="354"/>
      <c r="F37" s="656">
        <f>SUM(F22:F36)</f>
        <v>260</v>
      </c>
      <c r="G37" s="656">
        <f t="shared" ref="G37:BI37" si="56">SUM(G22:G36)</f>
        <v>7815000</v>
      </c>
      <c r="H37" s="656">
        <f t="shared" si="56"/>
        <v>733000</v>
      </c>
      <c r="I37" s="656">
        <f t="shared" si="56"/>
        <v>5422000</v>
      </c>
      <c r="J37" s="656">
        <f t="shared" si="56"/>
        <v>0</v>
      </c>
      <c r="K37" s="656">
        <f t="shared" si="56"/>
        <v>0</v>
      </c>
      <c r="L37" s="656">
        <f t="shared" si="56"/>
        <v>0</v>
      </c>
      <c r="M37" s="656">
        <f t="shared" si="56"/>
        <v>0</v>
      </c>
      <c r="N37" s="656">
        <f t="shared" si="56"/>
        <v>0</v>
      </c>
      <c r="O37" s="656">
        <f t="shared" si="56"/>
        <v>0</v>
      </c>
      <c r="P37" s="656">
        <f t="shared" si="56"/>
        <v>1660000</v>
      </c>
      <c r="Q37" s="656">
        <f t="shared" si="56"/>
        <v>0</v>
      </c>
      <c r="R37" s="656">
        <f t="shared" si="56"/>
        <v>13</v>
      </c>
      <c r="S37" s="656">
        <f t="shared" si="56"/>
        <v>92.8</v>
      </c>
      <c r="T37" s="656">
        <f t="shared" si="56"/>
        <v>79.099999999999994</v>
      </c>
      <c r="U37" s="656">
        <f t="shared" si="56"/>
        <v>29.1</v>
      </c>
      <c r="V37" s="656">
        <f t="shared" si="56"/>
        <v>650000</v>
      </c>
      <c r="W37" s="656">
        <f t="shared" si="56"/>
        <v>3466000</v>
      </c>
      <c r="X37" s="656">
        <f t="shared" si="56"/>
        <v>2932000</v>
      </c>
      <c r="Y37" s="656">
        <f t="shared" si="56"/>
        <v>767000</v>
      </c>
      <c r="Z37" s="656">
        <f t="shared" si="56"/>
        <v>18</v>
      </c>
      <c r="AA37" s="656">
        <f t="shared" si="56"/>
        <v>695000</v>
      </c>
      <c r="AB37" s="656">
        <f t="shared" si="56"/>
        <v>14</v>
      </c>
      <c r="AC37" s="656">
        <f t="shared" si="56"/>
        <v>345000</v>
      </c>
      <c r="AD37" s="656">
        <f t="shared" si="56"/>
        <v>14</v>
      </c>
      <c r="AE37" s="656">
        <f t="shared" si="56"/>
        <v>395000</v>
      </c>
      <c r="AF37" s="656">
        <f t="shared" si="56"/>
        <v>24</v>
      </c>
      <c r="AG37" s="656">
        <f t="shared" si="56"/>
        <v>620000</v>
      </c>
      <c r="AH37" s="656">
        <f t="shared" si="56"/>
        <v>13</v>
      </c>
      <c r="AI37" s="656">
        <f t="shared" si="56"/>
        <v>445000</v>
      </c>
      <c r="AJ37" s="656">
        <f t="shared" si="56"/>
        <v>18</v>
      </c>
      <c r="AK37" s="656">
        <f t="shared" si="56"/>
        <v>545000</v>
      </c>
      <c r="AL37" s="656">
        <f t="shared" si="56"/>
        <v>13</v>
      </c>
      <c r="AM37" s="656">
        <f t="shared" si="56"/>
        <v>295000</v>
      </c>
      <c r="AN37" s="656">
        <f t="shared" si="56"/>
        <v>18</v>
      </c>
      <c r="AO37" s="656">
        <f t="shared" si="56"/>
        <v>620000</v>
      </c>
      <c r="AP37" s="656">
        <f t="shared" si="56"/>
        <v>11</v>
      </c>
      <c r="AQ37" s="656">
        <f t="shared" si="56"/>
        <v>395000</v>
      </c>
      <c r="AR37" s="656">
        <f t="shared" si="56"/>
        <v>21</v>
      </c>
      <c r="AS37" s="656">
        <f t="shared" si="56"/>
        <v>395000</v>
      </c>
      <c r="AT37" s="656">
        <f t="shared" si="56"/>
        <v>14</v>
      </c>
      <c r="AU37" s="656">
        <f t="shared" si="56"/>
        <v>495000</v>
      </c>
      <c r="AV37" s="656">
        <f t="shared" si="56"/>
        <v>11</v>
      </c>
      <c r="AW37" s="656">
        <f t="shared" si="56"/>
        <v>445000</v>
      </c>
      <c r="AX37" s="656">
        <f t="shared" si="56"/>
        <v>12</v>
      </c>
      <c r="AY37" s="656">
        <f t="shared" si="56"/>
        <v>495000</v>
      </c>
      <c r="AZ37" s="656">
        <f t="shared" si="56"/>
        <v>12</v>
      </c>
      <c r="BA37" s="656">
        <f t="shared" si="56"/>
        <v>295000</v>
      </c>
      <c r="BB37" s="656">
        <f t="shared" si="56"/>
        <v>11</v>
      </c>
      <c r="BC37" s="656">
        <f t="shared" si="56"/>
        <v>445000</v>
      </c>
      <c r="BD37" s="656">
        <f t="shared" si="56"/>
        <v>25</v>
      </c>
      <c r="BE37" s="656">
        <f t="shared" si="56"/>
        <v>545000</v>
      </c>
      <c r="BF37" s="656">
        <f t="shared" si="56"/>
        <v>11</v>
      </c>
      <c r="BG37" s="656">
        <f t="shared" si="56"/>
        <v>345000</v>
      </c>
      <c r="BH37" s="656">
        <f t="shared" si="56"/>
        <v>0</v>
      </c>
      <c r="BI37" s="656">
        <f t="shared" si="56"/>
        <v>0</v>
      </c>
      <c r="BJ37" s="656">
        <f>SUM(BJ22:BJ36)</f>
        <v>260</v>
      </c>
      <c r="BK37" s="656">
        <f>SUM(BK22:BK36)</f>
        <v>7815000</v>
      </c>
      <c r="BL37" s="346" t="s">
        <v>111</v>
      </c>
      <c r="BN37" s="353">
        <f t="shared" ref="BN37:BV37" si="57">SUM(BN22:BN35)</f>
        <v>0</v>
      </c>
      <c r="BO37" s="353">
        <f t="shared" si="57"/>
        <v>0</v>
      </c>
      <c r="BP37" s="353">
        <f t="shared" si="57"/>
        <v>7815000</v>
      </c>
      <c r="BQ37" s="353">
        <f t="shared" si="57"/>
        <v>0</v>
      </c>
      <c r="BR37" s="353">
        <f t="shared" si="57"/>
        <v>7815000</v>
      </c>
      <c r="BS37" s="353">
        <f t="shared" si="57"/>
        <v>0</v>
      </c>
      <c r="BT37" s="353">
        <f t="shared" si="57"/>
        <v>0</v>
      </c>
      <c r="BU37" s="353">
        <f t="shared" si="57"/>
        <v>0</v>
      </c>
      <c r="BV37" s="353">
        <f t="shared" si="57"/>
        <v>7815000</v>
      </c>
    </row>
    <row r="38" spans="1:74" x14ac:dyDescent="0.25">
      <c r="A38" s="650"/>
      <c r="B38" s="650"/>
      <c r="C38" s="335" t="s">
        <v>511</v>
      </c>
      <c r="D38" s="336"/>
      <c r="E38" s="336"/>
      <c r="F38" s="638"/>
      <c r="G38" s="649"/>
      <c r="H38" s="649">
        <f>G38*0.1</f>
        <v>0</v>
      </c>
      <c r="I38" s="649">
        <f>G38*0.8</f>
        <v>0</v>
      </c>
      <c r="J38" s="649"/>
      <c r="K38" s="649"/>
      <c r="L38" s="649"/>
      <c r="M38" s="649"/>
      <c r="N38" s="649"/>
      <c r="O38" s="396"/>
      <c r="P38" s="396">
        <f>G38*0.1</f>
        <v>0</v>
      </c>
      <c r="Q38" s="391"/>
      <c r="R38" s="653"/>
      <c r="S38" s="453"/>
      <c r="T38" s="453"/>
      <c r="U38" s="453"/>
      <c r="V38" s="433"/>
      <c r="W38" s="433"/>
      <c r="X38" s="433"/>
      <c r="Y38" s="433"/>
      <c r="Z38" s="322"/>
      <c r="AA38" s="433">
        <f t="shared" si="5"/>
        <v>0</v>
      </c>
      <c r="AB38" s="651"/>
      <c r="AC38" s="433">
        <f t="shared" si="6"/>
        <v>0</v>
      </c>
      <c r="AD38" s="651"/>
      <c r="AE38" s="433">
        <f t="shared" si="7"/>
        <v>0</v>
      </c>
      <c r="AF38" s="651"/>
      <c r="AG38" s="433">
        <f t="shared" si="8"/>
        <v>0</v>
      </c>
      <c r="AH38" s="651"/>
      <c r="AI38" s="433">
        <f t="shared" si="9"/>
        <v>0</v>
      </c>
      <c r="AJ38" s="651"/>
      <c r="AK38" s="433">
        <f t="shared" si="10"/>
        <v>0</v>
      </c>
      <c r="AL38" s="651"/>
      <c r="AM38" s="433">
        <f t="shared" si="11"/>
        <v>0</v>
      </c>
      <c r="AN38" s="651"/>
      <c r="AO38" s="433">
        <f t="shared" si="12"/>
        <v>0</v>
      </c>
      <c r="AP38" s="651"/>
      <c r="AQ38" s="433">
        <f t="shared" si="13"/>
        <v>0</v>
      </c>
      <c r="AR38" s="651"/>
      <c r="AS38" s="433">
        <f t="shared" si="28"/>
        <v>0</v>
      </c>
      <c r="AT38" s="651"/>
      <c r="AU38" s="433">
        <f t="shared" si="14"/>
        <v>0</v>
      </c>
      <c r="AV38" s="651"/>
      <c r="AW38" s="433">
        <f t="shared" si="15"/>
        <v>0</v>
      </c>
      <c r="AX38" s="651"/>
      <c r="AY38" s="433">
        <f t="shared" si="16"/>
        <v>0</v>
      </c>
      <c r="AZ38" s="651"/>
      <c r="BA38" s="433">
        <f t="shared" si="17"/>
        <v>0</v>
      </c>
      <c r="BB38" s="651"/>
      <c r="BC38" s="433">
        <f t="shared" si="33"/>
        <v>0</v>
      </c>
      <c r="BD38" s="651"/>
      <c r="BE38" s="433">
        <f t="shared" si="18"/>
        <v>0</v>
      </c>
      <c r="BF38" s="651"/>
      <c r="BG38" s="433">
        <f t="shared" si="19"/>
        <v>0</v>
      </c>
      <c r="BH38" s="651"/>
      <c r="BI38" s="433">
        <f t="shared" si="20"/>
        <v>0</v>
      </c>
      <c r="BJ38" s="322">
        <f t="shared" ref="BJ38:BK44" si="58">Z38+AB38+AD38+AF38+AH38+AJ38+AL38+AN38+AP38+AR38+AT38+AV38+AX38+AZ38+BB38+BD38+BF38+BH38</f>
        <v>0</v>
      </c>
      <c r="BK38" s="339">
        <f t="shared" si="58"/>
        <v>0</v>
      </c>
      <c r="BL38" s="336"/>
      <c r="BN38" s="340"/>
      <c r="BO38" s="652"/>
      <c r="BP38" s="652"/>
      <c r="BQ38" s="652"/>
      <c r="BR38" s="340">
        <f t="shared" si="21"/>
        <v>0</v>
      </c>
      <c r="BS38" s="340"/>
      <c r="BT38" s="340"/>
      <c r="BU38" s="340"/>
      <c r="BV38" s="341">
        <f t="shared" si="4"/>
        <v>0</v>
      </c>
    </row>
    <row r="39" spans="1:74" x14ac:dyDescent="0.25">
      <c r="A39" s="650"/>
      <c r="B39" s="269"/>
      <c r="C39" s="342" t="s">
        <v>512</v>
      </c>
      <c r="D39" s="336" t="s">
        <v>238</v>
      </c>
      <c r="E39" s="336">
        <v>0</v>
      </c>
      <c r="F39" s="638">
        <f>BJ39</f>
        <v>2128</v>
      </c>
      <c r="G39" s="649">
        <f>F39*E39</f>
        <v>0</v>
      </c>
      <c r="H39" s="649"/>
      <c r="I39" s="649"/>
      <c r="J39" s="649"/>
      <c r="K39" s="649"/>
      <c r="L39" s="649">
        <f>G39*1</f>
        <v>0</v>
      </c>
      <c r="M39" s="649"/>
      <c r="N39" s="649"/>
      <c r="O39" s="396"/>
      <c r="P39" s="396"/>
      <c r="Q39" s="391"/>
      <c r="R39" s="453">
        <f>F39*0.25</f>
        <v>532</v>
      </c>
      <c r="S39" s="453">
        <f>F39*0.25</f>
        <v>532</v>
      </c>
      <c r="T39" s="453">
        <f>F39*0.25</f>
        <v>532</v>
      </c>
      <c r="U39" s="453">
        <f>F39*0.25</f>
        <v>532</v>
      </c>
      <c r="V39" s="433">
        <f>R39*E39</f>
        <v>0</v>
      </c>
      <c r="W39" s="433">
        <f>S39*E39</f>
        <v>0</v>
      </c>
      <c r="X39" s="433">
        <f>T39*E39</f>
        <v>0</v>
      </c>
      <c r="Y39" s="433">
        <f>U39*E39</f>
        <v>0</v>
      </c>
      <c r="Z39" s="322">
        <v>0</v>
      </c>
      <c r="AA39" s="433">
        <f t="shared" si="5"/>
        <v>0</v>
      </c>
      <c r="AB39" s="651">
        <v>0</v>
      </c>
      <c r="AC39" s="433">
        <f t="shared" si="6"/>
        <v>0</v>
      </c>
      <c r="AD39" s="651">
        <v>0</v>
      </c>
      <c r="AE39" s="433">
        <f t="shared" si="7"/>
        <v>0</v>
      </c>
      <c r="AF39" s="651">
        <v>0</v>
      </c>
      <c r="AG39" s="433">
        <f t="shared" si="8"/>
        <v>0</v>
      </c>
      <c r="AH39" s="651">
        <v>500</v>
      </c>
      <c r="AI39" s="433">
        <f t="shared" si="9"/>
        <v>0</v>
      </c>
      <c r="AJ39" s="651">
        <v>0</v>
      </c>
      <c r="AK39" s="433">
        <f t="shared" si="10"/>
        <v>0</v>
      </c>
      <c r="AL39" s="651">
        <v>0</v>
      </c>
      <c r="AM39" s="433">
        <f t="shared" si="11"/>
        <v>0</v>
      </c>
      <c r="AN39" s="651">
        <v>0</v>
      </c>
      <c r="AO39" s="433">
        <f t="shared" si="12"/>
        <v>0</v>
      </c>
      <c r="AP39" s="651">
        <v>0</v>
      </c>
      <c r="AQ39" s="433">
        <f t="shared" si="13"/>
        <v>0</v>
      </c>
      <c r="AR39" s="651">
        <v>1334</v>
      </c>
      <c r="AS39" s="433">
        <f t="shared" si="28"/>
        <v>0</v>
      </c>
      <c r="AT39" s="651">
        <v>0</v>
      </c>
      <c r="AU39" s="433">
        <f t="shared" si="14"/>
        <v>0</v>
      </c>
      <c r="AV39" s="651">
        <v>0</v>
      </c>
      <c r="AW39" s="433">
        <f t="shared" si="15"/>
        <v>0</v>
      </c>
      <c r="AX39" s="651">
        <v>294</v>
      </c>
      <c r="AY39" s="433">
        <f t="shared" si="16"/>
        <v>0</v>
      </c>
      <c r="AZ39" s="651">
        <v>0</v>
      </c>
      <c r="BA39" s="433">
        <f t="shared" si="17"/>
        <v>0</v>
      </c>
      <c r="BB39" s="651">
        <v>0</v>
      </c>
      <c r="BC39" s="433">
        <f t="shared" si="33"/>
        <v>0</v>
      </c>
      <c r="BD39" s="651">
        <v>0</v>
      </c>
      <c r="BE39" s="433">
        <f t="shared" si="18"/>
        <v>0</v>
      </c>
      <c r="BF39" s="651">
        <v>0</v>
      </c>
      <c r="BG39" s="433">
        <f t="shared" si="19"/>
        <v>0</v>
      </c>
      <c r="BH39" s="651">
        <v>0</v>
      </c>
      <c r="BI39" s="433">
        <f t="shared" si="20"/>
        <v>0</v>
      </c>
      <c r="BJ39" s="322">
        <f t="shared" si="58"/>
        <v>2128</v>
      </c>
      <c r="BK39" s="339">
        <f t="shared" si="58"/>
        <v>0</v>
      </c>
      <c r="BL39" s="336" t="s">
        <v>515</v>
      </c>
      <c r="BN39" s="340">
        <f>SUM(BN38)</f>
        <v>0</v>
      </c>
      <c r="BO39" s="652"/>
      <c r="BP39" s="652">
        <f>BK39</f>
        <v>0</v>
      </c>
      <c r="BQ39" s="652"/>
      <c r="BR39" s="340">
        <f t="shared" si="21"/>
        <v>0</v>
      </c>
      <c r="BS39" s="340"/>
      <c r="BT39" s="340"/>
      <c r="BU39" s="340"/>
      <c r="BV39" s="341">
        <f t="shared" si="4"/>
        <v>0</v>
      </c>
    </row>
    <row r="40" spans="1:74" x14ac:dyDescent="0.25">
      <c r="A40" s="650"/>
      <c r="B40" s="650"/>
      <c r="C40" s="342" t="s">
        <v>513</v>
      </c>
      <c r="D40" s="336" t="s">
        <v>238</v>
      </c>
      <c r="E40" s="336">
        <v>0</v>
      </c>
      <c r="F40" s="638">
        <f>BJ40</f>
        <v>2128</v>
      </c>
      <c r="G40" s="649">
        <f>F40*E40</f>
        <v>0</v>
      </c>
      <c r="H40" s="649"/>
      <c r="I40" s="649"/>
      <c r="J40" s="649"/>
      <c r="K40" s="649"/>
      <c r="L40" s="649">
        <f>G40*1</f>
        <v>0</v>
      </c>
      <c r="M40" s="649"/>
      <c r="N40" s="649"/>
      <c r="O40" s="396"/>
      <c r="P40" s="396"/>
      <c r="Q40" s="391"/>
      <c r="R40" s="453">
        <f>F40*0.25</f>
        <v>532</v>
      </c>
      <c r="S40" s="453">
        <f>F40*0.25</f>
        <v>532</v>
      </c>
      <c r="T40" s="453">
        <f>F40*0.25</f>
        <v>532</v>
      </c>
      <c r="U40" s="453">
        <f>F40*0.25</f>
        <v>532</v>
      </c>
      <c r="V40" s="433">
        <f>R40*E40</f>
        <v>0</v>
      </c>
      <c r="W40" s="433">
        <f>S40*E40</f>
        <v>0</v>
      </c>
      <c r="X40" s="433">
        <f>T40*E40</f>
        <v>0</v>
      </c>
      <c r="Y40" s="433">
        <f>U40*E40</f>
        <v>0</v>
      </c>
      <c r="Z40" s="322">
        <v>0</v>
      </c>
      <c r="AA40" s="433">
        <f t="shared" si="5"/>
        <v>0</v>
      </c>
      <c r="AB40" s="651">
        <v>0</v>
      </c>
      <c r="AC40" s="433">
        <f t="shared" si="6"/>
        <v>0</v>
      </c>
      <c r="AD40" s="651">
        <v>0</v>
      </c>
      <c r="AE40" s="433">
        <f t="shared" si="7"/>
        <v>0</v>
      </c>
      <c r="AF40" s="651">
        <v>0</v>
      </c>
      <c r="AG40" s="433">
        <f t="shared" si="8"/>
        <v>0</v>
      </c>
      <c r="AH40" s="651">
        <v>500</v>
      </c>
      <c r="AI40" s="433">
        <f t="shared" si="9"/>
        <v>0</v>
      </c>
      <c r="AJ40" s="651">
        <v>0</v>
      </c>
      <c r="AK40" s="433">
        <f t="shared" si="10"/>
        <v>0</v>
      </c>
      <c r="AL40" s="651">
        <v>0</v>
      </c>
      <c r="AM40" s="433">
        <f t="shared" si="11"/>
        <v>0</v>
      </c>
      <c r="AN40" s="651">
        <v>0</v>
      </c>
      <c r="AO40" s="433">
        <f t="shared" si="12"/>
        <v>0</v>
      </c>
      <c r="AP40" s="651">
        <v>0</v>
      </c>
      <c r="AQ40" s="433">
        <f t="shared" si="13"/>
        <v>0</v>
      </c>
      <c r="AR40" s="651">
        <v>1334</v>
      </c>
      <c r="AS40" s="433">
        <f t="shared" si="28"/>
        <v>0</v>
      </c>
      <c r="AT40" s="651">
        <v>0</v>
      </c>
      <c r="AU40" s="433">
        <f t="shared" si="14"/>
        <v>0</v>
      </c>
      <c r="AV40" s="651">
        <v>0</v>
      </c>
      <c r="AW40" s="433">
        <f t="shared" si="15"/>
        <v>0</v>
      </c>
      <c r="AX40" s="651">
        <v>294</v>
      </c>
      <c r="AY40" s="433">
        <f>AX40*E40</f>
        <v>0</v>
      </c>
      <c r="AZ40" s="651">
        <v>0</v>
      </c>
      <c r="BA40" s="433">
        <f t="shared" si="17"/>
        <v>0</v>
      </c>
      <c r="BB40" s="651">
        <v>0</v>
      </c>
      <c r="BC40" s="433">
        <f t="shared" si="33"/>
        <v>0</v>
      </c>
      <c r="BD40" s="651">
        <v>0</v>
      </c>
      <c r="BE40" s="433">
        <f t="shared" si="18"/>
        <v>0</v>
      </c>
      <c r="BF40" s="651">
        <v>0</v>
      </c>
      <c r="BG40" s="433">
        <f t="shared" si="19"/>
        <v>0</v>
      </c>
      <c r="BH40" s="651">
        <v>0</v>
      </c>
      <c r="BI40" s="433">
        <f t="shared" si="20"/>
        <v>0</v>
      </c>
      <c r="BJ40" s="322">
        <f t="shared" si="58"/>
        <v>2128</v>
      </c>
      <c r="BK40" s="339">
        <f t="shared" si="58"/>
        <v>0</v>
      </c>
      <c r="BL40" s="336" t="s">
        <v>515</v>
      </c>
      <c r="BN40" s="340">
        <f>SUM(BN39)</f>
        <v>0</v>
      </c>
      <c r="BO40" s="652"/>
      <c r="BP40" s="652">
        <f>BK40</f>
        <v>0</v>
      </c>
      <c r="BQ40" s="652"/>
      <c r="BR40" s="340">
        <f t="shared" si="21"/>
        <v>0</v>
      </c>
      <c r="BS40" s="340"/>
      <c r="BT40" s="340"/>
      <c r="BU40" s="340"/>
      <c r="BV40" s="341">
        <f t="shared" si="4"/>
        <v>0</v>
      </c>
    </row>
    <row r="41" spans="1:74" ht="31.5" customHeight="1" x14ac:dyDescent="0.25">
      <c r="A41" s="650"/>
      <c r="B41" s="269" t="s">
        <v>1006</v>
      </c>
      <c r="C41" s="342" t="s">
        <v>662</v>
      </c>
      <c r="D41" s="336" t="s">
        <v>663</v>
      </c>
      <c r="E41" s="336">
        <v>0</v>
      </c>
      <c r="F41" s="638">
        <f>BJ41</f>
        <v>8064</v>
      </c>
      <c r="G41" s="649">
        <f>E41*F41</f>
        <v>0</v>
      </c>
      <c r="H41" s="649">
        <f>G41*0.2</f>
        <v>0</v>
      </c>
      <c r="I41" s="649">
        <f>G41*0.8</f>
        <v>0</v>
      </c>
      <c r="J41" s="649"/>
      <c r="K41" s="649"/>
      <c r="L41" s="649"/>
      <c r="M41" s="649"/>
      <c r="N41" s="649"/>
      <c r="O41" s="396"/>
      <c r="P41" s="396"/>
      <c r="Q41" s="391"/>
      <c r="R41" s="453"/>
      <c r="S41" s="453"/>
      <c r="T41" s="453"/>
      <c r="U41" s="453"/>
      <c r="V41" s="433"/>
      <c r="W41" s="433"/>
      <c r="X41" s="433"/>
      <c r="Y41" s="433"/>
      <c r="Z41" s="322">
        <v>865</v>
      </c>
      <c r="AA41" s="433">
        <f t="shared" si="5"/>
        <v>0</v>
      </c>
      <c r="AB41" s="651">
        <v>0</v>
      </c>
      <c r="AC41" s="433">
        <f t="shared" si="6"/>
        <v>0</v>
      </c>
      <c r="AD41" s="651">
        <v>425</v>
      </c>
      <c r="AE41" s="433">
        <f t="shared" si="7"/>
        <v>0</v>
      </c>
      <c r="AF41" s="651">
        <v>1870</v>
      </c>
      <c r="AG41" s="433">
        <f t="shared" si="8"/>
        <v>0</v>
      </c>
      <c r="AH41" s="651">
        <v>0</v>
      </c>
      <c r="AI41" s="433">
        <f t="shared" si="9"/>
        <v>0</v>
      </c>
      <c r="AJ41" s="651">
        <v>0</v>
      </c>
      <c r="AK41" s="433">
        <f t="shared" si="10"/>
        <v>0</v>
      </c>
      <c r="AL41" s="651">
        <v>0</v>
      </c>
      <c r="AM41" s="433">
        <f t="shared" si="11"/>
        <v>0</v>
      </c>
      <c r="AN41" s="651">
        <v>250</v>
      </c>
      <c r="AO41" s="433">
        <f t="shared" si="12"/>
        <v>0</v>
      </c>
      <c r="AP41" s="651">
        <v>425</v>
      </c>
      <c r="AQ41" s="433">
        <f t="shared" si="13"/>
        <v>0</v>
      </c>
      <c r="AR41" s="651">
        <v>0</v>
      </c>
      <c r="AS41" s="433">
        <f t="shared" si="28"/>
        <v>0</v>
      </c>
      <c r="AT41" s="651">
        <v>621</v>
      </c>
      <c r="AU41" s="433">
        <f t="shared" si="14"/>
        <v>0</v>
      </c>
      <c r="AV41" s="651">
        <v>458</v>
      </c>
      <c r="AW41" s="433">
        <f t="shared" si="15"/>
        <v>0</v>
      </c>
      <c r="AX41" s="651">
        <v>0</v>
      </c>
      <c r="AY41" s="433">
        <f t="shared" si="16"/>
        <v>0</v>
      </c>
      <c r="AZ41" s="651">
        <v>500</v>
      </c>
      <c r="BA41" s="433">
        <f t="shared" si="17"/>
        <v>0</v>
      </c>
      <c r="BB41" s="651">
        <v>0</v>
      </c>
      <c r="BC41" s="433">
        <f t="shared" si="33"/>
        <v>0</v>
      </c>
      <c r="BD41" s="651">
        <v>650</v>
      </c>
      <c r="BE41" s="433">
        <f t="shared" si="18"/>
        <v>0</v>
      </c>
      <c r="BF41" s="651">
        <v>2000</v>
      </c>
      <c r="BG41" s="433">
        <f t="shared" si="19"/>
        <v>0</v>
      </c>
      <c r="BH41" s="651"/>
      <c r="BI41" s="433">
        <f t="shared" si="20"/>
        <v>0</v>
      </c>
      <c r="BJ41" s="322">
        <f>Z41+AB41+AD41+AF41+AH41+AJ41+AL41+AN41+AP41+AR41+AT41+AV41+AX41+AZ41+BB41+BD41+BF41+BH41</f>
        <v>8064</v>
      </c>
      <c r="BK41" s="339">
        <f t="shared" si="58"/>
        <v>0</v>
      </c>
      <c r="BL41" s="336" t="s">
        <v>209</v>
      </c>
      <c r="BN41" s="340"/>
      <c r="BO41" s="652"/>
      <c r="BP41" s="652"/>
      <c r="BQ41" s="652"/>
      <c r="BR41" s="340"/>
      <c r="BS41" s="340"/>
      <c r="BT41" s="340"/>
      <c r="BU41" s="340"/>
      <c r="BV41" s="341"/>
    </row>
    <row r="42" spans="1:74" x14ac:dyDescent="0.25">
      <c r="A42" s="650"/>
      <c r="B42" s="650"/>
      <c r="C42" s="342" t="s">
        <v>664</v>
      </c>
      <c r="D42" s="336"/>
      <c r="E42" s="336">
        <v>342</v>
      </c>
      <c r="F42" s="638">
        <f>BJ42</f>
        <v>0</v>
      </c>
      <c r="G42" s="649">
        <f>E42*F42</f>
        <v>0</v>
      </c>
      <c r="H42" s="649"/>
      <c r="I42" s="649"/>
      <c r="J42" s="649"/>
      <c r="K42" s="649"/>
      <c r="L42" s="649">
        <f>G42*1</f>
        <v>0</v>
      </c>
      <c r="M42" s="649"/>
      <c r="N42" s="649"/>
      <c r="O42" s="396"/>
      <c r="P42" s="396"/>
      <c r="Q42" s="391"/>
      <c r="R42" s="453"/>
      <c r="S42" s="453"/>
      <c r="T42" s="453"/>
      <c r="U42" s="453"/>
      <c r="V42" s="433"/>
      <c r="W42" s="433"/>
      <c r="X42" s="433"/>
      <c r="Y42" s="433"/>
      <c r="Z42" s="322">
        <v>0</v>
      </c>
      <c r="AA42" s="433">
        <f t="shared" si="5"/>
        <v>0</v>
      </c>
      <c r="AB42" s="651">
        <v>0</v>
      </c>
      <c r="AC42" s="433">
        <f t="shared" si="6"/>
        <v>0</v>
      </c>
      <c r="AD42" s="651">
        <v>0</v>
      </c>
      <c r="AE42" s="433">
        <f t="shared" si="7"/>
        <v>0</v>
      </c>
      <c r="AF42" s="651">
        <v>0</v>
      </c>
      <c r="AG42" s="433">
        <f t="shared" si="8"/>
        <v>0</v>
      </c>
      <c r="AH42" s="651">
        <v>0</v>
      </c>
      <c r="AI42" s="433">
        <f t="shared" si="9"/>
        <v>0</v>
      </c>
      <c r="AJ42" s="651">
        <v>0</v>
      </c>
      <c r="AK42" s="433">
        <f t="shared" si="10"/>
        <v>0</v>
      </c>
      <c r="AL42" s="651">
        <v>0</v>
      </c>
      <c r="AM42" s="433">
        <f t="shared" si="11"/>
        <v>0</v>
      </c>
      <c r="AN42" s="651">
        <v>0</v>
      </c>
      <c r="AO42" s="433">
        <f t="shared" si="12"/>
        <v>0</v>
      </c>
      <c r="AP42" s="651">
        <v>0</v>
      </c>
      <c r="AQ42" s="433">
        <f t="shared" si="13"/>
        <v>0</v>
      </c>
      <c r="AR42" s="651">
        <v>0</v>
      </c>
      <c r="AS42" s="433">
        <f t="shared" si="28"/>
        <v>0</v>
      </c>
      <c r="AT42" s="651">
        <v>0</v>
      </c>
      <c r="AU42" s="433">
        <f t="shared" si="14"/>
        <v>0</v>
      </c>
      <c r="AV42" s="651">
        <v>0</v>
      </c>
      <c r="AW42" s="433">
        <f t="shared" si="15"/>
        <v>0</v>
      </c>
      <c r="AX42" s="651">
        <v>0</v>
      </c>
      <c r="AY42" s="433">
        <f t="shared" si="16"/>
        <v>0</v>
      </c>
      <c r="AZ42" s="651">
        <v>0</v>
      </c>
      <c r="BA42" s="433">
        <f t="shared" si="17"/>
        <v>0</v>
      </c>
      <c r="BB42" s="651">
        <v>0</v>
      </c>
      <c r="BC42" s="433">
        <f t="shared" si="33"/>
        <v>0</v>
      </c>
      <c r="BD42" s="651">
        <v>0</v>
      </c>
      <c r="BE42" s="433">
        <f t="shared" si="18"/>
        <v>0</v>
      </c>
      <c r="BF42" s="651">
        <v>0</v>
      </c>
      <c r="BG42" s="433">
        <f t="shared" si="19"/>
        <v>0</v>
      </c>
      <c r="BH42" s="651"/>
      <c r="BI42" s="433">
        <f t="shared" si="20"/>
        <v>0</v>
      </c>
      <c r="BJ42" s="322">
        <f>Z42+AB42+AD42+AF42+AH42+AJ42+AL42+AN42+AP42+AR42+AT42+AV42+AX42+AZ42+BB42+BD42+BF42+BH42</f>
        <v>0</v>
      </c>
      <c r="BK42" s="339">
        <f t="shared" si="58"/>
        <v>0</v>
      </c>
      <c r="BL42" s="336" t="s">
        <v>515</v>
      </c>
      <c r="BN42" s="340"/>
      <c r="BO42" s="652"/>
      <c r="BP42" s="652"/>
      <c r="BQ42" s="652"/>
      <c r="BR42" s="340"/>
      <c r="BS42" s="340"/>
      <c r="BT42" s="340"/>
      <c r="BU42" s="340"/>
      <c r="BV42" s="341"/>
    </row>
    <row r="43" spans="1:74" x14ac:dyDescent="0.25">
      <c r="A43" s="650"/>
      <c r="B43" s="650"/>
      <c r="C43" s="342" t="s">
        <v>514</v>
      </c>
      <c r="D43" s="336" t="s">
        <v>238</v>
      </c>
      <c r="E43" s="336"/>
      <c r="F43" s="638">
        <f t="shared" ref="F43:F44" si="59">BJ43</f>
        <v>147</v>
      </c>
      <c r="G43" s="649">
        <f>F43*E43</f>
        <v>0</v>
      </c>
      <c r="H43" s="649"/>
      <c r="I43" s="649"/>
      <c r="J43" s="649"/>
      <c r="K43" s="649"/>
      <c r="L43" s="649">
        <f>G43*1</f>
        <v>0</v>
      </c>
      <c r="M43" s="649"/>
      <c r="N43" s="649"/>
      <c r="O43" s="396"/>
      <c r="P43" s="396"/>
      <c r="Q43" s="391"/>
      <c r="R43" s="453">
        <f>F43*0.25</f>
        <v>36.75</v>
      </c>
      <c r="S43" s="453">
        <f>F43*0.25</f>
        <v>36.75</v>
      </c>
      <c r="T43" s="453">
        <f>F43*0.25</f>
        <v>36.75</v>
      </c>
      <c r="U43" s="453">
        <f>F43*0.25</f>
        <v>36.75</v>
      </c>
      <c r="V43" s="433">
        <f>R43*E43</f>
        <v>0</v>
      </c>
      <c r="W43" s="433">
        <f>S43*E43</f>
        <v>0</v>
      </c>
      <c r="X43" s="433">
        <f>T43*E43</f>
        <v>0</v>
      </c>
      <c r="Y43" s="433">
        <f>U43*E43</f>
        <v>0</v>
      </c>
      <c r="Z43" s="322">
        <v>0</v>
      </c>
      <c r="AA43" s="433">
        <f t="shared" si="5"/>
        <v>0</v>
      </c>
      <c r="AB43" s="651">
        <v>0</v>
      </c>
      <c r="AC43" s="433">
        <f t="shared" si="6"/>
        <v>0</v>
      </c>
      <c r="AD43" s="651">
        <v>0</v>
      </c>
      <c r="AE43" s="433">
        <f t="shared" si="7"/>
        <v>0</v>
      </c>
      <c r="AF43" s="651">
        <v>0</v>
      </c>
      <c r="AG43" s="433">
        <f t="shared" si="8"/>
        <v>0</v>
      </c>
      <c r="AH43" s="651">
        <v>0</v>
      </c>
      <c r="AI43" s="433">
        <f t="shared" si="9"/>
        <v>0</v>
      </c>
      <c r="AJ43" s="651">
        <v>0</v>
      </c>
      <c r="AK43" s="433">
        <f t="shared" si="10"/>
        <v>0</v>
      </c>
      <c r="AL43" s="651">
        <v>0</v>
      </c>
      <c r="AM43" s="433">
        <f t="shared" si="11"/>
        <v>0</v>
      </c>
      <c r="AN43" s="651">
        <v>0</v>
      </c>
      <c r="AO43" s="433">
        <f t="shared" si="12"/>
        <v>0</v>
      </c>
      <c r="AP43" s="651">
        <v>0</v>
      </c>
      <c r="AQ43" s="433">
        <f t="shared" si="13"/>
        <v>0</v>
      </c>
      <c r="AR43" s="651">
        <v>0</v>
      </c>
      <c r="AS43" s="433">
        <f t="shared" si="28"/>
        <v>0</v>
      </c>
      <c r="AT43" s="651">
        <v>0</v>
      </c>
      <c r="AU43" s="433">
        <f t="shared" si="14"/>
        <v>0</v>
      </c>
      <c r="AV43" s="651">
        <v>0</v>
      </c>
      <c r="AW43" s="433">
        <f t="shared" si="15"/>
        <v>0</v>
      </c>
      <c r="AX43" s="651">
        <v>147</v>
      </c>
      <c r="AY43" s="433">
        <f t="shared" si="16"/>
        <v>0</v>
      </c>
      <c r="AZ43" s="651">
        <v>0</v>
      </c>
      <c r="BA43" s="433">
        <f t="shared" si="17"/>
        <v>0</v>
      </c>
      <c r="BB43" s="651">
        <v>0</v>
      </c>
      <c r="BC43" s="433">
        <f t="shared" si="33"/>
        <v>0</v>
      </c>
      <c r="BD43" s="651">
        <v>0</v>
      </c>
      <c r="BE43" s="433">
        <f t="shared" si="18"/>
        <v>0</v>
      </c>
      <c r="BF43" s="651">
        <v>0</v>
      </c>
      <c r="BG43" s="433">
        <f t="shared" si="19"/>
        <v>0</v>
      </c>
      <c r="BH43" s="651">
        <v>0</v>
      </c>
      <c r="BI43" s="433">
        <f t="shared" si="20"/>
        <v>0</v>
      </c>
      <c r="BJ43" s="322">
        <f t="shared" si="58"/>
        <v>147</v>
      </c>
      <c r="BK43" s="339">
        <f t="shared" si="58"/>
        <v>0</v>
      </c>
      <c r="BL43" s="336" t="s">
        <v>515</v>
      </c>
      <c r="BN43" s="340">
        <f>SUM(BN40)</f>
        <v>0</v>
      </c>
      <c r="BO43" s="652"/>
      <c r="BP43" s="652">
        <f>BK43</f>
        <v>0</v>
      </c>
      <c r="BQ43" s="652"/>
      <c r="BR43" s="340">
        <f t="shared" si="21"/>
        <v>0</v>
      </c>
      <c r="BS43" s="340"/>
      <c r="BT43" s="340"/>
      <c r="BU43" s="340"/>
      <c r="BV43" s="341">
        <f t="shared" si="4"/>
        <v>0</v>
      </c>
    </row>
    <row r="44" spans="1:74" x14ac:dyDescent="0.25">
      <c r="A44" s="650"/>
      <c r="B44" s="269" t="s">
        <v>1007</v>
      </c>
      <c r="C44" s="342" t="s">
        <v>665</v>
      </c>
      <c r="D44" s="336" t="s">
        <v>238</v>
      </c>
      <c r="E44" s="343">
        <v>1000000</v>
      </c>
      <c r="F44" s="638">
        <f t="shared" si="59"/>
        <v>0</v>
      </c>
      <c r="G44" s="649">
        <f>F44*E44</f>
        <v>0</v>
      </c>
      <c r="H44" s="649">
        <f>G44*0.2</f>
        <v>0</v>
      </c>
      <c r="I44" s="649">
        <f>G44*0.8</f>
        <v>0</v>
      </c>
      <c r="J44" s="649"/>
      <c r="K44" s="649"/>
      <c r="L44" s="649"/>
      <c r="M44" s="649"/>
      <c r="N44" s="649"/>
      <c r="O44" s="396"/>
      <c r="P44" s="396">
        <v>0</v>
      </c>
      <c r="Q44" s="391"/>
      <c r="R44" s="453">
        <f>F44*0.25</f>
        <v>0</v>
      </c>
      <c r="S44" s="453">
        <f>F44*0.25</f>
        <v>0</v>
      </c>
      <c r="T44" s="453">
        <f>F44*0.25</f>
        <v>0</v>
      </c>
      <c r="U44" s="453">
        <f>F44*0.25</f>
        <v>0</v>
      </c>
      <c r="V44" s="433">
        <f>R44*E44</f>
        <v>0</v>
      </c>
      <c r="W44" s="433">
        <f>S44*E44</f>
        <v>0</v>
      </c>
      <c r="X44" s="433">
        <f>T44*E44</f>
        <v>0</v>
      </c>
      <c r="Y44" s="433">
        <f>U44*E44</f>
        <v>0</v>
      </c>
      <c r="Z44" s="322"/>
      <c r="AA44" s="433">
        <f t="shared" si="5"/>
        <v>0</v>
      </c>
      <c r="AB44" s="651"/>
      <c r="AC44" s="433">
        <f t="shared" si="6"/>
        <v>0</v>
      </c>
      <c r="AD44" s="651"/>
      <c r="AE44" s="433">
        <f t="shared" si="7"/>
        <v>0</v>
      </c>
      <c r="AF44" s="651">
        <v>0</v>
      </c>
      <c r="AG44" s="433">
        <f t="shared" si="8"/>
        <v>0</v>
      </c>
      <c r="AH44" s="651">
        <v>0</v>
      </c>
      <c r="AI44" s="433">
        <f t="shared" si="9"/>
        <v>0</v>
      </c>
      <c r="AJ44" s="651"/>
      <c r="AK44" s="433">
        <f t="shared" si="10"/>
        <v>0</v>
      </c>
      <c r="AL44" s="651"/>
      <c r="AM44" s="433">
        <f t="shared" si="11"/>
        <v>0</v>
      </c>
      <c r="AN44" s="651"/>
      <c r="AO44" s="433">
        <f t="shared" si="12"/>
        <v>0</v>
      </c>
      <c r="AP44" s="651"/>
      <c r="AQ44" s="433">
        <f t="shared" si="13"/>
        <v>0</v>
      </c>
      <c r="AR44" s="651"/>
      <c r="AS44" s="433">
        <f t="shared" si="28"/>
        <v>0</v>
      </c>
      <c r="AT44" s="651"/>
      <c r="AU44" s="433">
        <f t="shared" si="14"/>
        <v>0</v>
      </c>
      <c r="AV44" s="651"/>
      <c r="AW44" s="433">
        <f t="shared" si="15"/>
        <v>0</v>
      </c>
      <c r="AX44" s="651">
        <v>0</v>
      </c>
      <c r="AY44" s="433">
        <f t="shared" si="16"/>
        <v>0</v>
      </c>
      <c r="AZ44" s="651"/>
      <c r="BA44" s="433">
        <f t="shared" si="17"/>
        <v>0</v>
      </c>
      <c r="BB44" s="651"/>
      <c r="BC44" s="433">
        <f t="shared" si="33"/>
        <v>0</v>
      </c>
      <c r="BD44" s="651"/>
      <c r="BE44" s="433">
        <f t="shared" si="18"/>
        <v>0</v>
      </c>
      <c r="BF44" s="651"/>
      <c r="BG44" s="433">
        <f t="shared" si="19"/>
        <v>0</v>
      </c>
      <c r="BH44" s="651">
        <v>0</v>
      </c>
      <c r="BI44" s="433">
        <f t="shared" si="20"/>
        <v>0</v>
      </c>
      <c r="BJ44" s="322">
        <f t="shared" si="58"/>
        <v>0</v>
      </c>
      <c r="BK44" s="339">
        <f t="shared" si="58"/>
        <v>0</v>
      </c>
      <c r="BL44" s="336" t="s">
        <v>209</v>
      </c>
      <c r="BN44" s="340">
        <f>SUM(BN43)</f>
        <v>0</v>
      </c>
      <c r="BO44" s="652">
        <f>BK44</f>
        <v>0</v>
      </c>
      <c r="BP44" s="652"/>
      <c r="BQ44" s="652"/>
      <c r="BR44" s="340">
        <f t="shared" si="21"/>
        <v>0</v>
      </c>
      <c r="BS44" s="340"/>
      <c r="BT44" s="340"/>
      <c r="BU44" s="340"/>
      <c r="BV44" s="341">
        <f t="shared" si="4"/>
        <v>0</v>
      </c>
    </row>
    <row r="45" spans="1:74" s="317" customFormat="1" x14ac:dyDescent="0.25">
      <c r="A45" s="650"/>
      <c r="B45" s="650"/>
      <c r="C45" s="335" t="s">
        <v>517</v>
      </c>
      <c r="D45" s="346"/>
      <c r="E45" s="354"/>
      <c r="F45" s="656">
        <f t="shared" ref="F45:BI45" si="60">SUM(F39:F44)</f>
        <v>12467</v>
      </c>
      <c r="G45" s="656">
        <f t="shared" si="60"/>
        <v>0</v>
      </c>
      <c r="H45" s="656">
        <f t="shared" si="60"/>
        <v>0</v>
      </c>
      <c r="I45" s="656">
        <f t="shared" si="60"/>
        <v>0</v>
      </c>
      <c r="J45" s="656">
        <f t="shared" si="60"/>
        <v>0</v>
      </c>
      <c r="K45" s="656">
        <f t="shared" si="60"/>
        <v>0</v>
      </c>
      <c r="L45" s="656">
        <f t="shared" si="60"/>
        <v>0</v>
      </c>
      <c r="M45" s="656">
        <f t="shared" si="60"/>
        <v>0</v>
      </c>
      <c r="N45" s="656">
        <f t="shared" si="60"/>
        <v>0</v>
      </c>
      <c r="O45" s="656">
        <f t="shared" si="60"/>
        <v>0</v>
      </c>
      <c r="P45" s="656">
        <f t="shared" si="60"/>
        <v>0</v>
      </c>
      <c r="Q45" s="656">
        <f t="shared" si="60"/>
        <v>0</v>
      </c>
      <c r="R45" s="656">
        <f t="shared" si="60"/>
        <v>1100.75</v>
      </c>
      <c r="S45" s="656">
        <f t="shared" si="60"/>
        <v>1100.75</v>
      </c>
      <c r="T45" s="656">
        <f t="shared" si="60"/>
        <v>1100.75</v>
      </c>
      <c r="U45" s="656">
        <f t="shared" si="60"/>
        <v>1100.75</v>
      </c>
      <c r="V45" s="656">
        <f t="shared" si="60"/>
        <v>0</v>
      </c>
      <c r="W45" s="656">
        <f t="shared" si="60"/>
        <v>0</v>
      </c>
      <c r="X45" s="656">
        <f t="shared" si="60"/>
        <v>0</v>
      </c>
      <c r="Y45" s="656">
        <f t="shared" si="60"/>
        <v>0</v>
      </c>
      <c r="Z45" s="656">
        <f t="shared" si="60"/>
        <v>865</v>
      </c>
      <c r="AA45" s="656">
        <f t="shared" si="60"/>
        <v>0</v>
      </c>
      <c r="AB45" s="656">
        <f t="shared" si="60"/>
        <v>0</v>
      </c>
      <c r="AC45" s="656">
        <f t="shared" si="60"/>
        <v>0</v>
      </c>
      <c r="AD45" s="656">
        <f t="shared" si="60"/>
        <v>425</v>
      </c>
      <c r="AE45" s="656">
        <f t="shared" si="60"/>
        <v>0</v>
      </c>
      <c r="AF45" s="656">
        <f t="shared" si="60"/>
        <v>1870</v>
      </c>
      <c r="AG45" s="656">
        <f t="shared" si="60"/>
        <v>0</v>
      </c>
      <c r="AH45" s="656">
        <f t="shared" si="60"/>
        <v>1000</v>
      </c>
      <c r="AI45" s="656">
        <f t="shared" si="60"/>
        <v>0</v>
      </c>
      <c r="AJ45" s="656">
        <f t="shared" si="60"/>
        <v>0</v>
      </c>
      <c r="AK45" s="656">
        <f t="shared" si="60"/>
        <v>0</v>
      </c>
      <c r="AL45" s="656">
        <f t="shared" si="60"/>
        <v>0</v>
      </c>
      <c r="AM45" s="656">
        <f t="shared" si="60"/>
        <v>0</v>
      </c>
      <c r="AN45" s="656">
        <f t="shared" si="60"/>
        <v>250</v>
      </c>
      <c r="AO45" s="656">
        <f t="shared" si="60"/>
        <v>0</v>
      </c>
      <c r="AP45" s="656">
        <f t="shared" si="60"/>
        <v>425</v>
      </c>
      <c r="AQ45" s="656">
        <f t="shared" si="60"/>
        <v>0</v>
      </c>
      <c r="AR45" s="656">
        <f t="shared" si="60"/>
        <v>2668</v>
      </c>
      <c r="AS45" s="656">
        <f t="shared" si="60"/>
        <v>0</v>
      </c>
      <c r="AT45" s="656">
        <f t="shared" si="60"/>
        <v>621</v>
      </c>
      <c r="AU45" s="656">
        <f t="shared" si="60"/>
        <v>0</v>
      </c>
      <c r="AV45" s="656">
        <f t="shared" si="60"/>
        <v>458</v>
      </c>
      <c r="AW45" s="656">
        <f t="shared" si="60"/>
        <v>0</v>
      </c>
      <c r="AX45" s="656">
        <f t="shared" si="60"/>
        <v>735</v>
      </c>
      <c r="AY45" s="656">
        <f t="shared" si="60"/>
        <v>0</v>
      </c>
      <c r="AZ45" s="656">
        <f t="shared" si="60"/>
        <v>500</v>
      </c>
      <c r="BA45" s="656">
        <f t="shared" si="60"/>
        <v>0</v>
      </c>
      <c r="BB45" s="656">
        <f t="shared" si="60"/>
        <v>0</v>
      </c>
      <c r="BC45" s="656">
        <f t="shared" si="60"/>
        <v>0</v>
      </c>
      <c r="BD45" s="656">
        <f t="shared" si="60"/>
        <v>650</v>
      </c>
      <c r="BE45" s="656">
        <f t="shared" si="60"/>
        <v>0</v>
      </c>
      <c r="BF45" s="656">
        <f t="shared" si="60"/>
        <v>2000</v>
      </c>
      <c r="BG45" s="656">
        <f t="shared" si="60"/>
        <v>0</v>
      </c>
      <c r="BH45" s="656">
        <f t="shared" si="60"/>
        <v>0</v>
      </c>
      <c r="BI45" s="656">
        <f t="shared" si="60"/>
        <v>0</v>
      </c>
      <c r="BJ45" s="656">
        <f t="shared" ref="BJ45:BK45" si="61">SUM(BJ39:BJ44)</f>
        <v>12467</v>
      </c>
      <c r="BK45" s="656">
        <f t="shared" si="61"/>
        <v>0</v>
      </c>
      <c r="BL45" s="346"/>
      <c r="BN45" s="353">
        <f t="shared" ref="BN45:BV45" si="62">SUM(BN39:BN44)</f>
        <v>0</v>
      </c>
      <c r="BO45" s="353">
        <f t="shared" si="62"/>
        <v>0</v>
      </c>
      <c r="BP45" s="353">
        <f t="shared" si="62"/>
        <v>0</v>
      </c>
      <c r="BQ45" s="353">
        <f t="shared" si="62"/>
        <v>0</v>
      </c>
      <c r="BR45" s="353">
        <f t="shared" si="62"/>
        <v>0</v>
      </c>
      <c r="BS45" s="353">
        <f t="shared" si="62"/>
        <v>0</v>
      </c>
      <c r="BT45" s="353">
        <f t="shared" si="62"/>
        <v>0</v>
      </c>
      <c r="BU45" s="353">
        <f t="shared" si="62"/>
        <v>0</v>
      </c>
      <c r="BV45" s="353">
        <f t="shared" si="62"/>
        <v>0</v>
      </c>
    </row>
    <row r="46" spans="1:74" s="317" customFormat="1" x14ac:dyDescent="0.25">
      <c r="A46" s="650"/>
      <c r="B46" s="650"/>
      <c r="C46" s="358" t="s">
        <v>17</v>
      </c>
      <c r="D46" s="346" t="s">
        <v>111</v>
      </c>
      <c r="E46" s="332"/>
      <c r="F46" s="656">
        <f t="shared" ref="F46:BI46" si="63">F37+F20+F45</f>
        <v>13095</v>
      </c>
      <c r="G46" s="656">
        <f t="shared" si="63"/>
        <v>78405000</v>
      </c>
      <c r="H46" s="656">
        <f t="shared" si="63"/>
        <v>733000</v>
      </c>
      <c r="I46" s="656">
        <f t="shared" si="63"/>
        <v>59114000</v>
      </c>
      <c r="J46" s="656">
        <f t="shared" si="63"/>
        <v>0</v>
      </c>
      <c r="K46" s="656">
        <f t="shared" si="63"/>
        <v>0</v>
      </c>
      <c r="L46" s="656">
        <f t="shared" si="63"/>
        <v>0</v>
      </c>
      <c r="M46" s="656">
        <f t="shared" si="63"/>
        <v>0</v>
      </c>
      <c r="N46" s="656">
        <f t="shared" si="63"/>
        <v>0</v>
      </c>
      <c r="O46" s="656">
        <f t="shared" si="63"/>
        <v>0</v>
      </c>
      <c r="P46" s="656">
        <f t="shared" si="63"/>
        <v>18558000</v>
      </c>
      <c r="Q46" s="656">
        <f t="shared" si="63"/>
        <v>0</v>
      </c>
      <c r="R46" s="656">
        <f t="shared" si="63"/>
        <v>1250.1500000000001</v>
      </c>
      <c r="S46" s="656">
        <f t="shared" si="63"/>
        <v>1320.65</v>
      </c>
      <c r="T46" s="656">
        <f t="shared" si="63"/>
        <v>1257.05</v>
      </c>
      <c r="U46" s="656">
        <f t="shared" si="63"/>
        <v>1157.1500000000001</v>
      </c>
      <c r="V46" s="656">
        <f t="shared" si="63"/>
        <v>28742000</v>
      </c>
      <c r="W46" s="656">
        <f t="shared" si="63"/>
        <v>29377000</v>
      </c>
      <c r="X46" s="656">
        <f t="shared" si="63"/>
        <v>17050000</v>
      </c>
      <c r="Y46" s="656">
        <f t="shared" si="63"/>
        <v>3236000</v>
      </c>
      <c r="Z46" s="656">
        <f t="shared" si="63"/>
        <v>891</v>
      </c>
      <c r="AA46" s="656">
        <f t="shared" si="63"/>
        <v>1485000</v>
      </c>
      <c r="AB46" s="656">
        <f t="shared" si="63"/>
        <v>48</v>
      </c>
      <c r="AC46" s="656">
        <f t="shared" si="63"/>
        <v>3745000</v>
      </c>
      <c r="AD46" s="656">
        <f t="shared" si="63"/>
        <v>452</v>
      </c>
      <c r="AE46" s="656">
        <f t="shared" si="63"/>
        <v>4545000</v>
      </c>
      <c r="AF46" s="656">
        <f t="shared" si="63"/>
        <v>1914</v>
      </c>
      <c r="AG46" s="656">
        <f t="shared" si="63"/>
        <v>3970000</v>
      </c>
      <c r="AH46" s="656">
        <f t="shared" si="63"/>
        <v>1019</v>
      </c>
      <c r="AI46" s="656">
        <f t="shared" si="63"/>
        <v>1045000</v>
      </c>
      <c r="AJ46" s="656">
        <f t="shared" si="63"/>
        <v>43</v>
      </c>
      <c r="AK46" s="656">
        <f t="shared" si="63"/>
        <v>9645000</v>
      </c>
      <c r="AL46" s="656">
        <f t="shared" si="63"/>
        <v>23</v>
      </c>
      <c r="AM46" s="656">
        <f t="shared" si="63"/>
        <v>3195000</v>
      </c>
      <c r="AN46" s="656">
        <f t="shared" si="63"/>
        <v>285</v>
      </c>
      <c r="AO46" s="656">
        <f t="shared" si="63"/>
        <v>1920000</v>
      </c>
      <c r="AP46" s="656">
        <f t="shared" si="63"/>
        <v>446</v>
      </c>
      <c r="AQ46" s="656">
        <f t="shared" si="63"/>
        <v>2195000</v>
      </c>
      <c r="AR46" s="656">
        <f t="shared" si="63"/>
        <v>2713</v>
      </c>
      <c r="AS46" s="656">
        <f t="shared" si="63"/>
        <v>6195000</v>
      </c>
      <c r="AT46" s="656">
        <f t="shared" si="63"/>
        <v>672</v>
      </c>
      <c r="AU46" s="656">
        <f t="shared" si="63"/>
        <v>8445000</v>
      </c>
      <c r="AV46" s="656">
        <f t="shared" si="63"/>
        <v>512</v>
      </c>
      <c r="AW46" s="656">
        <f t="shared" si="63"/>
        <v>7245000</v>
      </c>
      <c r="AX46" s="656">
        <f t="shared" si="63"/>
        <v>766</v>
      </c>
      <c r="AY46" s="656">
        <f t="shared" si="63"/>
        <v>3595000</v>
      </c>
      <c r="AZ46" s="656">
        <f t="shared" si="63"/>
        <v>519</v>
      </c>
      <c r="BA46" s="656">
        <f t="shared" si="63"/>
        <v>1295000</v>
      </c>
      <c r="BB46" s="656">
        <f t="shared" si="63"/>
        <v>38</v>
      </c>
      <c r="BC46" s="656">
        <f t="shared" si="63"/>
        <v>8195000</v>
      </c>
      <c r="BD46" s="656">
        <f t="shared" si="63"/>
        <v>696</v>
      </c>
      <c r="BE46" s="656">
        <f t="shared" si="63"/>
        <v>4895000</v>
      </c>
      <c r="BF46" s="656">
        <f t="shared" si="63"/>
        <v>2058</v>
      </c>
      <c r="BG46" s="656">
        <f t="shared" si="63"/>
        <v>6795000</v>
      </c>
      <c r="BH46" s="656">
        <f t="shared" si="63"/>
        <v>0</v>
      </c>
      <c r="BI46" s="656">
        <f t="shared" si="63"/>
        <v>0</v>
      </c>
      <c r="BJ46" s="656">
        <f t="shared" ref="BJ46:BK46" si="64">BJ37+BJ20+BJ45</f>
        <v>13095</v>
      </c>
      <c r="BK46" s="656">
        <f t="shared" si="64"/>
        <v>78405000</v>
      </c>
      <c r="BL46" s="666"/>
      <c r="BN46" s="353">
        <f t="shared" ref="BN46:BV46" si="65">BN45+BN37+BN20</f>
        <v>0</v>
      </c>
      <c r="BO46" s="353">
        <f t="shared" si="65"/>
        <v>0</v>
      </c>
      <c r="BP46" s="353">
        <f t="shared" si="65"/>
        <v>78405000</v>
      </c>
      <c r="BQ46" s="353">
        <f t="shared" si="65"/>
        <v>0</v>
      </c>
      <c r="BR46" s="353">
        <f t="shared" si="65"/>
        <v>78405000</v>
      </c>
      <c r="BS46" s="353">
        <f t="shared" si="65"/>
        <v>0</v>
      </c>
      <c r="BT46" s="353">
        <f t="shared" si="65"/>
        <v>0</v>
      </c>
      <c r="BU46" s="353">
        <f t="shared" si="65"/>
        <v>0</v>
      </c>
      <c r="BV46" s="353">
        <f t="shared" si="65"/>
        <v>78405000</v>
      </c>
    </row>
    <row r="48" spans="1:74" x14ac:dyDescent="0.25">
      <c r="G48" s="625">
        <f>G46-BK46</f>
        <v>0</v>
      </c>
      <c r="H48" s="625"/>
    </row>
    <row r="50" spans="22:22" x14ac:dyDescent="0.25">
      <c r="V50" s="361">
        <f>SUM(V46:Y46)</f>
        <v>78405000</v>
      </c>
    </row>
    <row r="51" spans="22:22" x14ac:dyDescent="0.25">
      <c r="V51" s="361">
        <f>G46-V50</f>
        <v>0</v>
      </c>
    </row>
  </sheetData>
  <mergeCells count="36">
    <mergeCell ref="C1:Q1"/>
    <mergeCell ref="C2:Q2"/>
    <mergeCell ref="C3:Q3"/>
    <mergeCell ref="AF7:AG8"/>
    <mergeCell ref="AB7:AC8"/>
    <mergeCell ref="AD7:AE8"/>
    <mergeCell ref="A7:D7"/>
    <mergeCell ref="E7:G7"/>
    <mergeCell ref="H7:Q7"/>
    <mergeCell ref="A8:A9"/>
    <mergeCell ref="C8:C9"/>
    <mergeCell ref="D8:D9"/>
    <mergeCell ref="G8:G9"/>
    <mergeCell ref="B9:B10"/>
    <mergeCell ref="BV8:BV9"/>
    <mergeCell ref="BF7:BG8"/>
    <mergeCell ref="BH7:BI8"/>
    <mergeCell ref="BJ7:BK8"/>
    <mergeCell ref="BL7:BL9"/>
    <mergeCell ref="BN8:BR8"/>
    <mergeCell ref="BS8:BU8"/>
    <mergeCell ref="BB7:BC8"/>
    <mergeCell ref="BD7:BE8"/>
    <mergeCell ref="R7:U8"/>
    <mergeCell ref="V7:Y8"/>
    <mergeCell ref="Z7:AA8"/>
    <mergeCell ref="AJ7:AK8"/>
    <mergeCell ref="AL7:AM8"/>
    <mergeCell ref="AN7:AO8"/>
    <mergeCell ref="AP7:AQ8"/>
    <mergeCell ref="AT7:AU8"/>
    <mergeCell ref="AR7:AS8"/>
    <mergeCell ref="AV7:AW8"/>
    <mergeCell ref="AX7:AY8"/>
    <mergeCell ref="AZ7:BA8"/>
    <mergeCell ref="AH7:AI8"/>
  </mergeCells>
  <phoneticPr fontId="28" type="noConversion"/>
  <pageMargins left="0.67" right="0" top="0.17" bottom="0.25" header="0.2" footer="0.05"/>
  <pageSetup paperSize="9" scale="10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00B0F0"/>
    <pageSetUpPr fitToPage="1"/>
  </sheetPr>
  <dimension ref="A1:BV94"/>
  <sheetViews>
    <sheetView zoomScale="80" zoomScaleNormal="80" workbookViewId="0">
      <pane xSplit="7" ySplit="9" topLeftCell="H76" activePane="bottomRight" state="frozen"/>
      <selection activeCell="A4" sqref="A4"/>
      <selection pane="topRight" activeCell="H4" sqref="H4"/>
      <selection pane="bottomLeft" activeCell="A10" sqref="A10"/>
      <selection pane="bottomRight" activeCell="H99" sqref="H99"/>
    </sheetView>
  </sheetViews>
  <sheetFormatPr defaultColWidth="15.28515625" defaultRowHeight="15.75" x14ac:dyDescent="0.25"/>
  <cols>
    <col min="1" max="1" width="11.28515625" style="318" customWidth="1"/>
    <col min="2" max="2" width="11.42578125" style="318" customWidth="1"/>
    <col min="3" max="3" width="39.140625" style="318" customWidth="1"/>
    <col min="4" max="4" width="15.28515625" style="318" customWidth="1"/>
    <col min="5" max="5" width="16.28515625" style="9" customWidth="1"/>
    <col min="6" max="6" width="12.28515625" style="318" customWidth="1"/>
    <col min="7" max="7" width="17.140625" style="318" customWidth="1"/>
    <col min="8" max="8" width="16.5703125" style="318" bestFit="1" customWidth="1"/>
    <col min="9" max="9" width="20.140625" style="318" customWidth="1"/>
    <col min="10" max="10" width="11.7109375" style="318" customWidth="1"/>
    <col min="11" max="11" width="6.42578125" style="318" customWidth="1"/>
    <col min="12" max="12" width="7.28515625" style="318" customWidth="1"/>
    <col min="13" max="13" width="6.28515625" style="318" customWidth="1"/>
    <col min="14" max="14" width="6" style="318" customWidth="1"/>
    <col min="15" max="15" width="7.85546875" style="318" customWidth="1"/>
    <col min="16" max="16" width="12.28515625" style="318" customWidth="1"/>
    <col min="17" max="17" width="11.42578125" style="318" customWidth="1"/>
    <col min="18" max="18" width="8.28515625" style="318" customWidth="1"/>
    <col min="19" max="19" width="9.140625" style="318" customWidth="1"/>
    <col min="20" max="20" width="9" style="318" customWidth="1"/>
    <col min="21" max="21" width="9.85546875" style="318" customWidth="1"/>
    <col min="22" max="22" width="19.42578125" style="318" customWidth="1"/>
    <col min="23" max="23" width="18.140625" style="318" customWidth="1"/>
    <col min="24" max="24" width="15.85546875" style="318" customWidth="1"/>
    <col min="25" max="25" width="15.7109375" style="318" customWidth="1"/>
    <col min="26" max="60" width="15.28515625" style="318" customWidth="1"/>
    <col min="61" max="61" width="17.28515625" style="318" customWidth="1"/>
    <col min="62" max="62" width="15.28515625" style="318" customWidth="1"/>
    <col min="63" max="63" width="15.42578125" style="318" customWidth="1"/>
    <col min="64" max="64" width="21.42578125" style="318" customWidth="1"/>
    <col min="65" max="65" width="5" style="318" customWidth="1"/>
    <col min="66" max="66" width="7.7109375" style="318" bestFit="1" customWidth="1"/>
    <col min="67" max="67" width="14.42578125" style="318" customWidth="1"/>
    <col min="68" max="68" width="17.28515625" style="318" bestFit="1" customWidth="1"/>
    <col min="69" max="69" width="9.7109375" style="318" customWidth="1"/>
    <col min="70" max="70" width="17.7109375" style="318" bestFit="1" customWidth="1"/>
    <col min="71" max="73" width="17" style="318" bestFit="1" customWidth="1"/>
    <col min="74" max="74" width="16.7109375" style="318" customWidth="1"/>
    <col min="75" max="16384" width="15.28515625" style="318"/>
  </cols>
  <sheetData>
    <row r="1" spans="1:74" x14ac:dyDescent="0.25">
      <c r="C1" s="318" t="s">
        <v>966</v>
      </c>
      <c r="Q1" s="318" t="s">
        <v>558</v>
      </c>
    </row>
    <row r="2" spans="1:74" x14ac:dyDescent="0.25">
      <c r="A2" s="959" t="s">
        <v>158</v>
      </c>
      <c r="B2" s="959"/>
      <c r="C2" s="317" t="s">
        <v>152</v>
      </c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</row>
    <row r="3" spans="1:74" x14ac:dyDescent="0.25">
      <c r="A3" s="959" t="s">
        <v>154</v>
      </c>
      <c r="B3" s="959"/>
      <c r="C3" s="317" t="s">
        <v>153</v>
      </c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</row>
    <row r="4" spans="1:74" x14ac:dyDescent="0.25">
      <c r="A4" s="959" t="s">
        <v>155</v>
      </c>
      <c r="B4" s="959"/>
      <c r="C4" s="317" t="s">
        <v>1174</v>
      </c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</row>
    <row r="5" spans="1:74" x14ac:dyDescent="0.25">
      <c r="A5" s="317" t="s">
        <v>161</v>
      </c>
      <c r="B5" s="317"/>
      <c r="C5" s="317" t="s">
        <v>159</v>
      </c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</row>
    <row r="6" spans="1:74" x14ac:dyDescent="0.25">
      <c r="A6" s="959" t="s">
        <v>163</v>
      </c>
      <c r="B6" s="959"/>
      <c r="C6" s="667" t="s">
        <v>162</v>
      </c>
      <c r="D6" s="667"/>
      <c r="E6" s="667"/>
      <c r="F6" s="667"/>
      <c r="G6" s="667"/>
      <c r="H6" s="667"/>
      <c r="I6" s="667"/>
      <c r="J6" s="667"/>
      <c r="K6" s="667"/>
      <c r="L6" s="667"/>
      <c r="M6" s="667"/>
      <c r="N6" s="667"/>
      <c r="O6" s="667"/>
      <c r="P6" s="667"/>
      <c r="Q6" s="667"/>
      <c r="R6" s="317"/>
      <c r="S6" s="317"/>
      <c r="T6" s="317"/>
      <c r="U6" s="317"/>
      <c r="V6" s="317"/>
      <c r="W6" s="317"/>
      <c r="X6" s="317"/>
      <c r="Y6" s="317"/>
    </row>
    <row r="7" spans="1:74" x14ac:dyDescent="0.25">
      <c r="A7" s="960"/>
      <c r="B7" s="960"/>
      <c r="C7" s="960"/>
      <c r="D7" s="960"/>
      <c r="E7" s="948" t="s">
        <v>197</v>
      </c>
      <c r="F7" s="949"/>
      <c r="G7" s="950"/>
      <c r="H7" s="837" t="s">
        <v>151</v>
      </c>
      <c r="I7" s="838"/>
      <c r="J7" s="838"/>
      <c r="K7" s="838"/>
      <c r="L7" s="838"/>
      <c r="M7" s="838"/>
      <c r="N7" s="838"/>
      <c r="O7" s="838"/>
      <c r="P7" s="838"/>
      <c r="Q7" s="839"/>
      <c r="R7" s="940" t="s">
        <v>62</v>
      </c>
      <c r="S7" s="941"/>
      <c r="T7" s="941"/>
      <c r="U7" s="942"/>
      <c r="V7" s="953" t="s">
        <v>6</v>
      </c>
      <c r="W7" s="954"/>
      <c r="X7" s="954"/>
      <c r="Y7" s="955"/>
      <c r="Z7" s="863" t="s">
        <v>179</v>
      </c>
      <c r="AA7" s="863"/>
      <c r="AB7" s="863" t="s">
        <v>180</v>
      </c>
      <c r="AC7" s="863"/>
      <c r="AD7" s="863" t="s">
        <v>181</v>
      </c>
      <c r="AE7" s="863"/>
      <c r="AF7" s="863" t="s">
        <v>182</v>
      </c>
      <c r="AG7" s="863"/>
      <c r="AH7" s="863" t="s">
        <v>183</v>
      </c>
      <c r="AI7" s="863"/>
      <c r="AJ7" s="863" t="s">
        <v>184</v>
      </c>
      <c r="AK7" s="863"/>
      <c r="AL7" s="863" t="s">
        <v>185</v>
      </c>
      <c r="AM7" s="863"/>
      <c r="AN7" s="863" t="s">
        <v>186</v>
      </c>
      <c r="AO7" s="863"/>
      <c r="AP7" s="863" t="s">
        <v>187</v>
      </c>
      <c r="AQ7" s="863"/>
      <c r="AR7" s="863" t="s">
        <v>188</v>
      </c>
      <c r="AS7" s="863"/>
      <c r="AT7" s="863" t="s">
        <v>189</v>
      </c>
      <c r="AU7" s="863"/>
      <c r="AV7" s="863" t="s">
        <v>190</v>
      </c>
      <c r="AW7" s="863"/>
      <c r="AX7" s="863" t="s">
        <v>191</v>
      </c>
      <c r="AY7" s="863"/>
      <c r="AZ7" s="863" t="s">
        <v>192</v>
      </c>
      <c r="BA7" s="863"/>
      <c r="BB7" s="863" t="s">
        <v>193</v>
      </c>
      <c r="BC7" s="863"/>
      <c r="BD7" s="863" t="s">
        <v>194</v>
      </c>
      <c r="BE7" s="863"/>
      <c r="BF7" s="863" t="s">
        <v>195</v>
      </c>
      <c r="BG7" s="863"/>
      <c r="BH7" s="863" t="s">
        <v>196</v>
      </c>
      <c r="BI7" s="863"/>
      <c r="BJ7" s="863" t="s">
        <v>17</v>
      </c>
      <c r="BK7" s="932"/>
      <c r="BL7" s="825" t="s">
        <v>229</v>
      </c>
    </row>
    <row r="8" spans="1:74" x14ac:dyDescent="0.25">
      <c r="A8" s="851" t="s">
        <v>13</v>
      </c>
      <c r="B8" s="668" t="s">
        <v>1</v>
      </c>
      <c r="C8" s="946" t="s">
        <v>12</v>
      </c>
      <c r="D8" s="946" t="s">
        <v>14</v>
      </c>
      <c r="E8" s="938" t="s">
        <v>28</v>
      </c>
      <c r="F8" s="951" t="s">
        <v>26</v>
      </c>
      <c r="G8" s="847" t="s">
        <v>27</v>
      </c>
      <c r="H8" s="332" t="s">
        <v>199</v>
      </c>
      <c r="I8" s="332" t="s">
        <v>200</v>
      </c>
      <c r="J8" s="332" t="s">
        <v>201</v>
      </c>
      <c r="K8" s="332" t="s">
        <v>202</v>
      </c>
      <c r="L8" s="332" t="s">
        <v>203</v>
      </c>
      <c r="M8" s="332" t="s">
        <v>204</v>
      </c>
      <c r="N8" s="332" t="s">
        <v>889</v>
      </c>
      <c r="O8" s="332" t="s">
        <v>205</v>
      </c>
      <c r="P8" s="332" t="s">
        <v>206</v>
      </c>
      <c r="Q8" s="332" t="s">
        <v>740</v>
      </c>
      <c r="R8" s="943"/>
      <c r="S8" s="944"/>
      <c r="T8" s="944"/>
      <c r="U8" s="945"/>
      <c r="V8" s="956"/>
      <c r="W8" s="957"/>
      <c r="X8" s="957"/>
      <c r="Y8" s="958"/>
      <c r="Z8" s="863"/>
      <c r="AA8" s="863"/>
      <c r="AB8" s="863" t="s">
        <v>43</v>
      </c>
      <c r="AC8" s="863"/>
      <c r="AD8" s="863" t="s">
        <v>44</v>
      </c>
      <c r="AE8" s="863"/>
      <c r="AF8" s="863" t="s">
        <v>45</v>
      </c>
      <c r="AG8" s="863"/>
      <c r="AH8" s="863" t="s">
        <v>46</v>
      </c>
      <c r="AI8" s="863"/>
      <c r="AJ8" s="863" t="s">
        <v>47</v>
      </c>
      <c r="AK8" s="863"/>
      <c r="AL8" s="863" t="s">
        <v>48</v>
      </c>
      <c r="AM8" s="863"/>
      <c r="AN8" s="863" t="s">
        <v>49</v>
      </c>
      <c r="AO8" s="863"/>
      <c r="AP8" s="863" t="s">
        <v>50</v>
      </c>
      <c r="AQ8" s="863"/>
      <c r="AR8" s="863" t="s">
        <v>51</v>
      </c>
      <c r="AS8" s="863"/>
      <c r="AT8" s="863" t="s">
        <v>52</v>
      </c>
      <c r="AU8" s="863"/>
      <c r="AV8" s="863" t="s">
        <v>53</v>
      </c>
      <c r="AW8" s="863"/>
      <c r="AX8" s="863" t="s">
        <v>54</v>
      </c>
      <c r="AY8" s="863"/>
      <c r="AZ8" s="863" t="s">
        <v>55</v>
      </c>
      <c r="BA8" s="863"/>
      <c r="BB8" s="863" t="s">
        <v>40</v>
      </c>
      <c r="BC8" s="863"/>
      <c r="BD8" s="863" t="s">
        <v>37</v>
      </c>
      <c r="BE8" s="863"/>
      <c r="BF8" s="863"/>
      <c r="BG8" s="863"/>
      <c r="BH8" s="863"/>
      <c r="BI8" s="863"/>
      <c r="BJ8" s="863"/>
      <c r="BK8" s="932"/>
      <c r="BL8" s="825"/>
      <c r="BN8" s="830" t="s">
        <v>227</v>
      </c>
      <c r="BO8" s="830"/>
      <c r="BP8" s="830"/>
      <c r="BQ8" s="830"/>
      <c r="BR8" s="830"/>
      <c r="BS8" s="830" t="s">
        <v>228</v>
      </c>
      <c r="BT8" s="830"/>
      <c r="BU8" s="831"/>
      <c r="BV8" s="825" t="s">
        <v>17</v>
      </c>
    </row>
    <row r="9" spans="1:74" ht="47.25" x14ac:dyDescent="0.25">
      <c r="A9" s="852"/>
      <c r="B9" s="668" t="s">
        <v>2</v>
      </c>
      <c r="C9" s="947"/>
      <c r="D9" s="947"/>
      <c r="E9" s="939"/>
      <c r="F9" s="952"/>
      <c r="G9" s="847"/>
      <c r="H9" s="669"/>
      <c r="I9" s="669"/>
      <c r="J9" s="669">
        <v>0</v>
      </c>
      <c r="K9" s="669">
        <v>0</v>
      </c>
      <c r="L9" s="669">
        <v>0</v>
      </c>
      <c r="M9" s="669">
        <v>0</v>
      </c>
      <c r="N9" s="669">
        <v>0</v>
      </c>
      <c r="O9" s="669">
        <v>0</v>
      </c>
      <c r="P9" s="669">
        <v>0</v>
      </c>
      <c r="Q9" s="669">
        <v>0</v>
      </c>
      <c r="R9" s="668" t="s">
        <v>7</v>
      </c>
      <c r="S9" s="668" t="s">
        <v>8</v>
      </c>
      <c r="T9" s="668" t="s">
        <v>9</v>
      </c>
      <c r="U9" s="668" t="s">
        <v>10</v>
      </c>
      <c r="V9" s="668" t="s">
        <v>7</v>
      </c>
      <c r="W9" s="668" t="s">
        <v>8</v>
      </c>
      <c r="X9" s="668" t="s">
        <v>9</v>
      </c>
      <c r="Y9" s="668" t="s">
        <v>10</v>
      </c>
      <c r="Z9" s="633" t="s">
        <v>14</v>
      </c>
      <c r="AA9" s="634" t="s">
        <v>15</v>
      </c>
      <c r="AB9" s="635" t="s">
        <v>14</v>
      </c>
      <c r="AC9" s="635" t="s">
        <v>15</v>
      </c>
      <c r="AD9" s="635" t="s">
        <v>14</v>
      </c>
      <c r="AE9" s="635" t="s">
        <v>15</v>
      </c>
      <c r="AF9" s="635" t="s">
        <v>14</v>
      </c>
      <c r="AG9" s="635" t="s">
        <v>15</v>
      </c>
      <c r="AH9" s="635" t="s">
        <v>14</v>
      </c>
      <c r="AI9" s="635" t="s">
        <v>15</v>
      </c>
      <c r="AJ9" s="635" t="s">
        <v>14</v>
      </c>
      <c r="AK9" s="635" t="s">
        <v>15</v>
      </c>
      <c r="AL9" s="635" t="s">
        <v>14</v>
      </c>
      <c r="AM9" s="635" t="s">
        <v>15</v>
      </c>
      <c r="AN9" s="635" t="s">
        <v>14</v>
      </c>
      <c r="AO9" s="635" t="s">
        <v>15</v>
      </c>
      <c r="AP9" s="635" t="s">
        <v>14</v>
      </c>
      <c r="AQ9" s="635" t="s">
        <v>15</v>
      </c>
      <c r="AR9" s="635" t="s">
        <v>14</v>
      </c>
      <c r="AS9" s="635" t="s">
        <v>15</v>
      </c>
      <c r="AT9" s="635" t="s">
        <v>14</v>
      </c>
      <c r="AU9" s="635" t="s">
        <v>15</v>
      </c>
      <c r="AV9" s="635" t="s">
        <v>14</v>
      </c>
      <c r="AW9" s="635" t="s">
        <v>15</v>
      </c>
      <c r="AX9" s="635" t="s">
        <v>14</v>
      </c>
      <c r="AY9" s="635" t="s">
        <v>15</v>
      </c>
      <c r="AZ9" s="635" t="s">
        <v>14</v>
      </c>
      <c r="BA9" s="635" t="s">
        <v>15</v>
      </c>
      <c r="BB9" s="635" t="s">
        <v>14</v>
      </c>
      <c r="BC9" s="635" t="s">
        <v>15</v>
      </c>
      <c r="BD9" s="635" t="s">
        <v>14</v>
      </c>
      <c r="BE9" s="635" t="s">
        <v>15</v>
      </c>
      <c r="BF9" s="635" t="s">
        <v>14</v>
      </c>
      <c r="BG9" s="635" t="s">
        <v>15</v>
      </c>
      <c r="BH9" s="635" t="s">
        <v>14</v>
      </c>
      <c r="BI9" s="635" t="s">
        <v>15</v>
      </c>
      <c r="BJ9" s="635" t="s">
        <v>14</v>
      </c>
      <c r="BK9" s="636" t="s">
        <v>15</v>
      </c>
      <c r="BL9" s="825"/>
      <c r="BN9" s="332" t="s">
        <v>218</v>
      </c>
      <c r="BO9" s="333" t="s">
        <v>219</v>
      </c>
      <c r="BP9" s="333" t="s">
        <v>220</v>
      </c>
      <c r="BQ9" s="334" t="s">
        <v>221</v>
      </c>
      <c r="BR9" s="333" t="s">
        <v>222</v>
      </c>
      <c r="BS9" s="333" t="s">
        <v>223</v>
      </c>
      <c r="BT9" s="333" t="s">
        <v>224</v>
      </c>
      <c r="BU9" s="670" t="s">
        <v>225</v>
      </c>
      <c r="BV9" s="825"/>
    </row>
    <row r="10" spans="1:74" x14ac:dyDescent="0.25">
      <c r="A10" s="428"/>
      <c r="B10" s="408"/>
      <c r="C10" s="335" t="s">
        <v>314</v>
      </c>
      <c r="D10" s="336"/>
      <c r="E10" s="336"/>
      <c r="F10" s="322"/>
      <c r="G10" s="639"/>
      <c r="H10" s="639"/>
      <c r="I10" s="639"/>
      <c r="J10" s="639"/>
      <c r="K10" s="639"/>
      <c r="L10" s="639"/>
      <c r="M10" s="639"/>
      <c r="N10" s="639"/>
      <c r="O10" s="671"/>
      <c r="P10" s="671"/>
      <c r="Q10" s="671"/>
      <c r="R10" s="672"/>
      <c r="S10" s="655"/>
      <c r="T10" s="672"/>
      <c r="U10" s="672"/>
      <c r="V10" s="672"/>
      <c r="W10" s="322"/>
      <c r="X10" s="668"/>
      <c r="Y10" s="668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2"/>
      <c r="AO10" s="322"/>
      <c r="AP10" s="322"/>
      <c r="AQ10" s="322"/>
      <c r="AR10" s="322"/>
      <c r="AS10" s="322"/>
      <c r="AT10" s="322"/>
      <c r="AU10" s="322"/>
      <c r="AV10" s="322"/>
      <c r="AW10" s="322"/>
      <c r="AX10" s="322"/>
      <c r="AY10" s="322"/>
      <c r="AZ10" s="322"/>
      <c r="BA10" s="322"/>
      <c r="BB10" s="322"/>
      <c r="BC10" s="322"/>
      <c r="BD10" s="322"/>
      <c r="BE10" s="322"/>
      <c r="BF10" s="322"/>
      <c r="BG10" s="322"/>
      <c r="BH10" s="322"/>
      <c r="BI10" s="322"/>
      <c r="BJ10" s="322"/>
      <c r="BK10" s="322"/>
      <c r="BL10" s="336"/>
      <c r="BN10" s="340"/>
      <c r="BO10" s="340"/>
      <c r="BP10" s="340"/>
      <c r="BQ10" s="340"/>
      <c r="BR10" s="340"/>
      <c r="BS10" s="340"/>
      <c r="BT10" s="340"/>
      <c r="BU10" s="652"/>
      <c r="BV10" s="341">
        <f>BR10+BU10</f>
        <v>0</v>
      </c>
    </row>
    <row r="11" spans="1:74" x14ac:dyDescent="0.25">
      <c r="A11" s="428"/>
      <c r="B11" s="382"/>
      <c r="C11" s="335" t="s">
        <v>366</v>
      </c>
      <c r="D11" s="336"/>
      <c r="E11" s="336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/>
      <c r="BE11" s="322"/>
      <c r="BF11" s="322"/>
      <c r="BG11" s="322"/>
      <c r="BH11" s="322"/>
      <c r="BI11" s="322"/>
      <c r="BJ11" s="322"/>
      <c r="BK11" s="322"/>
      <c r="BL11" s="336"/>
      <c r="BN11" s="340"/>
      <c r="BO11" s="340"/>
      <c r="BP11" s="340"/>
      <c r="BQ11" s="340"/>
      <c r="BR11" s="340"/>
      <c r="BS11" s="340"/>
      <c r="BT11" s="340"/>
      <c r="BU11" s="652"/>
      <c r="BV11" s="341">
        <f t="shared" ref="BV11:BV78" si="0">BR11+BU11</f>
        <v>0</v>
      </c>
    </row>
    <row r="12" spans="1:74" x14ac:dyDescent="0.25">
      <c r="A12" s="428"/>
      <c r="B12" s="269" t="s">
        <v>1008</v>
      </c>
      <c r="C12" s="342" t="s">
        <v>308</v>
      </c>
      <c r="D12" s="336" t="s">
        <v>65</v>
      </c>
      <c r="E12" s="343">
        <v>400000</v>
      </c>
      <c r="F12" s="322">
        <f>BJ12</f>
        <v>12</v>
      </c>
      <c r="G12" s="673">
        <f>F12*E12</f>
        <v>4800000</v>
      </c>
      <c r="H12" s="673">
        <f>G12*0.5</f>
        <v>2400000</v>
      </c>
      <c r="I12" s="673">
        <f>G12*0.5</f>
        <v>2400000</v>
      </c>
      <c r="J12" s="673"/>
      <c r="K12" s="673"/>
      <c r="L12" s="673"/>
      <c r="M12" s="673"/>
      <c r="N12" s="673"/>
      <c r="O12" s="338"/>
      <c r="P12" s="338"/>
      <c r="Q12" s="338"/>
      <c r="R12" s="322">
        <f>F12*0.25</f>
        <v>3</v>
      </c>
      <c r="S12" s="322">
        <f>F12*0.25</f>
        <v>3</v>
      </c>
      <c r="T12" s="322">
        <f>F12*0.25</f>
        <v>3</v>
      </c>
      <c r="U12" s="322">
        <f>F12*0.25</f>
        <v>3</v>
      </c>
      <c r="V12" s="341">
        <f>R12*E12</f>
        <v>1200000</v>
      </c>
      <c r="W12" s="341">
        <f>S12*E12</f>
        <v>1200000</v>
      </c>
      <c r="X12" s="341">
        <f>T12*E12</f>
        <v>1200000</v>
      </c>
      <c r="Y12" s="341">
        <f>U12*E12</f>
        <v>1200000</v>
      </c>
      <c r="Z12" s="322"/>
      <c r="AA12" s="341"/>
      <c r="AB12" s="322"/>
      <c r="AC12" s="341"/>
      <c r="AD12" s="322"/>
      <c r="AE12" s="341"/>
      <c r="AF12" s="322"/>
      <c r="AG12" s="341"/>
      <c r="AH12" s="322"/>
      <c r="AI12" s="341"/>
      <c r="AJ12" s="322"/>
      <c r="AK12" s="341"/>
      <c r="AL12" s="322"/>
      <c r="AM12" s="341"/>
      <c r="AN12" s="322"/>
      <c r="AO12" s="341"/>
      <c r="AP12" s="322"/>
      <c r="AQ12" s="341"/>
      <c r="AR12" s="322"/>
      <c r="AS12" s="341"/>
      <c r="AT12" s="322"/>
      <c r="AU12" s="341"/>
      <c r="AV12" s="322"/>
      <c r="AW12" s="341"/>
      <c r="AX12" s="322"/>
      <c r="AY12" s="341"/>
      <c r="AZ12" s="322"/>
      <c r="BA12" s="341"/>
      <c r="BB12" s="322"/>
      <c r="BC12" s="341"/>
      <c r="BD12" s="322"/>
      <c r="BE12" s="341"/>
      <c r="BF12" s="322"/>
      <c r="BG12" s="341"/>
      <c r="BH12" s="322">
        <v>12</v>
      </c>
      <c r="BI12" s="341">
        <f>BH12*E12</f>
        <v>4800000</v>
      </c>
      <c r="BJ12" s="322">
        <f t="shared" ref="BJ12:BJ24" si="1">BH12</f>
        <v>12</v>
      </c>
      <c r="BK12" s="322">
        <f t="shared" ref="BK12:BK24" si="2">BI12</f>
        <v>4800000</v>
      </c>
      <c r="BL12" s="336" t="s">
        <v>211</v>
      </c>
      <c r="BN12" s="340"/>
      <c r="BO12" s="340"/>
      <c r="BP12" s="340"/>
      <c r="BQ12" s="340"/>
      <c r="BR12" s="340">
        <f>BN12+BO12+BP12+BQ12</f>
        <v>0</v>
      </c>
      <c r="BS12" s="340"/>
      <c r="BT12" s="340">
        <f>BK12</f>
        <v>4800000</v>
      </c>
      <c r="BU12" s="652">
        <f>BS12+BT12</f>
        <v>4800000</v>
      </c>
      <c r="BV12" s="341">
        <f t="shared" si="0"/>
        <v>4800000</v>
      </c>
    </row>
    <row r="13" spans="1:74" x14ac:dyDescent="0.25">
      <c r="A13" s="428"/>
      <c r="B13" s="269" t="s">
        <v>1009</v>
      </c>
      <c r="C13" s="342" t="s">
        <v>309</v>
      </c>
      <c r="D13" s="336" t="s">
        <v>16</v>
      </c>
      <c r="E13" s="343">
        <v>150000</v>
      </c>
      <c r="F13" s="322">
        <f>BJ13</f>
        <v>0</v>
      </c>
      <c r="G13" s="673">
        <f t="shared" ref="G13:G24" si="3">F13*E13</f>
        <v>0</v>
      </c>
      <c r="H13" s="673">
        <f t="shared" ref="H13:H23" si="4">G13*0.2</f>
        <v>0</v>
      </c>
      <c r="I13" s="673">
        <f t="shared" ref="I13:I23" si="5">G13*0.8</f>
        <v>0</v>
      </c>
      <c r="J13" s="673"/>
      <c r="K13" s="673"/>
      <c r="L13" s="673"/>
      <c r="M13" s="673"/>
      <c r="N13" s="673"/>
      <c r="O13" s="338"/>
      <c r="P13" s="338"/>
      <c r="Q13" s="338"/>
      <c r="R13" s="322"/>
      <c r="S13" s="322">
        <f>F13</f>
        <v>0</v>
      </c>
      <c r="T13" s="322"/>
      <c r="U13" s="322"/>
      <c r="V13" s="341">
        <f t="shared" ref="V13:V24" si="6">R13*E13</f>
        <v>0</v>
      </c>
      <c r="W13" s="341">
        <f t="shared" ref="W13:W24" si="7">S13*E13</f>
        <v>0</v>
      </c>
      <c r="X13" s="341">
        <f t="shared" ref="X13:X24" si="8">T13*E13</f>
        <v>0</v>
      </c>
      <c r="Y13" s="341">
        <f t="shared" ref="Y13:Y24" si="9">U13*E13</f>
        <v>0</v>
      </c>
      <c r="Z13" s="322"/>
      <c r="AA13" s="341"/>
      <c r="AB13" s="322"/>
      <c r="AC13" s="341"/>
      <c r="AD13" s="322"/>
      <c r="AE13" s="341"/>
      <c r="AF13" s="322"/>
      <c r="AG13" s="341"/>
      <c r="AH13" s="322"/>
      <c r="AI13" s="341"/>
      <c r="AJ13" s="322"/>
      <c r="AK13" s="341"/>
      <c r="AL13" s="322"/>
      <c r="AM13" s="341"/>
      <c r="AN13" s="322"/>
      <c r="AO13" s="341"/>
      <c r="AP13" s="322"/>
      <c r="AQ13" s="341"/>
      <c r="AR13" s="322"/>
      <c r="AS13" s="341"/>
      <c r="AT13" s="322"/>
      <c r="AU13" s="341"/>
      <c r="AV13" s="322"/>
      <c r="AW13" s="341"/>
      <c r="AX13" s="322"/>
      <c r="AY13" s="341"/>
      <c r="AZ13" s="322"/>
      <c r="BA13" s="341"/>
      <c r="BB13" s="322"/>
      <c r="BC13" s="341"/>
      <c r="BD13" s="322"/>
      <c r="BE13" s="341"/>
      <c r="BF13" s="322"/>
      <c r="BG13" s="341"/>
      <c r="BH13" s="322">
        <v>0</v>
      </c>
      <c r="BI13" s="341">
        <f t="shared" ref="BI13:BI78" si="10">BH13*E13</f>
        <v>0</v>
      </c>
      <c r="BJ13" s="322">
        <f t="shared" si="1"/>
        <v>0</v>
      </c>
      <c r="BK13" s="322">
        <f t="shared" si="2"/>
        <v>0</v>
      </c>
      <c r="BL13" s="336" t="s">
        <v>209</v>
      </c>
      <c r="BN13" s="340"/>
      <c r="BO13" s="340"/>
      <c r="BP13" s="340">
        <f>BK13</f>
        <v>0</v>
      </c>
      <c r="BQ13" s="340"/>
      <c r="BR13" s="340">
        <f t="shared" ref="BR13:BR24" si="11">BN13+BO13+BP13+BQ13</f>
        <v>0</v>
      </c>
      <c r="BS13" s="340"/>
      <c r="BT13" s="340"/>
      <c r="BU13" s="652">
        <f t="shared" ref="BU13:BU24" si="12">BS13+BT13</f>
        <v>0</v>
      </c>
      <c r="BV13" s="341">
        <f t="shared" si="0"/>
        <v>0</v>
      </c>
    </row>
    <row r="14" spans="1:74" x14ac:dyDescent="0.25">
      <c r="A14" s="428"/>
      <c r="B14" s="269" t="s">
        <v>1010</v>
      </c>
      <c r="C14" s="342" t="s">
        <v>310</v>
      </c>
      <c r="D14" s="336" t="s">
        <v>100</v>
      </c>
      <c r="E14" s="654">
        <v>50000</v>
      </c>
      <c r="F14" s="322">
        <f>BJ14</f>
        <v>0</v>
      </c>
      <c r="G14" s="673">
        <f t="shared" si="3"/>
        <v>0</v>
      </c>
      <c r="H14" s="673">
        <f t="shared" si="4"/>
        <v>0</v>
      </c>
      <c r="I14" s="673">
        <f t="shared" si="5"/>
        <v>0</v>
      </c>
      <c r="J14" s="673"/>
      <c r="K14" s="673"/>
      <c r="L14" s="673"/>
      <c r="M14" s="673"/>
      <c r="N14" s="673"/>
      <c r="O14" s="338"/>
      <c r="P14" s="338"/>
      <c r="Q14" s="338"/>
      <c r="R14" s="322"/>
      <c r="S14" s="322">
        <f>F14</f>
        <v>0</v>
      </c>
      <c r="T14" s="322"/>
      <c r="U14" s="322"/>
      <c r="V14" s="341">
        <f t="shared" si="6"/>
        <v>0</v>
      </c>
      <c r="W14" s="341">
        <f t="shared" si="7"/>
        <v>0</v>
      </c>
      <c r="X14" s="341">
        <f t="shared" si="8"/>
        <v>0</v>
      </c>
      <c r="Y14" s="341">
        <f t="shared" si="9"/>
        <v>0</v>
      </c>
      <c r="Z14" s="322"/>
      <c r="AA14" s="341"/>
      <c r="AB14" s="322"/>
      <c r="AC14" s="341"/>
      <c r="AD14" s="322"/>
      <c r="AE14" s="341"/>
      <c r="AF14" s="322"/>
      <c r="AG14" s="341"/>
      <c r="AH14" s="322"/>
      <c r="AI14" s="341"/>
      <c r="AJ14" s="322"/>
      <c r="AK14" s="341"/>
      <c r="AL14" s="322"/>
      <c r="AM14" s="341"/>
      <c r="AN14" s="322"/>
      <c r="AO14" s="341"/>
      <c r="AP14" s="322"/>
      <c r="AQ14" s="341"/>
      <c r="AR14" s="322"/>
      <c r="AS14" s="341"/>
      <c r="AT14" s="322"/>
      <c r="AU14" s="341"/>
      <c r="AV14" s="322"/>
      <c r="AW14" s="341"/>
      <c r="AX14" s="322"/>
      <c r="AY14" s="341"/>
      <c r="AZ14" s="322"/>
      <c r="BA14" s="341"/>
      <c r="BB14" s="322"/>
      <c r="BC14" s="341"/>
      <c r="BD14" s="322"/>
      <c r="BE14" s="341"/>
      <c r="BF14" s="322"/>
      <c r="BG14" s="341"/>
      <c r="BH14" s="322">
        <v>0</v>
      </c>
      <c r="BI14" s="341">
        <f t="shared" si="10"/>
        <v>0</v>
      </c>
      <c r="BJ14" s="322">
        <f t="shared" si="1"/>
        <v>0</v>
      </c>
      <c r="BK14" s="322">
        <f t="shared" si="2"/>
        <v>0</v>
      </c>
      <c r="BL14" s="336" t="s">
        <v>209</v>
      </c>
      <c r="BN14" s="340"/>
      <c r="BO14" s="340"/>
      <c r="BP14" s="340">
        <f t="shared" ref="BP14:BP24" si="13">BK14</f>
        <v>0</v>
      </c>
      <c r="BQ14" s="340"/>
      <c r="BR14" s="340">
        <f t="shared" si="11"/>
        <v>0</v>
      </c>
      <c r="BS14" s="340"/>
      <c r="BT14" s="340"/>
      <c r="BU14" s="652">
        <f t="shared" si="12"/>
        <v>0</v>
      </c>
      <c r="BV14" s="341">
        <f t="shared" si="0"/>
        <v>0</v>
      </c>
    </row>
    <row r="15" spans="1:74" x14ac:dyDescent="0.25">
      <c r="A15" s="428"/>
      <c r="B15" s="269" t="s">
        <v>1011</v>
      </c>
      <c r="C15" s="342" t="s">
        <v>311</v>
      </c>
      <c r="D15" s="336" t="s">
        <v>100</v>
      </c>
      <c r="E15" s="343">
        <v>40000</v>
      </c>
      <c r="F15" s="322">
        <f t="shared" ref="F15:F24" si="14">BJ15</f>
        <v>0</v>
      </c>
      <c r="G15" s="673">
        <f t="shared" si="3"/>
        <v>0</v>
      </c>
      <c r="H15" s="673">
        <f t="shared" si="4"/>
        <v>0</v>
      </c>
      <c r="I15" s="673">
        <f t="shared" si="5"/>
        <v>0</v>
      </c>
      <c r="J15" s="673"/>
      <c r="K15" s="673"/>
      <c r="L15" s="673"/>
      <c r="M15" s="673"/>
      <c r="N15" s="673"/>
      <c r="O15" s="338"/>
      <c r="P15" s="338"/>
      <c r="Q15" s="338"/>
      <c r="R15" s="322"/>
      <c r="S15" s="322">
        <f t="shared" ref="S15:S24" si="15">F15</f>
        <v>0</v>
      </c>
      <c r="T15" s="322"/>
      <c r="U15" s="322"/>
      <c r="V15" s="341">
        <f t="shared" si="6"/>
        <v>0</v>
      </c>
      <c r="W15" s="341">
        <f t="shared" si="7"/>
        <v>0</v>
      </c>
      <c r="X15" s="341">
        <f t="shared" si="8"/>
        <v>0</v>
      </c>
      <c r="Y15" s="341">
        <f t="shared" si="9"/>
        <v>0</v>
      </c>
      <c r="Z15" s="322"/>
      <c r="AA15" s="341"/>
      <c r="AB15" s="322"/>
      <c r="AC15" s="341"/>
      <c r="AD15" s="322"/>
      <c r="AE15" s="341"/>
      <c r="AF15" s="322"/>
      <c r="AG15" s="341"/>
      <c r="AH15" s="322"/>
      <c r="AI15" s="341"/>
      <c r="AJ15" s="322"/>
      <c r="AK15" s="341"/>
      <c r="AL15" s="322"/>
      <c r="AM15" s="341"/>
      <c r="AN15" s="322"/>
      <c r="AO15" s="341"/>
      <c r="AP15" s="322"/>
      <c r="AQ15" s="341"/>
      <c r="AR15" s="322"/>
      <c r="AS15" s="341"/>
      <c r="AT15" s="322"/>
      <c r="AU15" s="341"/>
      <c r="AV15" s="322"/>
      <c r="AW15" s="341"/>
      <c r="AX15" s="322"/>
      <c r="AY15" s="341"/>
      <c r="AZ15" s="322"/>
      <c r="BA15" s="341"/>
      <c r="BB15" s="322"/>
      <c r="BC15" s="341"/>
      <c r="BD15" s="322"/>
      <c r="BE15" s="341"/>
      <c r="BF15" s="322"/>
      <c r="BG15" s="341"/>
      <c r="BH15" s="322">
        <v>0</v>
      </c>
      <c r="BI15" s="341">
        <f t="shared" si="10"/>
        <v>0</v>
      </c>
      <c r="BJ15" s="322">
        <f t="shared" si="1"/>
        <v>0</v>
      </c>
      <c r="BK15" s="322">
        <f t="shared" si="2"/>
        <v>0</v>
      </c>
      <c r="BL15" s="336" t="s">
        <v>209</v>
      </c>
      <c r="BN15" s="340"/>
      <c r="BO15" s="340"/>
      <c r="BP15" s="340">
        <f t="shared" si="13"/>
        <v>0</v>
      </c>
      <c r="BQ15" s="340"/>
      <c r="BR15" s="340">
        <f t="shared" si="11"/>
        <v>0</v>
      </c>
      <c r="BS15" s="340"/>
      <c r="BT15" s="340"/>
      <c r="BU15" s="652">
        <f t="shared" si="12"/>
        <v>0</v>
      </c>
      <c r="BV15" s="341">
        <f t="shared" si="0"/>
        <v>0</v>
      </c>
    </row>
    <row r="16" spans="1:74" x14ac:dyDescent="0.25">
      <c r="A16" s="428"/>
      <c r="B16" s="269" t="s">
        <v>1012</v>
      </c>
      <c r="C16" s="342" t="s">
        <v>666</v>
      </c>
      <c r="D16" s="336" t="s">
        <v>100</v>
      </c>
      <c r="E16" s="343">
        <v>250000</v>
      </c>
      <c r="F16" s="322">
        <f t="shared" si="14"/>
        <v>0</v>
      </c>
      <c r="G16" s="673">
        <f t="shared" si="3"/>
        <v>0</v>
      </c>
      <c r="H16" s="673">
        <f t="shared" si="4"/>
        <v>0</v>
      </c>
      <c r="I16" s="673">
        <f t="shared" si="5"/>
        <v>0</v>
      </c>
      <c r="J16" s="673"/>
      <c r="K16" s="673"/>
      <c r="L16" s="673"/>
      <c r="M16" s="673"/>
      <c r="N16" s="673"/>
      <c r="O16" s="338"/>
      <c r="P16" s="338"/>
      <c r="Q16" s="338"/>
      <c r="R16" s="322"/>
      <c r="S16" s="322"/>
      <c r="T16" s="322"/>
      <c r="U16" s="322"/>
      <c r="V16" s="341">
        <f t="shared" si="6"/>
        <v>0</v>
      </c>
      <c r="W16" s="341"/>
      <c r="X16" s="341">
        <f t="shared" si="8"/>
        <v>0</v>
      </c>
      <c r="Y16" s="341">
        <f t="shared" si="9"/>
        <v>0</v>
      </c>
      <c r="Z16" s="322"/>
      <c r="AA16" s="341"/>
      <c r="AB16" s="322"/>
      <c r="AC16" s="341"/>
      <c r="AD16" s="322"/>
      <c r="AE16" s="341"/>
      <c r="AF16" s="322"/>
      <c r="AG16" s="341"/>
      <c r="AH16" s="322"/>
      <c r="AI16" s="341"/>
      <c r="AJ16" s="322"/>
      <c r="AK16" s="341"/>
      <c r="AL16" s="322"/>
      <c r="AM16" s="341"/>
      <c r="AN16" s="322"/>
      <c r="AO16" s="341"/>
      <c r="AP16" s="322"/>
      <c r="AQ16" s="341"/>
      <c r="AR16" s="322"/>
      <c r="AS16" s="341"/>
      <c r="AT16" s="322"/>
      <c r="AU16" s="341"/>
      <c r="AV16" s="322"/>
      <c r="AW16" s="341"/>
      <c r="AX16" s="322"/>
      <c r="AY16" s="341"/>
      <c r="AZ16" s="322"/>
      <c r="BA16" s="341"/>
      <c r="BB16" s="322"/>
      <c r="BC16" s="341"/>
      <c r="BD16" s="322"/>
      <c r="BE16" s="341"/>
      <c r="BF16" s="322"/>
      <c r="BG16" s="341"/>
      <c r="BH16" s="322">
        <v>0</v>
      </c>
      <c r="BI16" s="341">
        <f t="shared" si="10"/>
        <v>0</v>
      </c>
      <c r="BJ16" s="322">
        <f t="shared" si="1"/>
        <v>0</v>
      </c>
      <c r="BK16" s="322">
        <f t="shared" si="2"/>
        <v>0</v>
      </c>
      <c r="BL16" s="336"/>
      <c r="BN16" s="340"/>
      <c r="BO16" s="340"/>
      <c r="BP16" s="340"/>
      <c r="BQ16" s="340"/>
      <c r="BR16" s="340"/>
      <c r="BS16" s="340"/>
      <c r="BT16" s="340"/>
      <c r="BU16" s="652"/>
      <c r="BV16" s="341"/>
    </row>
    <row r="17" spans="1:74" x14ac:dyDescent="0.25">
      <c r="A17" s="428"/>
      <c r="B17" s="269" t="s">
        <v>1013</v>
      </c>
      <c r="C17" s="342" t="s">
        <v>312</v>
      </c>
      <c r="D17" s="336" t="s">
        <v>100</v>
      </c>
      <c r="E17" s="343" t="s">
        <v>343</v>
      </c>
      <c r="F17" s="322">
        <f t="shared" si="14"/>
        <v>0</v>
      </c>
      <c r="G17" s="673">
        <f t="shared" si="3"/>
        <v>0</v>
      </c>
      <c r="H17" s="673">
        <f t="shared" si="4"/>
        <v>0</v>
      </c>
      <c r="I17" s="673">
        <f t="shared" si="5"/>
        <v>0</v>
      </c>
      <c r="J17" s="673"/>
      <c r="K17" s="673"/>
      <c r="L17" s="673"/>
      <c r="M17" s="673"/>
      <c r="N17" s="673"/>
      <c r="O17" s="338"/>
      <c r="P17" s="338"/>
      <c r="Q17" s="338"/>
      <c r="R17" s="322"/>
      <c r="S17" s="322">
        <f t="shared" si="15"/>
        <v>0</v>
      </c>
      <c r="T17" s="322"/>
      <c r="U17" s="322"/>
      <c r="V17" s="341">
        <f t="shared" si="6"/>
        <v>0</v>
      </c>
      <c r="W17" s="341">
        <f t="shared" si="7"/>
        <v>0</v>
      </c>
      <c r="X17" s="341">
        <f t="shared" si="8"/>
        <v>0</v>
      </c>
      <c r="Y17" s="341">
        <f t="shared" si="9"/>
        <v>0</v>
      </c>
      <c r="Z17" s="322"/>
      <c r="AA17" s="341"/>
      <c r="AB17" s="322"/>
      <c r="AC17" s="341"/>
      <c r="AD17" s="322"/>
      <c r="AE17" s="341"/>
      <c r="AF17" s="322"/>
      <c r="AG17" s="341"/>
      <c r="AH17" s="322"/>
      <c r="AI17" s="341"/>
      <c r="AJ17" s="322"/>
      <c r="AK17" s="341"/>
      <c r="AL17" s="322"/>
      <c r="AM17" s="341"/>
      <c r="AN17" s="322"/>
      <c r="AO17" s="341"/>
      <c r="AP17" s="322"/>
      <c r="AQ17" s="341"/>
      <c r="AR17" s="322"/>
      <c r="AS17" s="341"/>
      <c r="AT17" s="322"/>
      <c r="AU17" s="341"/>
      <c r="AV17" s="322"/>
      <c r="AW17" s="341"/>
      <c r="AX17" s="322"/>
      <c r="AY17" s="341"/>
      <c r="AZ17" s="322"/>
      <c r="BA17" s="341"/>
      <c r="BB17" s="322"/>
      <c r="BC17" s="341"/>
      <c r="BD17" s="322"/>
      <c r="BE17" s="341"/>
      <c r="BF17" s="322"/>
      <c r="BG17" s="341"/>
      <c r="BH17" s="322">
        <v>0</v>
      </c>
      <c r="BI17" s="341">
        <f t="shared" si="10"/>
        <v>0</v>
      </c>
      <c r="BJ17" s="322">
        <f t="shared" si="1"/>
        <v>0</v>
      </c>
      <c r="BK17" s="322">
        <f t="shared" si="2"/>
        <v>0</v>
      </c>
      <c r="BL17" s="336" t="s">
        <v>209</v>
      </c>
      <c r="BN17" s="340"/>
      <c r="BO17" s="340"/>
      <c r="BP17" s="340">
        <f t="shared" si="13"/>
        <v>0</v>
      </c>
      <c r="BQ17" s="340"/>
      <c r="BR17" s="340">
        <f t="shared" si="11"/>
        <v>0</v>
      </c>
      <c r="BS17" s="340"/>
      <c r="BT17" s="340"/>
      <c r="BU17" s="652">
        <f t="shared" si="12"/>
        <v>0</v>
      </c>
      <c r="BV17" s="341">
        <f t="shared" si="0"/>
        <v>0</v>
      </c>
    </row>
    <row r="18" spans="1:74" x14ac:dyDescent="0.25">
      <c r="A18" s="428"/>
      <c r="B18" s="269" t="s">
        <v>1014</v>
      </c>
      <c r="C18" s="342" t="s">
        <v>105</v>
      </c>
      <c r="D18" s="336" t="s">
        <v>100</v>
      </c>
      <c r="E18" s="654">
        <v>50000</v>
      </c>
      <c r="F18" s="322">
        <f t="shared" si="14"/>
        <v>0</v>
      </c>
      <c r="G18" s="673">
        <f t="shared" si="3"/>
        <v>0</v>
      </c>
      <c r="H18" s="673">
        <f t="shared" si="4"/>
        <v>0</v>
      </c>
      <c r="I18" s="673">
        <f t="shared" si="5"/>
        <v>0</v>
      </c>
      <c r="J18" s="674"/>
      <c r="K18" s="674"/>
      <c r="L18" s="674"/>
      <c r="M18" s="674"/>
      <c r="N18" s="674"/>
      <c r="O18" s="674"/>
      <c r="P18" s="674"/>
      <c r="Q18" s="674"/>
      <c r="R18" s="408"/>
      <c r="S18" s="322">
        <f t="shared" si="15"/>
        <v>0</v>
      </c>
      <c r="T18" s="408"/>
      <c r="U18" s="408"/>
      <c r="V18" s="341">
        <f t="shared" si="6"/>
        <v>0</v>
      </c>
      <c r="W18" s="341">
        <f t="shared" si="7"/>
        <v>0</v>
      </c>
      <c r="X18" s="341">
        <f t="shared" si="8"/>
        <v>0</v>
      </c>
      <c r="Y18" s="341">
        <f t="shared" si="9"/>
        <v>0</v>
      </c>
      <c r="Z18" s="408"/>
      <c r="AA18" s="674"/>
      <c r="AB18" s="408"/>
      <c r="AC18" s="408"/>
      <c r="AD18" s="408"/>
      <c r="AE18" s="408"/>
      <c r="AF18" s="408"/>
      <c r="AG18" s="408"/>
      <c r="AH18" s="408"/>
      <c r="AI18" s="408"/>
      <c r="AJ18" s="408"/>
      <c r="AK18" s="408"/>
      <c r="AL18" s="408"/>
      <c r="AM18" s="408"/>
      <c r="AN18" s="408"/>
      <c r="AO18" s="408"/>
      <c r="AP18" s="408"/>
      <c r="AQ18" s="408"/>
      <c r="AR18" s="408"/>
      <c r="AS18" s="408"/>
      <c r="AT18" s="408"/>
      <c r="AU18" s="408"/>
      <c r="AV18" s="408"/>
      <c r="AW18" s="408"/>
      <c r="AX18" s="408"/>
      <c r="AY18" s="408"/>
      <c r="AZ18" s="408"/>
      <c r="BA18" s="408"/>
      <c r="BB18" s="408"/>
      <c r="BC18" s="408"/>
      <c r="BD18" s="408"/>
      <c r="BE18" s="408"/>
      <c r="BF18" s="408"/>
      <c r="BG18" s="408"/>
      <c r="BH18" s="408">
        <v>0</v>
      </c>
      <c r="BI18" s="341">
        <f t="shared" si="10"/>
        <v>0</v>
      </c>
      <c r="BJ18" s="322">
        <f t="shared" si="1"/>
        <v>0</v>
      </c>
      <c r="BK18" s="322">
        <f t="shared" si="2"/>
        <v>0</v>
      </c>
      <c r="BL18" s="336" t="s">
        <v>209</v>
      </c>
      <c r="BN18" s="675"/>
      <c r="BO18" s="675"/>
      <c r="BP18" s="340">
        <f t="shared" si="13"/>
        <v>0</v>
      </c>
      <c r="BQ18" s="675"/>
      <c r="BR18" s="340">
        <f t="shared" si="11"/>
        <v>0</v>
      </c>
      <c r="BS18" s="675"/>
      <c r="BT18" s="675"/>
      <c r="BU18" s="652">
        <f t="shared" si="12"/>
        <v>0</v>
      </c>
      <c r="BV18" s="341">
        <f t="shared" si="0"/>
        <v>0</v>
      </c>
    </row>
    <row r="19" spans="1:74" x14ac:dyDescent="0.25">
      <c r="A19" s="428"/>
      <c r="B19" s="269" t="s">
        <v>1015</v>
      </c>
      <c r="C19" s="342" t="s">
        <v>313</v>
      </c>
      <c r="D19" s="336" t="s">
        <v>100</v>
      </c>
      <c r="E19" s="654">
        <v>40000</v>
      </c>
      <c r="F19" s="322">
        <f t="shared" si="14"/>
        <v>3</v>
      </c>
      <c r="G19" s="673">
        <f t="shared" si="3"/>
        <v>120000</v>
      </c>
      <c r="H19" s="673">
        <f t="shared" si="4"/>
        <v>24000</v>
      </c>
      <c r="I19" s="673">
        <f t="shared" si="5"/>
        <v>96000</v>
      </c>
      <c r="J19" s="322"/>
      <c r="K19" s="322"/>
      <c r="L19" s="322"/>
      <c r="M19" s="322"/>
      <c r="N19" s="322"/>
      <c r="O19" s="322"/>
      <c r="P19" s="322"/>
      <c r="Q19" s="322"/>
      <c r="R19" s="322"/>
      <c r="S19" s="322">
        <f t="shared" si="15"/>
        <v>3</v>
      </c>
      <c r="T19" s="322"/>
      <c r="U19" s="322"/>
      <c r="V19" s="341">
        <f t="shared" si="6"/>
        <v>0</v>
      </c>
      <c r="W19" s="341">
        <f t="shared" si="7"/>
        <v>120000</v>
      </c>
      <c r="X19" s="341">
        <f t="shared" si="8"/>
        <v>0</v>
      </c>
      <c r="Y19" s="341">
        <f t="shared" si="9"/>
        <v>0</v>
      </c>
      <c r="Z19" s="322"/>
      <c r="AA19" s="322"/>
      <c r="AB19" s="322"/>
      <c r="AC19" s="341"/>
      <c r="AD19" s="322"/>
      <c r="AE19" s="341"/>
      <c r="AF19" s="322"/>
      <c r="AG19" s="341"/>
      <c r="AH19" s="322"/>
      <c r="AI19" s="341"/>
      <c r="AJ19" s="322"/>
      <c r="AK19" s="341"/>
      <c r="AL19" s="322"/>
      <c r="AM19" s="341"/>
      <c r="AN19" s="322"/>
      <c r="AO19" s="341"/>
      <c r="AP19" s="322"/>
      <c r="AQ19" s="341"/>
      <c r="AR19" s="322"/>
      <c r="AS19" s="341"/>
      <c r="AT19" s="322"/>
      <c r="AU19" s="341"/>
      <c r="AV19" s="322"/>
      <c r="AW19" s="341"/>
      <c r="AX19" s="322"/>
      <c r="AY19" s="341"/>
      <c r="AZ19" s="322"/>
      <c r="BA19" s="341"/>
      <c r="BB19" s="322"/>
      <c r="BC19" s="341"/>
      <c r="BD19" s="322"/>
      <c r="BE19" s="341"/>
      <c r="BF19" s="322"/>
      <c r="BG19" s="341"/>
      <c r="BH19" s="322">
        <v>3</v>
      </c>
      <c r="BI19" s="341">
        <f t="shared" si="10"/>
        <v>120000</v>
      </c>
      <c r="BJ19" s="322">
        <f t="shared" si="1"/>
        <v>3</v>
      </c>
      <c r="BK19" s="322">
        <f t="shared" si="2"/>
        <v>120000</v>
      </c>
      <c r="BL19" s="336" t="s">
        <v>209</v>
      </c>
      <c r="BN19" s="340"/>
      <c r="BO19" s="340"/>
      <c r="BP19" s="340">
        <f t="shared" si="13"/>
        <v>120000</v>
      </c>
      <c r="BQ19" s="340"/>
      <c r="BR19" s="340">
        <f t="shared" si="11"/>
        <v>120000</v>
      </c>
      <c r="BS19" s="340"/>
      <c r="BT19" s="340"/>
      <c r="BU19" s="652">
        <f t="shared" si="12"/>
        <v>0</v>
      </c>
      <c r="BV19" s="341">
        <f t="shared" si="0"/>
        <v>120000</v>
      </c>
    </row>
    <row r="20" spans="1:74" x14ac:dyDescent="0.25">
      <c r="A20" s="428"/>
      <c r="B20" s="269" t="s">
        <v>1016</v>
      </c>
      <c r="C20" s="342" t="s">
        <v>566</v>
      </c>
      <c r="D20" s="336" t="s">
        <v>100</v>
      </c>
      <c r="E20" s="654">
        <v>400000</v>
      </c>
      <c r="F20" s="322">
        <f t="shared" si="14"/>
        <v>0</v>
      </c>
      <c r="G20" s="673">
        <f t="shared" si="3"/>
        <v>0</v>
      </c>
      <c r="H20" s="673">
        <f t="shared" si="4"/>
        <v>0</v>
      </c>
      <c r="I20" s="673">
        <f t="shared" si="5"/>
        <v>0</v>
      </c>
      <c r="J20" s="673"/>
      <c r="K20" s="673"/>
      <c r="L20" s="673"/>
      <c r="M20" s="673"/>
      <c r="N20" s="673"/>
      <c r="O20" s="338"/>
      <c r="P20" s="338"/>
      <c r="Q20" s="338"/>
      <c r="R20" s="322"/>
      <c r="S20" s="322">
        <f t="shared" si="15"/>
        <v>0</v>
      </c>
      <c r="T20" s="322"/>
      <c r="U20" s="322"/>
      <c r="V20" s="341">
        <f t="shared" si="6"/>
        <v>0</v>
      </c>
      <c r="W20" s="341">
        <f t="shared" si="7"/>
        <v>0</v>
      </c>
      <c r="X20" s="341">
        <f t="shared" si="8"/>
        <v>0</v>
      </c>
      <c r="Y20" s="341">
        <f t="shared" si="9"/>
        <v>0</v>
      </c>
      <c r="Z20" s="322"/>
      <c r="AA20" s="341"/>
      <c r="AB20" s="322"/>
      <c r="AC20" s="341"/>
      <c r="AD20" s="322"/>
      <c r="AE20" s="341"/>
      <c r="AF20" s="322"/>
      <c r="AG20" s="341"/>
      <c r="AH20" s="322"/>
      <c r="AI20" s="341"/>
      <c r="AJ20" s="322"/>
      <c r="AK20" s="341"/>
      <c r="AL20" s="322"/>
      <c r="AM20" s="341"/>
      <c r="AN20" s="322"/>
      <c r="AO20" s="341"/>
      <c r="AP20" s="322"/>
      <c r="AQ20" s="341"/>
      <c r="AR20" s="322"/>
      <c r="AS20" s="341"/>
      <c r="AT20" s="322"/>
      <c r="AU20" s="341"/>
      <c r="AV20" s="322"/>
      <c r="AW20" s="341"/>
      <c r="AX20" s="322"/>
      <c r="AY20" s="341"/>
      <c r="AZ20" s="322"/>
      <c r="BA20" s="341"/>
      <c r="BB20" s="322"/>
      <c r="BC20" s="341"/>
      <c r="BD20" s="322"/>
      <c r="BE20" s="341"/>
      <c r="BF20" s="322"/>
      <c r="BG20" s="341"/>
      <c r="BH20" s="322">
        <v>0</v>
      </c>
      <c r="BI20" s="341">
        <f t="shared" si="10"/>
        <v>0</v>
      </c>
      <c r="BJ20" s="322">
        <f t="shared" si="1"/>
        <v>0</v>
      </c>
      <c r="BK20" s="322">
        <f t="shared" si="2"/>
        <v>0</v>
      </c>
      <c r="BL20" s="336" t="s">
        <v>209</v>
      </c>
      <c r="BN20" s="340"/>
      <c r="BO20" s="340"/>
      <c r="BP20" s="340">
        <f t="shared" si="13"/>
        <v>0</v>
      </c>
      <c r="BQ20" s="340"/>
      <c r="BR20" s="340">
        <f t="shared" si="11"/>
        <v>0</v>
      </c>
      <c r="BS20" s="340"/>
      <c r="BT20" s="340"/>
      <c r="BU20" s="652">
        <f t="shared" si="12"/>
        <v>0</v>
      </c>
      <c r="BV20" s="341">
        <f t="shared" si="0"/>
        <v>0</v>
      </c>
    </row>
    <row r="21" spans="1:74" x14ac:dyDescent="0.25">
      <c r="A21" s="428"/>
      <c r="B21" s="269" t="s">
        <v>1017</v>
      </c>
      <c r="C21" s="342" t="s">
        <v>102</v>
      </c>
      <c r="D21" s="336" t="s">
        <v>100</v>
      </c>
      <c r="E21" s="654">
        <v>50000</v>
      </c>
      <c r="F21" s="322">
        <f t="shared" si="14"/>
        <v>2</v>
      </c>
      <c r="G21" s="673">
        <f t="shared" si="3"/>
        <v>100000</v>
      </c>
      <c r="H21" s="673">
        <f t="shared" si="4"/>
        <v>20000</v>
      </c>
      <c r="I21" s="673">
        <f t="shared" si="5"/>
        <v>80000</v>
      </c>
      <c r="J21" s="673"/>
      <c r="K21" s="673"/>
      <c r="L21" s="673"/>
      <c r="M21" s="673"/>
      <c r="N21" s="673"/>
      <c r="O21" s="338"/>
      <c r="P21" s="338"/>
      <c r="Q21" s="338"/>
      <c r="R21" s="322"/>
      <c r="S21" s="322">
        <f t="shared" si="15"/>
        <v>2</v>
      </c>
      <c r="T21" s="322"/>
      <c r="U21" s="322"/>
      <c r="V21" s="341">
        <f t="shared" si="6"/>
        <v>0</v>
      </c>
      <c r="W21" s="341">
        <f t="shared" si="7"/>
        <v>100000</v>
      </c>
      <c r="X21" s="341">
        <f t="shared" si="8"/>
        <v>0</v>
      </c>
      <c r="Y21" s="341">
        <f t="shared" si="9"/>
        <v>0</v>
      </c>
      <c r="Z21" s="322"/>
      <c r="AA21" s="341"/>
      <c r="AB21" s="322"/>
      <c r="AC21" s="341"/>
      <c r="AD21" s="322"/>
      <c r="AE21" s="341"/>
      <c r="AF21" s="322"/>
      <c r="AG21" s="341"/>
      <c r="AH21" s="322"/>
      <c r="AI21" s="341"/>
      <c r="AJ21" s="322"/>
      <c r="AK21" s="341"/>
      <c r="AL21" s="322"/>
      <c r="AM21" s="341"/>
      <c r="AN21" s="322"/>
      <c r="AO21" s="341"/>
      <c r="AP21" s="322"/>
      <c r="AQ21" s="341"/>
      <c r="AR21" s="322"/>
      <c r="AS21" s="341"/>
      <c r="AT21" s="322"/>
      <c r="AU21" s="341"/>
      <c r="AV21" s="322"/>
      <c r="AW21" s="341"/>
      <c r="AX21" s="322"/>
      <c r="AY21" s="341"/>
      <c r="AZ21" s="322"/>
      <c r="BA21" s="341"/>
      <c r="BB21" s="322"/>
      <c r="BC21" s="341"/>
      <c r="BD21" s="322"/>
      <c r="BE21" s="341"/>
      <c r="BF21" s="322"/>
      <c r="BG21" s="341"/>
      <c r="BH21" s="322">
        <v>2</v>
      </c>
      <c r="BI21" s="341">
        <f t="shared" si="10"/>
        <v>100000</v>
      </c>
      <c r="BJ21" s="322">
        <f t="shared" si="1"/>
        <v>2</v>
      </c>
      <c r="BK21" s="322">
        <f t="shared" si="2"/>
        <v>100000</v>
      </c>
      <c r="BL21" s="336" t="s">
        <v>209</v>
      </c>
      <c r="BN21" s="340"/>
      <c r="BO21" s="340"/>
      <c r="BP21" s="340">
        <f t="shared" si="13"/>
        <v>100000</v>
      </c>
      <c r="BQ21" s="340"/>
      <c r="BR21" s="340">
        <f t="shared" si="11"/>
        <v>100000</v>
      </c>
      <c r="BS21" s="340"/>
      <c r="BT21" s="340"/>
      <c r="BU21" s="652">
        <f t="shared" si="12"/>
        <v>0</v>
      </c>
      <c r="BV21" s="341">
        <f t="shared" si="0"/>
        <v>100000</v>
      </c>
    </row>
    <row r="22" spans="1:74" x14ac:dyDescent="0.25">
      <c r="A22" s="428"/>
      <c r="B22" s="269" t="s">
        <v>1018</v>
      </c>
      <c r="C22" s="342" t="s">
        <v>504</v>
      </c>
      <c r="D22" s="336" t="s">
        <v>100</v>
      </c>
      <c r="E22" s="343">
        <v>2500</v>
      </c>
      <c r="F22" s="322">
        <f t="shared" si="14"/>
        <v>0</v>
      </c>
      <c r="G22" s="673">
        <f t="shared" si="3"/>
        <v>0</v>
      </c>
      <c r="H22" s="673">
        <f t="shared" si="4"/>
        <v>0</v>
      </c>
      <c r="I22" s="673">
        <f t="shared" si="5"/>
        <v>0</v>
      </c>
      <c r="J22" s="673"/>
      <c r="K22" s="673"/>
      <c r="L22" s="673"/>
      <c r="M22" s="673"/>
      <c r="N22" s="673"/>
      <c r="O22" s="338"/>
      <c r="P22" s="338"/>
      <c r="Q22" s="338"/>
      <c r="R22" s="322"/>
      <c r="S22" s="322">
        <f t="shared" si="15"/>
        <v>0</v>
      </c>
      <c r="T22" s="322"/>
      <c r="U22" s="322"/>
      <c r="V22" s="341">
        <f t="shared" si="6"/>
        <v>0</v>
      </c>
      <c r="W22" s="341">
        <f t="shared" si="7"/>
        <v>0</v>
      </c>
      <c r="X22" s="341">
        <f t="shared" si="8"/>
        <v>0</v>
      </c>
      <c r="Y22" s="341">
        <f t="shared" si="9"/>
        <v>0</v>
      </c>
      <c r="Z22" s="322"/>
      <c r="AA22" s="341"/>
      <c r="AB22" s="322"/>
      <c r="AC22" s="341"/>
      <c r="AD22" s="322"/>
      <c r="AE22" s="341"/>
      <c r="AF22" s="322"/>
      <c r="AG22" s="341"/>
      <c r="AH22" s="322"/>
      <c r="AI22" s="341"/>
      <c r="AJ22" s="322"/>
      <c r="AK22" s="341"/>
      <c r="AL22" s="322"/>
      <c r="AM22" s="341"/>
      <c r="AN22" s="322"/>
      <c r="AO22" s="341"/>
      <c r="AP22" s="322"/>
      <c r="AQ22" s="341"/>
      <c r="AR22" s="322"/>
      <c r="AS22" s="341"/>
      <c r="AT22" s="322"/>
      <c r="AU22" s="341"/>
      <c r="AV22" s="322"/>
      <c r="AW22" s="341"/>
      <c r="AX22" s="322"/>
      <c r="AY22" s="341"/>
      <c r="AZ22" s="322"/>
      <c r="BA22" s="341"/>
      <c r="BB22" s="322"/>
      <c r="BC22" s="341"/>
      <c r="BD22" s="322"/>
      <c r="BE22" s="341"/>
      <c r="BF22" s="322"/>
      <c r="BG22" s="341"/>
      <c r="BH22" s="322">
        <v>0</v>
      </c>
      <c r="BI22" s="341">
        <f t="shared" si="10"/>
        <v>0</v>
      </c>
      <c r="BJ22" s="322">
        <f t="shared" si="1"/>
        <v>0</v>
      </c>
      <c r="BK22" s="322">
        <f t="shared" si="2"/>
        <v>0</v>
      </c>
      <c r="BL22" s="336" t="s">
        <v>209</v>
      </c>
      <c r="BN22" s="340"/>
      <c r="BO22" s="340"/>
      <c r="BP22" s="340">
        <f t="shared" si="13"/>
        <v>0</v>
      </c>
      <c r="BQ22" s="340"/>
      <c r="BR22" s="340">
        <f t="shared" si="11"/>
        <v>0</v>
      </c>
      <c r="BS22" s="340"/>
      <c r="BT22" s="340"/>
      <c r="BU22" s="652">
        <f t="shared" si="12"/>
        <v>0</v>
      </c>
      <c r="BV22" s="341">
        <f t="shared" si="0"/>
        <v>0</v>
      </c>
    </row>
    <row r="23" spans="1:74" x14ac:dyDescent="0.25">
      <c r="A23" s="428"/>
      <c r="B23" s="269" t="s">
        <v>1019</v>
      </c>
      <c r="C23" s="342" t="s">
        <v>557</v>
      </c>
      <c r="D23" s="336" t="s">
        <v>16</v>
      </c>
      <c r="E23" s="654">
        <v>1000000</v>
      </c>
      <c r="F23" s="322">
        <f t="shared" si="14"/>
        <v>1</v>
      </c>
      <c r="G23" s="673">
        <f t="shared" si="3"/>
        <v>1000000</v>
      </c>
      <c r="H23" s="673">
        <f t="shared" si="4"/>
        <v>200000</v>
      </c>
      <c r="I23" s="673">
        <f t="shared" si="5"/>
        <v>800000</v>
      </c>
      <c r="J23" s="673"/>
      <c r="K23" s="673"/>
      <c r="L23" s="673"/>
      <c r="M23" s="673"/>
      <c r="N23" s="673"/>
      <c r="O23" s="338"/>
      <c r="P23" s="338"/>
      <c r="Q23" s="338"/>
      <c r="R23" s="322"/>
      <c r="S23" s="322">
        <f t="shared" si="15"/>
        <v>1</v>
      </c>
      <c r="T23" s="322"/>
      <c r="U23" s="322"/>
      <c r="V23" s="341">
        <f t="shared" si="6"/>
        <v>0</v>
      </c>
      <c r="W23" s="341">
        <f t="shared" si="7"/>
        <v>1000000</v>
      </c>
      <c r="X23" s="341">
        <f t="shared" si="8"/>
        <v>0</v>
      </c>
      <c r="Y23" s="341">
        <f t="shared" si="9"/>
        <v>0</v>
      </c>
      <c r="Z23" s="322"/>
      <c r="AA23" s="341"/>
      <c r="AB23" s="322"/>
      <c r="AC23" s="341"/>
      <c r="AD23" s="322"/>
      <c r="AE23" s="341"/>
      <c r="AF23" s="322"/>
      <c r="AG23" s="341"/>
      <c r="AH23" s="322"/>
      <c r="AI23" s="341"/>
      <c r="AJ23" s="322"/>
      <c r="AK23" s="341"/>
      <c r="AL23" s="322"/>
      <c r="AM23" s="341"/>
      <c r="AN23" s="322"/>
      <c r="AO23" s="341"/>
      <c r="AP23" s="322"/>
      <c r="AQ23" s="341"/>
      <c r="AR23" s="322"/>
      <c r="AS23" s="341"/>
      <c r="AT23" s="322"/>
      <c r="AU23" s="341"/>
      <c r="AV23" s="322"/>
      <c r="AW23" s="341"/>
      <c r="AX23" s="322"/>
      <c r="AY23" s="341"/>
      <c r="AZ23" s="322"/>
      <c r="BA23" s="341"/>
      <c r="BB23" s="322"/>
      <c r="BC23" s="341"/>
      <c r="BD23" s="322"/>
      <c r="BE23" s="341"/>
      <c r="BF23" s="322"/>
      <c r="BG23" s="341"/>
      <c r="BH23" s="322">
        <v>1</v>
      </c>
      <c r="BI23" s="341">
        <f t="shared" si="10"/>
        <v>1000000</v>
      </c>
      <c r="BJ23" s="322">
        <f t="shared" si="1"/>
        <v>1</v>
      </c>
      <c r="BK23" s="322">
        <f t="shared" si="2"/>
        <v>1000000</v>
      </c>
      <c r="BL23" s="336" t="s">
        <v>209</v>
      </c>
      <c r="BN23" s="340"/>
      <c r="BO23" s="340"/>
      <c r="BP23" s="340">
        <f t="shared" si="13"/>
        <v>1000000</v>
      </c>
      <c r="BQ23" s="340"/>
      <c r="BR23" s="340">
        <f t="shared" si="11"/>
        <v>1000000</v>
      </c>
      <c r="BS23" s="340"/>
      <c r="BT23" s="340"/>
      <c r="BU23" s="652">
        <f t="shared" si="12"/>
        <v>0</v>
      </c>
      <c r="BV23" s="341">
        <f t="shared" si="0"/>
        <v>1000000</v>
      </c>
    </row>
    <row r="24" spans="1:74" x14ac:dyDescent="0.25">
      <c r="A24" s="428"/>
      <c r="B24" s="269" t="s">
        <v>1020</v>
      </c>
      <c r="C24" s="342" t="s">
        <v>104</v>
      </c>
      <c r="D24" s="336" t="s">
        <v>100</v>
      </c>
      <c r="E24" s="343" t="s">
        <v>341</v>
      </c>
      <c r="F24" s="322">
        <f t="shared" si="14"/>
        <v>3</v>
      </c>
      <c r="G24" s="673">
        <f t="shared" si="3"/>
        <v>450000</v>
      </c>
      <c r="H24" s="673">
        <f>G24*0.2</f>
        <v>90000</v>
      </c>
      <c r="I24" s="673">
        <f>G24*0.8</f>
        <v>360000</v>
      </c>
      <c r="J24" s="673"/>
      <c r="K24" s="673"/>
      <c r="L24" s="673"/>
      <c r="M24" s="673"/>
      <c r="N24" s="673"/>
      <c r="O24" s="338"/>
      <c r="P24" s="338"/>
      <c r="Q24" s="338"/>
      <c r="R24" s="322"/>
      <c r="S24" s="322">
        <f t="shared" si="15"/>
        <v>3</v>
      </c>
      <c r="T24" s="322"/>
      <c r="U24" s="322"/>
      <c r="V24" s="341">
        <f t="shared" si="6"/>
        <v>0</v>
      </c>
      <c r="W24" s="341">
        <f t="shared" si="7"/>
        <v>450000</v>
      </c>
      <c r="X24" s="341">
        <f t="shared" si="8"/>
        <v>0</v>
      </c>
      <c r="Y24" s="341">
        <f t="shared" si="9"/>
        <v>0</v>
      </c>
      <c r="Z24" s="322"/>
      <c r="AA24" s="341"/>
      <c r="AB24" s="322"/>
      <c r="AC24" s="341"/>
      <c r="AD24" s="322"/>
      <c r="AE24" s="341"/>
      <c r="AF24" s="322"/>
      <c r="AG24" s="341"/>
      <c r="AH24" s="322"/>
      <c r="AI24" s="341"/>
      <c r="AJ24" s="322"/>
      <c r="AK24" s="341"/>
      <c r="AL24" s="322"/>
      <c r="AM24" s="341"/>
      <c r="AN24" s="322"/>
      <c r="AO24" s="341"/>
      <c r="AP24" s="322"/>
      <c r="AQ24" s="341"/>
      <c r="AR24" s="322"/>
      <c r="AS24" s="341"/>
      <c r="AT24" s="322"/>
      <c r="AU24" s="341"/>
      <c r="AV24" s="322"/>
      <c r="AW24" s="341"/>
      <c r="AX24" s="322"/>
      <c r="AY24" s="341"/>
      <c r="AZ24" s="322"/>
      <c r="BA24" s="341"/>
      <c r="BB24" s="322"/>
      <c r="BC24" s="341"/>
      <c r="BD24" s="322"/>
      <c r="BE24" s="341"/>
      <c r="BF24" s="322"/>
      <c r="BG24" s="341"/>
      <c r="BH24" s="322">
        <v>3</v>
      </c>
      <c r="BI24" s="341">
        <f t="shared" si="10"/>
        <v>450000</v>
      </c>
      <c r="BJ24" s="322">
        <f t="shared" si="1"/>
        <v>3</v>
      </c>
      <c r="BK24" s="322">
        <f t="shared" si="2"/>
        <v>450000</v>
      </c>
      <c r="BL24" s="336" t="s">
        <v>209</v>
      </c>
      <c r="BN24" s="340"/>
      <c r="BO24" s="340"/>
      <c r="BP24" s="340">
        <f t="shared" si="13"/>
        <v>450000</v>
      </c>
      <c r="BQ24" s="340"/>
      <c r="BR24" s="340">
        <f t="shared" si="11"/>
        <v>450000</v>
      </c>
      <c r="BS24" s="340"/>
      <c r="BT24" s="340"/>
      <c r="BU24" s="652">
        <f t="shared" si="12"/>
        <v>0</v>
      </c>
      <c r="BV24" s="341">
        <f t="shared" si="0"/>
        <v>450000</v>
      </c>
    </row>
    <row r="25" spans="1:74" s="317" customFormat="1" x14ac:dyDescent="0.25">
      <c r="A25" s="428"/>
      <c r="B25" s="382"/>
      <c r="C25" s="335" t="s">
        <v>367</v>
      </c>
      <c r="D25" s="346" t="s">
        <v>111</v>
      </c>
      <c r="E25" s="354" t="s">
        <v>111</v>
      </c>
      <c r="F25" s="332">
        <f>SUM(F12:F24)</f>
        <v>21</v>
      </c>
      <c r="G25" s="332">
        <f t="shared" ref="G25:BK25" si="16">SUM(G12:G24)</f>
        <v>6470000</v>
      </c>
      <c r="H25" s="332">
        <f t="shared" si="16"/>
        <v>2734000</v>
      </c>
      <c r="I25" s="332">
        <f t="shared" si="16"/>
        <v>3736000</v>
      </c>
      <c r="J25" s="332">
        <f t="shared" si="16"/>
        <v>0</v>
      </c>
      <c r="K25" s="332">
        <f t="shared" si="16"/>
        <v>0</v>
      </c>
      <c r="L25" s="332">
        <f t="shared" si="16"/>
        <v>0</v>
      </c>
      <c r="M25" s="332">
        <f t="shared" si="16"/>
        <v>0</v>
      </c>
      <c r="N25" s="332">
        <f t="shared" si="16"/>
        <v>0</v>
      </c>
      <c r="O25" s="332">
        <f t="shared" si="16"/>
        <v>0</v>
      </c>
      <c r="P25" s="332">
        <f t="shared" si="16"/>
        <v>0</v>
      </c>
      <c r="Q25" s="332">
        <f t="shared" si="16"/>
        <v>0</v>
      </c>
      <c r="R25" s="332">
        <f t="shared" si="16"/>
        <v>3</v>
      </c>
      <c r="S25" s="332">
        <f t="shared" si="16"/>
        <v>12</v>
      </c>
      <c r="T25" s="332">
        <f t="shared" si="16"/>
        <v>3</v>
      </c>
      <c r="U25" s="332">
        <f t="shared" si="16"/>
        <v>3</v>
      </c>
      <c r="V25" s="332">
        <f t="shared" si="16"/>
        <v>1200000</v>
      </c>
      <c r="W25" s="332">
        <f t="shared" si="16"/>
        <v>2870000</v>
      </c>
      <c r="X25" s="332">
        <f t="shared" si="16"/>
        <v>1200000</v>
      </c>
      <c r="Y25" s="332">
        <f t="shared" si="16"/>
        <v>1200000</v>
      </c>
      <c r="Z25" s="332">
        <f t="shared" si="16"/>
        <v>0</v>
      </c>
      <c r="AA25" s="332">
        <f t="shared" si="16"/>
        <v>0</v>
      </c>
      <c r="AB25" s="332">
        <f t="shared" si="16"/>
        <v>0</v>
      </c>
      <c r="AC25" s="332">
        <f t="shared" si="16"/>
        <v>0</v>
      </c>
      <c r="AD25" s="332">
        <f t="shared" si="16"/>
        <v>0</v>
      </c>
      <c r="AE25" s="332">
        <f t="shared" si="16"/>
        <v>0</v>
      </c>
      <c r="AF25" s="332">
        <f t="shared" si="16"/>
        <v>0</v>
      </c>
      <c r="AG25" s="332">
        <f t="shared" si="16"/>
        <v>0</v>
      </c>
      <c r="AH25" s="332">
        <f t="shared" si="16"/>
        <v>0</v>
      </c>
      <c r="AI25" s="332">
        <f t="shared" si="16"/>
        <v>0</v>
      </c>
      <c r="AJ25" s="332">
        <f t="shared" si="16"/>
        <v>0</v>
      </c>
      <c r="AK25" s="332">
        <f t="shared" si="16"/>
        <v>0</v>
      </c>
      <c r="AL25" s="332">
        <f t="shared" si="16"/>
        <v>0</v>
      </c>
      <c r="AM25" s="332">
        <f t="shared" si="16"/>
        <v>0</v>
      </c>
      <c r="AN25" s="332">
        <f t="shared" si="16"/>
        <v>0</v>
      </c>
      <c r="AO25" s="332">
        <f t="shared" si="16"/>
        <v>0</v>
      </c>
      <c r="AP25" s="332">
        <f t="shared" si="16"/>
        <v>0</v>
      </c>
      <c r="AQ25" s="332">
        <f t="shared" si="16"/>
        <v>0</v>
      </c>
      <c r="AR25" s="332">
        <f t="shared" si="16"/>
        <v>0</v>
      </c>
      <c r="AS25" s="332">
        <f t="shared" si="16"/>
        <v>0</v>
      </c>
      <c r="AT25" s="332">
        <f t="shared" si="16"/>
        <v>0</v>
      </c>
      <c r="AU25" s="332">
        <f t="shared" si="16"/>
        <v>0</v>
      </c>
      <c r="AV25" s="332">
        <f t="shared" si="16"/>
        <v>0</v>
      </c>
      <c r="AW25" s="332">
        <f t="shared" si="16"/>
        <v>0</v>
      </c>
      <c r="AX25" s="332">
        <f t="shared" si="16"/>
        <v>0</v>
      </c>
      <c r="AY25" s="332">
        <f t="shared" si="16"/>
        <v>0</v>
      </c>
      <c r="AZ25" s="332">
        <f t="shared" si="16"/>
        <v>0</v>
      </c>
      <c r="BA25" s="332">
        <f t="shared" si="16"/>
        <v>0</v>
      </c>
      <c r="BB25" s="332">
        <f t="shared" si="16"/>
        <v>0</v>
      </c>
      <c r="BC25" s="332">
        <f t="shared" si="16"/>
        <v>0</v>
      </c>
      <c r="BD25" s="332">
        <f t="shared" si="16"/>
        <v>0</v>
      </c>
      <c r="BE25" s="332">
        <f t="shared" si="16"/>
        <v>0</v>
      </c>
      <c r="BF25" s="332">
        <f t="shared" si="16"/>
        <v>0</v>
      </c>
      <c r="BG25" s="332">
        <f t="shared" si="16"/>
        <v>0</v>
      </c>
      <c r="BH25" s="332">
        <f t="shared" si="16"/>
        <v>21</v>
      </c>
      <c r="BI25" s="332">
        <f t="shared" si="16"/>
        <v>6470000</v>
      </c>
      <c r="BJ25" s="332">
        <f t="shared" si="16"/>
        <v>21</v>
      </c>
      <c r="BK25" s="332">
        <f t="shared" si="16"/>
        <v>6470000</v>
      </c>
      <c r="BL25" s="346" t="s">
        <v>111</v>
      </c>
      <c r="BN25" s="353"/>
      <c r="BO25" s="353"/>
      <c r="BP25" s="353">
        <f t="shared" ref="BP25:BP33" si="17">G25</f>
        <v>6470000</v>
      </c>
      <c r="BQ25" s="353"/>
      <c r="BR25" s="353">
        <f t="shared" ref="BR25:BR47" si="18">BN25+BO25+BP25+BQ25</f>
        <v>6470000</v>
      </c>
      <c r="BS25" s="353"/>
      <c r="BT25" s="353"/>
      <c r="BU25" s="676">
        <f t="shared" ref="BU25:BU47" si="19">BS25+BT25</f>
        <v>0</v>
      </c>
      <c r="BV25" s="341">
        <f t="shared" si="0"/>
        <v>6470000</v>
      </c>
    </row>
    <row r="26" spans="1:74" x14ac:dyDescent="0.25">
      <c r="A26" s="428"/>
      <c r="B26" s="269"/>
      <c r="C26" s="335" t="s">
        <v>368</v>
      </c>
      <c r="D26" s="336"/>
      <c r="E26" s="336"/>
      <c r="F26" s="322"/>
      <c r="G26" s="673"/>
      <c r="H26" s="673"/>
      <c r="I26" s="673"/>
      <c r="J26" s="673"/>
      <c r="K26" s="673"/>
      <c r="L26" s="673"/>
      <c r="M26" s="673"/>
      <c r="N26" s="673"/>
      <c r="O26" s="338"/>
      <c r="P26" s="338"/>
      <c r="Q26" s="338"/>
      <c r="R26" s="322"/>
      <c r="S26" s="322"/>
      <c r="T26" s="322"/>
      <c r="U26" s="322"/>
      <c r="V26" s="341"/>
      <c r="W26" s="341"/>
      <c r="X26" s="341"/>
      <c r="Y26" s="341"/>
      <c r="Z26" s="322"/>
      <c r="AA26" s="341"/>
      <c r="AB26" s="322"/>
      <c r="AC26" s="341"/>
      <c r="AD26" s="322"/>
      <c r="AE26" s="341"/>
      <c r="AF26" s="322"/>
      <c r="AG26" s="341"/>
      <c r="AH26" s="322"/>
      <c r="AI26" s="341"/>
      <c r="AJ26" s="322"/>
      <c r="AK26" s="341"/>
      <c r="AL26" s="322"/>
      <c r="AM26" s="341"/>
      <c r="AN26" s="322"/>
      <c r="AO26" s="341"/>
      <c r="AP26" s="322"/>
      <c r="AQ26" s="341"/>
      <c r="AR26" s="322"/>
      <c r="AS26" s="341"/>
      <c r="AT26" s="322"/>
      <c r="AU26" s="341"/>
      <c r="AV26" s="322"/>
      <c r="AW26" s="341"/>
      <c r="AX26" s="322"/>
      <c r="AY26" s="341"/>
      <c r="AZ26" s="322"/>
      <c r="BA26" s="341"/>
      <c r="BB26" s="322"/>
      <c r="BC26" s="341"/>
      <c r="BD26" s="322"/>
      <c r="BE26" s="341"/>
      <c r="BF26" s="322"/>
      <c r="BG26" s="341"/>
      <c r="BH26" s="322"/>
      <c r="BI26" s="341">
        <f t="shared" si="10"/>
        <v>0</v>
      </c>
      <c r="BJ26" s="322">
        <f t="shared" ref="BJ26:BJ87" si="20">BH26</f>
        <v>0</v>
      </c>
      <c r="BK26" s="338">
        <f t="shared" ref="BK26:BK87" si="21">BI26</f>
        <v>0</v>
      </c>
      <c r="BL26" s="336"/>
      <c r="BN26" s="340"/>
      <c r="BO26" s="340"/>
      <c r="BP26" s="340">
        <f t="shared" si="17"/>
        <v>0</v>
      </c>
      <c r="BQ26" s="340"/>
      <c r="BR26" s="340">
        <f t="shared" si="18"/>
        <v>0</v>
      </c>
      <c r="BS26" s="340"/>
      <c r="BT26" s="340"/>
      <c r="BU26" s="652">
        <f t="shared" si="19"/>
        <v>0</v>
      </c>
      <c r="BV26" s="341">
        <f t="shared" si="0"/>
        <v>0</v>
      </c>
    </row>
    <row r="27" spans="1:74" x14ac:dyDescent="0.25">
      <c r="A27" s="428"/>
      <c r="B27" s="408"/>
      <c r="C27" s="335" t="s">
        <v>106</v>
      </c>
      <c r="D27" s="336"/>
      <c r="E27" s="336"/>
      <c r="F27" s="322"/>
      <c r="G27" s="673"/>
      <c r="H27" s="673"/>
      <c r="I27" s="673"/>
      <c r="J27" s="673"/>
      <c r="K27" s="673"/>
      <c r="L27" s="673"/>
      <c r="M27" s="673"/>
      <c r="N27" s="673"/>
      <c r="O27" s="338"/>
      <c r="P27" s="338"/>
      <c r="Q27" s="338"/>
      <c r="R27" s="322"/>
      <c r="S27" s="322"/>
      <c r="T27" s="322"/>
      <c r="U27" s="322"/>
      <c r="V27" s="341"/>
      <c r="W27" s="341"/>
      <c r="X27" s="341"/>
      <c r="Y27" s="341"/>
      <c r="Z27" s="322"/>
      <c r="AA27" s="341"/>
      <c r="AB27" s="322"/>
      <c r="AC27" s="341"/>
      <c r="AD27" s="322"/>
      <c r="AE27" s="341"/>
      <c r="AF27" s="322"/>
      <c r="AG27" s="341"/>
      <c r="AH27" s="322"/>
      <c r="AI27" s="341"/>
      <c r="AJ27" s="322"/>
      <c r="AK27" s="341"/>
      <c r="AL27" s="322"/>
      <c r="AM27" s="341"/>
      <c r="AN27" s="322"/>
      <c r="AO27" s="341"/>
      <c r="AP27" s="322"/>
      <c r="AQ27" s="341"/>
      <c r="AR27" s="322"/>
      <c r="AS27" s="341"/>
      <c r="AT27" s="322"/>
      <c r="AU27" s="341"/>
      <c r="AV27" s="322"/>
      <c r="AW27" s="341"/>
      <c r="AX27" s="322"/>
      <c r="AY27" s="341"/>
      <c r="AZ27" s="322"/>
      <c r="BA27" s="341"/>
      <c r="BB27" s="322"/>
      <c r="BC27" s="341"/>
      <c r="BD27" s="322"/>
      <c r="BE27" s="341"/>
      <c r="BF27" s="322"/>
      <c r="BG27" s="341"/>
      <c r="BH27" s="322"/>
      <c r="BI27" s="341">
        <f t="shared" si="10"/>
        <v>0</v>
      </c>
      <c r="BJ27" s="322">
        <f t="shared" si="20"/>
        <v>0</v>
      </c>
      <c r="BK27" s="338">
        <f t="shared" si="21"/>
        <v>0</v>
      </c>
      <c r="BL27" s="336"/>
      <c r="BN27" s="340"/>
      <c r="BO27" s="340"/>
      <c r="BP27" s="340">
        <f t="shared" si="17"/>
        <v>0</v>
      </c>
      <c r="BQ27" s="340"/>
      <c r="BR27" s="340">
        <f t="shared" si="18"/>
        <v>0</v>
      </c>
      <c r="BS27" s="340"/>
      <c r="BT27" s="340"/>
      <c r="BU27" s="652">
        <f t="shared" si="19"/>
        <v>0</v>
      </c>
      <c r="BV27" s="341">
        <f t="shared" si="0"/>
        <v>0</v>
      </c>
    </row>
    <row r="28" spans="1:74" x14ac:dyDescent="0.25">
      <c r="A28" s="428"/>
      <c r="B28" s="269" t="s">
        <v>1021</v>
      </c>
      <c r="C28" s="342" t="s">
        <v>369</v>
      </c>
      <c r="D28" s="336" t="s">
        <v>16</v>
      </c>
      <c r="E28" s="343" t="s">
        <v>387</v>
      </c>
      <c r="F28" s="322">
        <f>BJ28</f>
        <v>0</v>
      </c>
      <c r="G28" s="673">
        <f>F28*E28</f>
        <v>0</v>
      </c>
      <c r="H28" s="673">
        <f>G28*0.2</f>
        <v>0</v>
      </c>
      <c r="I28" s="673">
        <f>G28*0.8</f>
        <v>0</v>
      </c>
      <c r="J28" s="673"/>
      <c r="K28" s="673"/>
      <c r="L28" s="673"/>
      <c r="M28" s="673"/>
      <c r="N28" s="673"/>
      <c r="O28" s="338"/>
      <c r="P28" s="338"/>
      <c r="Q28" s="338"/>
      <c r="R28" s="322"/>
      <c r="S28" s="322">
        <f>F28</f>
        <v>0</v>
      </c>
      <c r="T28" s="322"/>
      <c r="U28" s="322"/>
      <c r="V28" s="341"/>
      <c r="W28" s="341">
        <f>S28*E28</f>
        <v>0</v>
      </c>
      <c r="X28" s="341"/>
      <c r="Y28" s="341"/>
      <c r="Z28" s="322"/>
      <c r="AA28" s="341"/>
      <c r="AB28" s="322"/>
      <c r="AC28" s="341"/>
      <c r="AD28" s="322"/>
      <c r="AE28" s="341"/>
      <c r="AF28" s="322"/>
      <c r="AG28" s="341"/>
      <c r="AH28" s="322"/>
      <c r="AI28" s="341"/>
      <c r="AJ28" s="322"/>
      <c r="AK28" s="341"/>
      <c r="AL28" s="322"/>
      <c r="AM28" s="341"/>
      <c r="AN28" s="322"/>
      <c r="AO28" s="341"/>
      <c r="AP28" s="322"/>
      <c r="AQ28" s="341"/>
      <c r="AR28" s="322"/>
      <c r="AS28" s="341"/>
      <c r="AT28" s="322"/>
      <c r="AU28" s="341"/>
      <c r="AV28" s="322"/>
      <c r="AW28" s="341"/>
      <c r="AX28" s="322"/>
      <c r="AY28" s="341"/>
      <c r="AZ28" s="322"/>
      <c r="BA28" s="341"/>
      <c r="BB28" s="322"/>
      <c r="BC28" s="341"/>
      <c r="BD28" s="322"/>
      <c r="BE28" s="341"/>
      <c r="BF28" s="322"/>
      <c r="BG28" s="341"/>
      <c r="BH28" s="322">
        <v>0</v>
      </c>
      <c r="BI28" s="341">
        <f t="shared" si="10"/>
        <v>0</v>
      </c>
      <c r="BJ28" s="322">
        <f t="shared" si="20"/>
        <v>0</v>
      </c>
      <c r="BK28" s="338">
        <f t="shared" si="21"/>
        <v>0</v>
      </c>
      <c r="BL28" s="336" t="s">
        <v>209</v>
      </c>
      <c r="BN28" s="340"/>
      <c r="BO28" s="340"/>
      <c r="BP28" s="340">
        <f t="shared" si="17"/>
        <v>0</v>
      </c>
      <c r="BQ28" s="340"/>
      <c r="BR28" s="340">
        <f t="shared" si="18"/>
        <v>0</v>
      </c>
      <c r="BS28" s="340"/>
      <c r="BT28" s="340"/>
      <c r="BU28" s="652">
        <f t="shared" si="19"/>
        <v>0</v>
      </c>
      <c r="BV28" s="341">
        <f t="shared" si="0"/>
        <v>0</v>
      </c>
    </row>
    <row r="29" spans="1:74" x14ac:dyDescent="0.25">
      <c r="A29" s="428"/>
      <c r="B29" s="269" t="s">
        <v>1022</v>
      </c>
      <c r="C29" s="342" t="s">
        <v>107</v>
      </c>
      <c r="D29" s="336" t="s">
        <v>108</v>
      </c>
      <c r="E29" s="343" t="s">
        <v>387</v>
      </c>
      <c r="F29" s="322">
        <f>BJ29</f>
        <v>0</v>
      </c>
      <c r="G29" s="673">
        <f>F29*E29</f>
        <v>0</v>
      </c>
      <c r="H29" s="673">
        <f>G29*0.2</f>
        <v>0</v>
      </c>
      <c r="I29" s="673">
        <f>G29*0.8</f>
        <v>0</v>
      </c>
      <c r="J29" s="673"/>
      <c r="K29" s="673"/>
      <c r="L29" s="673"/>
      <c r="M29" s="673"/>
      <c r="N29" s="673"/>
      <c r="O29" s="338"/>
      <c r="P29" s="338"/>
      <c r="Q29" s="338"/>
      <c r="R29" s="322"/>
      <c r="S29" s="322">
        <f>F29</f>
        <v>0</v>
      </c>
      <c r="T29" s="322"/>
      <c r="U29" s="322"/>
      <c r="V29" s="341"/>
      <c r="W29" s="341">
        <f>S29*E29</f>
        <v>0</v>
      </c>
      <c r="X29" s="341"/>
      <c r="Y29" s="341"/>
      <c r="Z29" s="322"/>
      <c r="AA29" s="341"/>
      <c r="AB29" s="322"/>
      <c r="AC29" s="341"/>
      <c r="AD29" s="322"/>
      <c r="AE29" s="341"/>
      <c r="AF29" s="322"/>
      <c r="AG29" s="341"/>
      <c r="AH29" s="322"/>
      <c r="AI29" s="341"/>
      <c r="AJ29" s="322"/>
      <c r="AK29" s="341"/>
      <c r="AL29" s="322"/>
      <c r="AM29" s="341"/>
      <c r="AN29" s="322"/>
      <c r="AO29" s="341"/>
      <c r="AP29" s="322"/>
      <c r="AQ29" s="341"/>
      <c r="AR29" s="322"/>
      <c r="AS29" s="341"/>
      <c r="AT29" s="322"/>
      <c r="AU29" s="341"/>
      <c r="AV29" s="322"/>
      <c r="AW29" s="341"/>
      <c r="AX29" s="322"/>
      <c r="AY29" s="341"/>
      <c r="AZ29" s="322"/>
      <c r="BA29" s="341"/>
      <c r="BB29" s="322"/>
      <c r="BC29" s="341"/>
      <c r="BD29" s="322"/>
      <c r="BE29" s="341"/>
      <c r="BF29" s="322"/>
      <c r="BG29" s="341"/>
      <c r="BH29" s="322">
        <v>0</v>
      </c>
      <c r="BI29" s="341">
        <f t="shared" si="10"/>
        <v>0</v>
      </c>
      <c r="BJ29" s="322">
        <f t="shared" si="20"/>
        <v>0</v>
      </c>
      <c r="BK29" s="338">
        <f t="shared" si="21"/>
        <v>0</v>
      </c>
      <c r="BL29" s="336" t="s">
        <v>209</v>
      </c>
      <c r="BN29" s="340"/>
      <c r="BO29" s="340"/>
      <c r="BP29" s="340">
        <f t="shared" si="17"/>
        <v>0</v>
      </c>
      <c r="BQ29" s="340"/>
      <c r="BR29" s="340">
        <f t="shared" si="18"/>
        <v>0</v>
      </c>
      <c r="BS29" s="340"/>
      <c r="BT29" s="340"/>
      <c r="BU29" s="652">
        <f t="shared" si="19"/>
        <v>0</v>
      </c>
      <c r="BV29" s="341">
        <f t="shared" si="0"/>
        <v>0</v>
      </c>
    </row>
    <row r="30" spans="1:74" x14ac:dyDescent="0.25">
      <c r="A30" s="428"/>
      <c r="B30" s="269" t="s">
        <v>1023</v>
      </c>
      <c r="C30" s="342" t="s">
        <v>109</v>
      </c>
      <c r="D30" s="336" t="s">
        <v>108</v>
      </c>
      <c r="E30" s="654">
        <f>1500000</f>
        <v>1500000</v>
      </c>
      <c r="F30" s="322">
        <f>BJ30</f>
        <v>1</v>
      </c>
      <c r="G30" s="673">
        <f>F30*E30</f>
        <v>1500000</v>
      </c>
      <c r="H30" s="673">
        <f>G30*0.2</f>
        <v>300000</v>
      </c>
      <c r="I30" s="673">
        <f>G30*0.8</f>
        <v>1200000</v>
      </c>
      <c r="J30" s="673"/>
      <c r="K30" s="673"/>
      <c r="L30" s="673"/>
      <c r="M30" s="673"/>
      <c r="N30" s="673"/>
      <c r="O30" s="338"/>
      <c r="P30" s="338"/>
      <c r="Q30" s="338"/>
      <c r="R30" s="322"/>
      <c r="S30" s="322">
        <f>F30</f>
        <v>1</v>
      </c>
      <c r="T30" s="322"/>
      <c r="U30" s="322"/>
      <c r="V30" s="341"/>
      <c r="W30" s="341">
        <f>S30*E30</f>
        <v>1500000</v>
      </c>
      <c r="X30" s="341"/>
      <c r="Y30" s="341"/>
      <c r="Z30" s="322"/>
      <c r="AA30" s="341"/>
      <c r="AB30" s="322"/>
      <c r="AC30" s="341"/>
      <c r="AD30" s="322"/>
      <c r="AE30" s="341"/>
      <c r="AF30" s="322"/>
      <c r="AG30" s="341"/>
      <c r="AH30" s="322"/>
      <c r="AI30" s="341"/>
      <c r="AJ30" s="322"/>
      <c r="AK30" s="341"/>
      <c r="AL30" s="322"/>
      <c r="AM30" s="341"/>
      <c r="AN30" s="322"/>
      <c r="AO30" s="341"/>
      <c r="AP30" s="322"/>
      <c r="AQ30" s="341"/>
      <c r="AR30" s="322"/>
      <c r="AS30" s="341"/>
      <c r="AT30" s="322"/>
      <c r="AU30" s="341"/>
      <c r="AV30" s="322"/>
      <c r="AW30" s="341"/>
      <c r="AX30" s="322"/>
      <c r="AY30" s="341"/>
      <c r="AZ30" s="322"/>
      <c r="BA30" s="341"/>
      <c r="BB30" s="322"/>
      <c r="BC30" s="341"/>
      <c r="BD30" s="322"/>
      <c r="BE30" s="341"/>
      <c r="BF30" s="322"/>
      <c r="BG30" s="341"/>
      <c r="BH30" s="322">
        <v>1</v>
      </c>
      <c r="BI30" s="341">
        <f t="shared" si="10"/>
        <v>1500000</v>
      </c>
      <c r="BJ30" s="322">
        <f t="shared" si="20"/>
        <v>1</v>
      </c>
      <c r="BK30" s="338">
        <f t="shared" si="21"/>
        <v>1500000</v>
      </c>
      <c r="BL30" s="336" t="s">
        <v>209</v>
      </c>
      <c r="BN30" s="340"/>
      <c r="BO30" s="340"/>
      <c r="BP30" s="340">
        <f t="shared" si="17"/>
        <v>1500000</v>
      </c>
      <c r="BQ30" s="340"/>
      <c r="BR30" s="340">
        <f t="shared" si="18"/>
        <v>1500000</v>
      </c>
      <c r="BS30" s="340"/>
      <c r="BT30" s="340"/>
      <c r="BU30" s="652">
        <f t="shared" si="19"/>
        <v>0</v>
      </c>
      <c r="BV30" s="341">
        <f t="shared" si="0"/>
        <v>1500000</v>
      </c>
    </row>
    <row r="31" spans="1:74" ht="31.5" x14ac:dyDescent="0.25">
      <c r="A31" s="428" t="s">
        <v>1141</v>
      </c>
      <c r="B31" s="269" t="s">
        <v>1024</v>
      </c>
      <c r="C31" s="344" t="s">
        <v>875</v>
      </c>
      <c r="D31" s="336" t="s">
        <v>876</v>
      </c>
      <c r="E31" s="343">
        <v>2700000</v>
      </c>
      <c r="F31" s="322">
        <f>BJ31</f>
        <v>1</v>
      </c>
      <c r="G31" s="673">
        <f>F31*E31</f>
        <v>2700000</v>
      </c>
      <c r="H31" s="673">
        <f>G31*0</f>
        <v>0</v>
      </c>
      <c r="I31" s="673">
        <f>G31*1</f>
        <v>2700000</v>
      </c>
      <c r="J31" s="673"/>
      <c r="K31" s="673"/>
      <c r="L31" s="673"/>
      <c r="M31" s="673"/>
      <c r="N31" s="673"/>
      <c r="O31" s="338"/>
      <c r="P31" s="338"/>
      <c r="Q31" s="338"/>
      <c r="R31" s="322">
        <v>1</v>
      </c>
      <c r="S31" s="322">
        <v>0</v>
      </c>
      <c r="T31" s="322"/>
      <c r="U31" s="322"/>
      <c r="V31" s="341">
        <f>R31*E31</f>
        <v>2700000</v>
      </c>
      <c r="W31" s="341">
        <f>S31*E31</f>
        <v>0</v>
      </c>
      <c r="X31" s="341"/>
      <c r="Y31" s="341"/>
      <c r="Z31" s="322"/>
      <c r="AA31" s="341"/>
      <c r="AB31" s="322"/>
      <c r="AC31" s="341"/>
      <c r="AD31" s="322"/>
      <c r="AE31" s="341"/>
      <c r="AF31" s="322"/>
      <c r="AG31" s="341"/>
      <c r="AH31" s="322"/>
      <c r="AI31" s="341"/>
      <c r="AJ31" s="322"/>
      <c r="AK31" s="341"/>
      <c r="AL31" s="322"/>
      <c r="AM31" s="341"/>
      <c r="AN31" s="322"/>
      <c r="AO31" s="341"/>
      <c r="AP31" s="322"/>
      <c r="AQ31" s="341"/>
      <c r="AR31" s="322"/>
      <c r="AS31" s="341"/>
      <c r="AT31" s="322"/>
      <c r="AU31" s="341"/>
      <c r="AV31" s="322"/>
      <c r="AW31" s="341"/>
      <c r="AX31" s="322"/>
      <c r="AY31" s="341"/>
      <c r="AZ31" s="322"/>
      <c r="BA31" s="341"/>
      <c r="BB31" s="322"/>
      <c r="BC31" s="341"/>
      <c r="BD31" s="322"/>
      <c r="BE31" s="341"/>
      <c r="BF31" s="322"/>
      <c r="BG31" s="341"/>
      <c r="BH31" s="322">
        <v>1</v>
      </c>
      <c r="BI31" s="341">
        <f t="shared" si="10"/>
        <v>2700000</v>
      </c>
      <c r="BJ31" s="322">
        <f t="shared" si="20"/>
        <v>1</v>
      </c>
      <c r="BK31" s="338">
        <f t="shared" si="21"/>
        <v>2700000</v>
      </c>
      <c r="BL31" s="336" t="s">
        <v>210</v>
      </c>
      <c r="BN31" s="340"/>
      <c r="BO31" s="340"/>
      <c r="BP31" s="340">
        <f t="shared" si="17"/>
        <v>2700000</v>
      </c>
      <c r="BQ31" s="340"/>
      <c r="BR31" s="340">
        <f t="shared" si="18"/>
        <v>2700000</v>
      </c>
      <c r="BS31" s="340"/>
      <c r="BT31" s="340"/>
      <c r="BU31" s="652">
        <f t="shared" si="19"/>
        <v>0</v>
      </c>
      <c r="BV31" s="341">
        <f t="shared" si="0"/>
        <v>2700000</v>
      </c>
    </row>
    <row r="32" spans="1:74" x14ac:dyDescent="0.25">
      <c r="A32" s="428"/>
      <c r="B32" s="269" t="s">
        <v>1025</v>
      </c>
      <c r="C32" s="342" t="s">
        <v>1189</v>
      </c>
      <c r="D32" s="336" t="s">
        <v>71</v>
      </c>
      <c r="E32" s="654">
        <v>1000000</v>
      </c>
      <c r="F32" s="322">
        <f>BJ32</f>
        <v>3</v>
      </c>
      <c r="G32" s="673">
        <f>F32*E32</f>
        <v>3000000</v>
      </c>
      <c r="H32" s="673">
        <f>G32*0.2</f>
        <v>600000</v>
      </c>
      <c r="I32" s="673">
        <f>G32*0.8</f>
        <v>2400000</v>
      </c>
      <c r="J32" s="673"/>
      <c r="K32" s="673"/>
      <c r="L32" s="673"/>
      <c r="M32" s="673"/>
      <c r="N32" s="673"/>
      <c r="O32" s="338"/>
      <c r="P32" s="338"/>
      <c r="Q32" s="338"/>
      <c r="R32" s="322"/>
      <c r="S32" s="322">
        <f>F32</f>
        <v>3</v>
      </c>
      <c r="T32" s="322"/>
      <c r="U32" s="322"/>
      <c r="V32" s="341"/>
      <c r="W32" s="341">
        <f>S32*E32</f>
        <v>3000000</v>
      </c>
      <c r="X32" s="341"/>
      <c r="Y32" s="341"/>
      <c r="Z32" s="322"/>
      <c r="AA32" s="341"/>
      <c r="AB32" s="322"/>
      <c r="AC32" s="341"/>
      <c r="AD32" s="322"/>
      <c r="AE32" s="341"/>
      <c r="AF32" s="322"/>
      <c r="AG32" s="341"/>
      <c r="AH32" s="322"/>
      <c r="AI32" s="341"/>
      <c r="AJ32" s="322"/>
      <c r="AK32" s="341"/>
      <c r="AL32" s="322"/>
      <c r="AM32" s="341"/>
      <c r="AN32" s="322"/>
      <c r="AO32" s="341"/>
      <c r="AP32" s="322"/>
      <c r="AQ32" s="341"/>
      <c r="AR32" s="322"/>
      <c r="AS32" s="341"/>
      <c r="AT32" s="322"/>
      <c r="AU32" s="341"/>
      <c r="AV32" s="322"/>
      <c r="AW32" s="341"/>
      <c r="AX32" s="322"/>
      <c r="AY32" s="341"/>
      <c r="AZ32" s="322"/>
      <c r="BA32" s="341"/>
      <c r="BB32" s="322"/>
      <c r="BC32" s="341"/>
      <c r="BD32" s="322"/>
      <c r="BE32" s="341"/>
      <c r="BF32" s="322"/>
      <c r="BG32" s="341"/>
      <c r="BH32" s="322">
        <v>3</v>
      </c>
      <c r="BI32" s="341">
        <f t="shared" si="10"/>
        <v>3000000</v>
      </c>
      <c r="BJ32" s="322">
        <f t="shared" si="20"/>
        <v>3</v>
      </c>
      <c r="BK32" s="338">
        <f t="shared" si="21"/>
        <v>3000000</v>
      </c>
      <c r="BL32" s="336" t="s">
        <v>209</v>
      </c>
      <c r="BN32" s="340"/>
      <c r="BO32" s="340"/>
      <c r="BP32" s="340">
        <f t="shared" si="17"/>
        <v>3000000</v>
      </c>
      <c r="BQ32" s="340"/>
      <c r="BR32" s="340">
        <f t="shared" si="18"/>
        <v>3000000</v>
      </c>
      <c r="BS32" s="340"/>
      <c r="BT32" s="340"/>
      <c r="BU32" s="652">
        <f t="shared" si="19"/>
        <v>0</v>
      </c>
      <c r="BV32" s="341">
        <f t="shared" si="0"/>
        <v>3000000</v>
      </c>
    </row>
    <row r="33" spans="1:74" s="317" customFormat="1" x14ac:dyDescent="0.25">
      <c r="A33" s="428"/>
      <c r="B33" s="382"/>
      <c r="C33" s="335" t="s">
        <v>110</v>
      </c>
      <c r="D33" s="346" t="s">
        <v>111</v>
      </c>
      <c r="E33" s="354" t="s">
        <v>111</v>
      </c>
      <c r="F33" s="332">
        <f>SUM(F28:F32)</f>
        <v>5</v>
      </c>
      <c r="G33" s="332">
        <f t="shared" ref="G33:BK33" si="22">SUM(G28:G32)</f>
        <v>7200000</v>
      </c>
      <c r="H33" s="332">
        <f t="shared" si="22"/>
        <v>900000</v>
      </c>
      <c r="I33" s="332">
        <f t="shared" si="22"/>
        <v>6300000</v>
      </c>
      <c r="J33" s="332">
        <f t="shared" si="22"/>
        <v>0</v>
      </c>
      <c r="K33" s="332">
        <f t="shared" si="22"/>
        <v>0</v>
      </c>
      <c r="L33" s="332">
        <f t="shared" si="22"/>
        <v>0</v>
      </c>
      <c r="M33" s="332">
        <f t="shared" si="22"/>
        <v>0</v>
      </c>
      <c r="N33" s="332">
        <f t="shared" si="22"/>
        <v>0</v>
      </c>
      <c r="O33" s="332">
        <f t="shared" si="22"/>
        <v>0</v>
      </c>
      <c r="P33" s="332">
        <f t="shared" si="22"/>
        <v>0</v>
      </c>
      <c r="Q33" s="332">
        <f t="shared" si="22"/>
        <v>0</v>
      </c>
      <c r="R33" s="332">
        <f t="shared" si="22"/>
        <v>1</v>
      </c>
      <c r="S33" s="332">
        <f t="shared" si="22"/>
        <v>4</v>
      </c>
      <c r="T33" s="332">
        <f t="shared" si="22"/>
        <v>0</v>
      </c>
      <c r="U33" s="332">
        <f t="shared" si="22"/>
        <v>0</v>
      </c>
      <c r="V33" s="332">
        <f t="shared" si="22"/>
        <v>2700000</v>
      </c>
      <c r="W33" s="332">
        <f t="shared" si="22"/>
        <v>4500000</v>
      </c>
      <c r="X33" s="332">
        <f t="shared" si="22"/>
        <v>0</v>
      </c>
      <c r="Y33" s="332">
        <f t="shared" si="22"/>
        <v>0</v>
      </c>
      <c r="Z33" s="332">
        <f t="shared" si="22"/>
        <v>0</v>
      </c>
      <c r="AA33" s="332">
        <f t="shared" si="22"/>
        <v>0</v>
      </c>
      <c r="AB33" s="332">
        <f t="shared" si="22"/>
        <v>0</v>
      </c>
      <c r="AC33" s="332">
        <f t="shared" si="22"/>
        <v>0</v>
      </c>
      <c r="AD33" s="332">
        <f t="shared" si="22"/>
        <v>0</v>
      </c>
      <c r="AE33" s="332">
        <f t="shared" si="22"/>
        <v>0</v>
      </c>
      <c r="AF33" s="332">
        <f t="shared" si="22"/>
        <v>0</v>
      </c>
      <c r="AG33" s="332">
        <f t="shared" si="22"/>
        <v>0</v>
      </c>
      <c r="AH33" s="332">
        <f t="shared" si="22"/>
        <v>0</v>
      </c>
      <c r="AI33" s="332">
        <f t="shared" si="22"/>
        <v>0</v>
      </c>
      <c r="AJ33" s="332">
        <f t="shared" si="22"/>
        <v>0</v>
      </c>
      <c r="AK33" s="332">
        <f t="shared" si="22"/>
        <v>0</v>
      </c>
      <c r="AL33" s="332">
        <f t="shared" si="22"/>
        <v>0</v>
      </c>
      <c r="AM33" s="332">
        <f t="shared" si="22"/>
        <v>0</v>
      </c>
      <c r="AN33" s="332">
        <f t="shared" si="22"/>
        <v>0</v>
      </c>
      <c r="AO33" s="332">
        <f t="shared" si="22"/>
        <v>0</v>
      </c>
      <c r="AP33" s="332">
        <f t="shared" si="22"/>
        <v>0</v>
      </c>
      <c r="AQ33" s="332">
        <f t="shared" si="22"/>
        <v>0</v>
      </c>
      <c r="AR33" s="332">
        <f t="shared" si="22"/>
        <v>0</v>
      </c>
      <c r="AS33" s="332">
        <f t="shared" si="22"/>
        <v>0</v>
      </c>
      <c r="AT33" s="332">
        <f t="shared" si="22"/>
        <v>0</v>
      </c>
      <c r="AU33" s="332">
        <f t="shared" si="22"/>
        <v>0</v>
      </c>
      <c r="AV33" s="332">
        <f t="shared" si="22"/>
        <v>0</v>
      </c>
      <c r="AW33" s="332">
        <f t="shared" si="22"/>
        <v>0</v>
      </c>
      <c r="AX33" s="332">
        <f t="shared" si="22"/>
        <v>0</v>
      </c>
      <c r="AY33" s="332">
        <f t="shared" si="22"/>
        <v>0</v>
      </c>
      <c r="AZ33" s="332">
        <f t="shared" si="22"/>
        <v>0</v>
      </c>
      <c r="BA33" s="332">
        <f t="shared" si="22"/>
        <v>0</v>
      </c>
      <c r="BB33" s="332">
        <f t="shared" si="22"/>
        <v>0</v>
      </c>
      <c r="BC33" s="332">
        <f t="shared" si="22"/>
        <v>0</v>
      </c>
      <c r="BD33" s="332">
        <f t="shared" si="22"/>
        <v>0</v>
      </c>
      <c r="BE33" s="332">
        <f t="shared" si="22"/>
        <v>0</v>
      </c>
      <c r="BF33" s="332">
        <f t="shared" si="22"/>
        <v>0</v>
      </c>
      <c r="BG33" s="332">
        <f t="shared" si="22"/>
        <v>0</v>
      </c>
      <c r="BH33" s="332">
        <f t="shared" si="22"/>
        <v>5</v>
      </c>
      <c r="BI33" s="332">
        <f t="shared" si="22"/>
        <v>7200000</v>
      </c>
      <c r="BJ33" s="332">
        <f t="shared" si="22"/>
        <v>5</v>
      </c>
      <c r="BK33" s="332">
        <f t="shared" si="22"/>
        <v>7200000</v>
      </c>
      <c r="BL33" s="346" t="s">
        <v>111</v>
      </c>
      <c r="BN33" s="353"/>
      <c r="BO33" s="353"/>
      <c r="BP33" s="353">
        <f t="shared" si="17"/>
        <v>7200000</v>
      </c>
      <c r="BQ33" s="353"/>
      <c r="BR33" s="353">
        <f t="shared" si="18"/>
        <v>7200000</v>
      </c>
      <c r="BS33" s="353"/>
      <c r="BT33" s="353"/>
      <c r="BU33" s="676">
        <f t="shared" si="19"/>
        <v>0</v>
      </c>
      <c r="BV33" s="349">
        <f t="shared" si="0"/>
        <v>7200000</v>
      </c>
    </row>
    <row r="34" spans="1:74" x14ac:dyDescent="0.25">
      <c r="A34" s="428"/>
      <c r="B34" s="408"/>
      <c r="C34" s="335" t="s">
        <v>370</v>
      </c>
      <c r="D34" s="336"/>
      <c r="E34" s="336"/>
      <c r="F34" s="322"/>
      <c r="G34" s="673"/>
      <c r="H34" s="673"/>
      <c r="I34" s="673"/>
      <c r="J34" s="673"/>
      <c r="K34" s="673"/>
      <c r="L34" s="673"/>
      <c r="M34" s="673"/>
      <c r="N34" s="673"/>
      <c r="O34" s="338"/>
      <c r="P34" s="338"/>
      <c r="Q34" s="338"/>
      <c r="R34" s="322"/>
      <c r="S34" s="322"/>
      <c r="T34" s="322"/>
      <c r="U34" s="322"/>
      <c r="V34" s="341"/>
      <c r="W34" s="341"/>
      <c r="X34" s="341"/>
      <c r="Y34" s="341"/>
      <c r="Z34" s="322"/>
      <c r="AA34" s="341"/>
      <c r="AB34" s="322"/>
      <c r="AC34" s="341"/>
      <c r="AD34" s="322"/>
      <c r="AE34" s="341"/>
      <c r="AF34" s="322"/>
      <c r="AG34" s="341"/>
      <c r="AH34" s="322"/>
      <c r="AI34" s="341"/>
      <c r="AJ34" s="322"/>
      <c r="AK34" s="341"/>
      <c r="AL34" s="322"/>
      <c r="AM34" s="341"/>
      <c r="AN34" s="322"/>
      <c r="AO34" s="341"/>
      <c r="AP34" s="322"/>
      <c r="AQ34" s="341"/>
      <c r="AR34" s="322"/>
      <c r="AS34" s="341"/>
      <c r="AT34" s="322"/>
      <c r="AU34" s="341"/>
      <c r="AV34" s="322"/>
      <c r="AW34" s="341"/>
      <c r="AX34" s="322"/>
      <c r="AY34" s="341"/>
      <c r="AZ34" s="322"/>
      <c r="BA34" s="341"/>
      <c r="BB34" s="322"/>
      <c r="BC34" s="341"/>
      <c r="BD34" s="322"/>
      <c r="BE34" s="341"/>
      <c r="BF34" s="322"/>
      <c r="BG34" s="341"/>
      <c r="BH34" s="322"/>
      <c r="BI34" s="341">
        <f t="shared" si="10"/>
        <v>0</v>
      </c>
      <c r="BJ34" s="322">
        <f t="shared" si="20"/>
        <v>0</v>
      </c>
      <c r="BK34" s="338"/>
      <c r="BL34" s="336"/>
      <c r="BN34" s="340"/>
      <c r="BO34" s="340"/>
      <c r="BP34" s="340"/>
      <c r="BQ34" s="340"/>
      <c r="BR34" s="340"/>
      <c r="BS34" s="340"/>
      <c r="BT34" s="340"/>
      <c r="BU34" s="652"/>
      <c r="BV34" s="341"/>
    </row>
    <row r="35" spans="1:74" x14ac:dyDescent="0.25">
      <c r="A35" s="428"/>
      <c r="B35" s="269" t="s">
        <v>1026</v>
      </c>
      <c r="C35" s="342" t="s">
        <v>34</v>
      </c>
      <c r="D35" s="336" t="s">
        <v>39</v>
      </c>
      <c r="E35" s="343">
        <v>1600000</v>
      </c>
      <c r="F35" s="322">
        <f>BJ35</f>
        <v>1</v>
      </c>
      <c r="G35" s="673">
        <f>F35*E35</f>
        <v>1600000</v>
      </c>
      <c r="H35" s="673">
        <f t="shared" ref="H35:H47" si="23">G35*0.2</f>
        <v>320000</v>
      </c>
      <c r="I35" s="673">
        <f>G35*0.8</f>
        <v>1280000</v>
      </c>
      <c r="J35" s="673"/>
      <c r="K35" s="673"/>
      <c r="L35" s="673"/>
      <c r="M35" s="673"/>
      <c r="N35" s="673"/>
      <c r="O35" s="338"/>
      <c r="P35" s="338"/>
      <c r="Q35" s="338"/>
      <c r="R35" s="322"/>
      <c r="S35" s="322"/>
      <c r="T35" s="322">
        <f>F35</f>
        <v>1</v>
      </c>
      <c r="U35" s="322"/>
      <c r="V35" s="341"/>
      <c r="W35" s="341"/>
      <c r="X35" s="341">
        <f>T35*E35</f>
        <v>1600000</v>
      </c>
      <c r="Y35" s="341"/>
      <c r="Z35" s="322"/>
      <c r="AA35" s="341"/>
      <c r="AB35" s="322"/>
      <c r="AC35" s="341"/>
      <c r="AD35" s="322"/>
      <c r="AE35" s="341"/>
      <c r="AF35" s="322"/>
      <c r="AG35" s="341"/>
      <c r="AH35" s="322"/>
      <c r="AI35" s="341"/>
      <c r="AJ35" s="322"/>
      <c r="AK35" s="341"/>
      <c r="AL35" s="322"/>
      <c r="AM35" s="341"/>
      <c r="AN35" s="322"/>
      <c r="AO35" s="341"/>
      <c r="AP35" s="322"/>
      <c r="AQ35" s="341"/>
      <c r="AR35" s="322"/>
      <c r="AS35" s="341"/>
      <c r="AT35" s="322"/>
      <c r="AU35" s="341"/>
      <c r="AV35" s="322"/>
      <c r="AW35" s="341"/>
      <c r="AX35" s="322"/>
      <c r="AY35" s="341"/>
      <c r="AZ35" s="322"/>
      <c r="BA35" s="341"/>
      <c r="BB35" s="322"/>
      <c r="BC35" s="341"/>
      <c r="BD35" s="322"/>
      <c r="BE35" s="341"/>
      <c r="BF35" s="322"/>
      <c r="BG35" s="341"/>
      <c r="BH35" s="322">
        <v>1</v>
      </c>
      <c r="BI35" s="341">
        <f t="shared" si="10"/>
        <v>1600000</v>
      </c>
      <c r="BJ35" s="322">
        <f t="shared" si="20"/>
        <v>1</v>
      </c>
      <c r="BK35" s="338">
        <f t="shared" si="21"/>
        <v>1600000</v>
      </c>
      <c r="BL35" s="336" t="s">
        <v>209</v>
      </c>
      <c r="BN35" s="340"/>
      <c r="BO35" s="340"/>
      <c r="BP35" s="340">
        <f>BK35</f>
        <v>1600000</v>
      </c>
      <c r="BQ35" s="340"/>
      <c r="BR35" s="340">
        <f t="shared" si="18"/>
        <v>1600000</v>
      </c>
      <c r="BS35" s="340"/>
      <c r="BT35" s="340"/>
      <c r="BU35" s="652">
        <f t="shared" si="19"/>
        <v>0</v>
      </c>
      <c r="BV35" s="341">
        <f t="shared" si="0"/>
        <v>1600000</v>
      </c>
    </row>
    <row r="36" spans="1:74" s="317" customFormat="1" x14ac:dyDescent="0.25">
      <c r="A36" s="428"/>
      <c r="B36" s="269" t="s">
        <v>1027</v>
      </c>
      <c r="C36" s="342" t="s">
        <v>112</v>
      </c>
      <c r="D36" s="336" t="s">
        <v>39</v>
      </c>
      <c r="E36" s="343">
        <v>700000</v>
      </c>
      <c r="F36" s="322">
        <f t="shared" ref="F36:F47" si="24">BJ36</f>
        <v>1</v>
      </c>
      <c r="G36" s="673">
        <f t="shared" ref="G36:G47" si="25">F36*E36</f>
        <v>700000</v>
      </c>
      <c r="H36" s="673">
        <f t="shared" si="23"/>
        <v>140000</v>
      </c>
      <c r="I36" s="673">
        <f t="shared" ref="I36:I47" si="26">G36*0.8</f>
        <v>560000</v>
      </c>
      <c r="J36" s="673"/>
      <c r="K36" s="673"/>
      <c r="L36" s="673"/>
      <c r="M36" s="673"/>
      <c r="N36" s="673"/>
      <c r="O36" s="338"/>
      <c r="P36" s="338"/>
      <c r="Q36" s="338"/>
      <c r="R36" s="322"/>
      <c r="S36" s="322"/>
      <c r="T36" s="322">
        <f t="shared" ref="T36:T47" si="27">F36</f>
        <v>1</v>
      </c>
      <c r="U36" s="322"/>
      <c r="V36" s="341"/>
      <c r="W36" s="341"/>
      <c r="X36" s="341">
        <f t="shared" ref="X36:X41" si="28">T36*E36</f>
        <v>700000</v>
      </c>
      <c r="Y36" s="341"/>
      <c r="Z36" s="322"/>
      <c r="AA36" s="341"/>
      <c r="AB36" s="322"/>
      <c r="AC36" s="341"/>
      <c r="AD36" s="322"/>
      <c r="AE36" s="341"/>
      <c r="AF36" s="322"/>
      <c r="AG36" s="341"/>
      <c r="AH36" s="322"/>
      <c r="AI36" s="341"/>
      <c r="AJ36" s="322"/>
      <c r="AK36" s="341"/>
      <c r="AL36" s="322"/>
      <c r="AM36" s="341"/>
      <c r="AN36" s="322"/>
      <c r="AO36" s="341"/>
      <c r="AP36" s="322"/>
      <c r="AQ36" s="341"/>
      <c r="AR36" s="322"/>
      <c r="AS36" s="341"/>
      <c r="AT36" s="322"/>
      <c r="AU36" s="341"/>
      <c r="AV36" s="322"/>
      <c r="AW36" s="341"/>
      <c r="AX36" s="322"/>
      <c r="AY36" s="341"/>
      <c r="AZ36" s="322"/>
      <c r="BA36" s="341"/>
      <c r="BB36" s="322"/>
      <c r="BC36" s="341"/>
      <c r="BD36" s="322"/>
      <c r="BE36" s="341"/>
      <c r="BF36" s="322"/>
      <c r="BG36" s="341"/>
      <c r="BH36" s="322">
        <v>1</v>
      </c>
      <c r="BI36" s="341">
        <f t="shared" si="10"/>
        <v>700000</v>
      </c>
      <c r="BJ36" s="322">
        <f t="shared" si="20"/>
        <v>1</v>
      </c>
      <c r="BK36" s="338">
        <f t="shared" si="21"/>
        <v>700000</v>
      </c>
      <c r="BL36" s="336" t="s">
        <v>209</v>
      </c>
      <c r="BN36" s="340"/>
      <c r="BO36" s="340"/>
      <c r="BP36" s="340">
        <f>BK36</f>
        <v>700000</v>
      </c>
      <c r="BQ36" s="340"/>
      <c r="BR36" s="340">
        <f t="shared" si="18"/>
        <v>700000</v>
      </c>
      <c r="BS36" s="340"/>
      <c r="BT36" s="340"/>
      <c r="BU36" s="652">
        <f t="shared" si="19"/>
        <v>0</v>
      </c>
      <c r="BV36" s="341">
        <f t="shared" si="0"/>
        <v>700000</v>
      </c>
    </row>
    <row r="37" spans="1:74" x14ac:dyDescent="0.25">
      <c r="A37" s="428"/>
      <c r="B37" s="269" t="s">
        <v>1028</v>
      </c>
      <c r="C37" s="342" t="s">
        <v>371</v>
      </c>
      <c r="D37" s="336" t="s">
        <v>39</v>
      </c>
      <c r="E37" s="343">
        <v>1800</v>
      </c>
      <c r="F37" s="322">
        <f t="shared" si="24"/>
        <v>0</v>
      </c>
      <c r="G37" s="673">
        <f t="shared" si="25"/>
        <v>0</v>
      </c>
      <c r="H37" s="673">
        <f t="shared" si="23"/>
        <v>0</v>
      </c>
      <c r="I37" s="673">
        <f t="shared" si="26"/>
        <v>0</v>
      </c>
      <c r="J37" s="673"/>
      <c r="K37" s="673"/>
      <c r="L37" s="673"/>
      <c r="M37" s="673"/>
      <c r="N37" s="673"/>
      <c r="O37" s="338"/>
      <c r="P37" s="338"/>
      <c r="Q37" s="338"/>
      <c r="R37" s="322"/>
      <c r="S37" s="322"/>
      <c r="T37" s="322">
        <f t="shared" si="27"/>
        <v>0</v>
      </c>
      <c r="U37" s="322"/>
      <c r="V37" s="341"/>
      <c r="W37" s="341"/>
      <c r="X37" s="341">
        <f t="shared" si="28"/>
        <v>0</v>
      </c>
      <c r="Y37" s="341"/>
      <c r="Z37" s="322"/>
      <c r="AA37" s="341"/>
      <c r="AB37" s="322"/>
      <c r="AC37" s="341"/>
      <c r="AD37" s="322"/>
      <c r="AE37" s="341"/>
      <c r="AF37" s="322"/>
      <c r="AG37" s="341"/>
      <c r="AH37" s="322"/>
      <c r="AI37" s="341"/>
      <c r="AJ37" s="322"/>
      <c r="AK37" s="341"/>
      <c r="AL37" s="322"/>
      <c r="AM37" s="341"/>
      <c r="AN37" s="322"/>
      <c r="AO37" s="341"/>
      <c r="AP37" s="322"/>
      <c r="AQ37" s="341"/>
      <c r="AR37" s="322"/>
      <c r="AS37" s="341"/>
      <c r="AT37" s="322"/>
      <c r="AU37" s="341"/>
      <c r="AV37" s="322"/>
      <c r="AW37" s="341"/>
      <c r="AX37" s="322"/>
      <c r="AY37" s="341"/>
      <c r="AZ37" s="322"/>
      <c r="BA37" s="341"/>
      <c r="BB37" s="322"/>
      <c r="BC37" s="341"/>
      <c r="BD37" s="322"/>
      <c r="BE37" s="341"/>
      <c r="BF37" s="322"/>
      <c r="BG37" s="341"/>
      <c r="BH37" s="322">
        <v>0</v>
      </c>
      <c r="BI37" s="341">
        <f t="shared" si="10"/>
        <v>0</v>
      </c>
      <c r="BJ37" s="322">
        <f t="shared" si="20"/>
        <v>0</v>
      </c>
      <c r="BK37" s="338">
        <f t="shared" si="21"/>
        <v>0</v>
      </c>
      <c r="BL37" s="336" t="s">
        <v>209</v>
      </c>
      <c r="BN37" s="340"/>
      <c r="BO37" s="340"/>
      <c r="BP37" s="340">
        <f>BK37</f>
        <v>0</v>
      </c>
      <c r="BQ37" s="340"/>
      <c r="BR37" s="340">
        <f t="shared" si="18"/>
        <v>0</v>
      </c>
      <c r="BS37" s="340"/>
      <c r="BT37" s="340"/>
      <c r="BU37" s="652">
        <f t="shared" si="19"/>
        <v>0</v>
      </c>
      <c r="BV37" s="341">
        <f t="shared" si="0"/>
        <v>0</v>
      </c>
    </row>
    <row r="38" spans="1:74" x14ac:dyDescent="0.25">
      <c r="A38" s="428"/>
      <c r="B38" s="269" t="s">
        <v>1029</v>
      </c>
      <c r="C38" s="342" t="s">
        <v>372</v>
      </c>
      <c r="D38" s="336" t="s">
        <v>73</v>
      </c>
      <c r="E38" s="343" t="s">
        <v>342</v>
      </c>
      <c r="F38" s="322">
        <f t="shared" si="24"/>
        <v>0</v>
      </c>
      <c r="G38" s="673">
        <f t="shared" si="25"/>
        <v>0</v>
      </c>
      <c r="H38" s="673">
        <f t="shared" si="23"/>
        <v>0</v>
      </c>
      <c r="I38" s="673">
        <f t="shared" si="26"/>
        <v>0</v>
      </c>
      <c r="J38" s="673"/>
      <c r="K38" s="673"/>
      <c r="L38" s="673"/>
      <c r="M38" s="673"/>
      <c r="N38" s="673"/>
      <c r="O38" s="338"/>
      <c r="P38" s="338"/>
      <c r="Q38" s="338"/>
      <c r="R38" s="322"/>
      <c r="S38" s="322"/>
      <c r="T38" s="322">
        <f t="shared" si="27"/>
        <v>0</v>
      </c>
      <c r="U38" s="322"/>
      <c r="V38" s="341"/>
      <c r="W38" s="341"/>
      <c r="X38" s="341">
        <f t="shared" si="28"/>
        <v>0</v>
      </c>
      <c r="Y38" s="341"/>
      <c r="Z38" s="322"/>
      <c r="AA38" s="341"/>
      <c r="AB38" s="322"/>
      <c r="AC38" s="341"/>
      <c r="AD38" s="322"/>
      <c r="AE38" s="341"/>
      <c r="AF38" s="322"/>
      <c r="AG38" s="341"/>
      <c r="AH38" s="322"/>
      <c r="AI38" s="341"/>
      <c r="AJ38" s="322"/>
      <c r="AK38" s="341"/>
      <c r="AL38" s="322"/>
      <c r="AM38" s="341"/>
      <c r="AN38" s="322"/>
      <c r="AO38" s="341"/>
      <c r="AP38" s="322"/>
      <c r="AQ38" s="341"/>
      <c r="AR38" s="322"/>
      <c r="AS38" s="341"/>
      <c r="AT38" s="322"/>
      <c r="AU38" s="341"/>
      <c r="AV38" s="322"/>
      <c r="AW38" s="341"/>
      <c r="AX38" s="322"/>
      <c r="AY38" s="341"/>
      <c r="AZ38" s="322"/>
      <c r="BA38" s="341"/>
      <c r="BB38" s="322"/>
      <c r="BC38" s="341"/>
      <c r="BD38" s="322"/>
      <c r="BE38" s="341"/>
      <c r="BF38" s="322"/>
      <c r="BG38" s="341"/>
      <c r="BH38" s="322">
        <v>0</v>
      </c>
      <c r="BI38" s="341">
        <f t="shared" si="10"/>
        <v>0</v>
      </c>
      <c r="BJ38" s="322">
        <f t="shared" si="20"/>
        <v>0</v>
      </c>
      <c r="BK38" s="338">
        <f t="shared" si="21"/>
        <v>0</v>
      </c>
      <c r="BL38" s="336" t="s">
        <v>209</v>
      </c>
      <c r="BN38" s="340"/>
      <c r="BO38" s="340">
        <f>BK38</f>
        <v>0</v>
      </c>
      <c r="BP38" s="340"/>
      <c r="BQ38" s="340"/>
      <c r="BR38" s="340">
        <f t="shared" si="18"/>
        <v>0</v>
      </c>
      <c r="BS38" s="340"/>
      <c r="BT38" s="340"/>
      <c r="BU38" s="652">
        <f t="shared" si="19"/>
        <v>0</v>
      </c>
      <c r="BV38" s="341">
        <f t="shared" si="0"/>
        <v>0</v>
      </c>
    </row>
    <row r="39" spans="1:74" x14ac:dyDescent="0.25">
      <c r="A39" s="428"/>
      <c r="B39" s="269" t="s">
        <v>1030</v>
      </c>
      <c r="C39" s="342" t="s">
        <v>373</v>
      </c>
      <c r="D39" s="336" t="s">
        <v>73</v>
      </c>
      <c r="E39" s="343">
        <v>400000</v>
      </c>
      <c r="F39" s="322">
        <f t="shared" si="24"/>
        <v>1</v>
      </c>
      <c r="G39" s="673">
        <f t="shared" si="25"/>
        <v>400000</v>
      </c>
      <c r="H39" s="673">
        <f t="shared" si="23"/>
        <v>80000</v>
      </c>
      <c r="I39" s="673">
        <f t="shared" si="26"/>
        <v>320000</v>
      </c>
      <c r="J39" s="673"/>
      <c r="K39" s="673"/>
      <c r="L39" s="673"/>
      <c r="M39" s="673"/>
      <c r="N39" s="673"/>
      <c r="O39" s="338"/>
      <c r="P39" s="338"/>
      <c r="Q39" s="338"/>
      <c r="R39" s="322"/>
      <c r="S39" s="322"/>
      <c r="T39" s="322">
        <f t="shared" si="27"/>
        <v>1</v>
      </c>
      <c r="U39" s="322"/>
      <c r="V39" s="341"/>
      <c r="W39" s="341"/>
      <c r="X39" s="341">
        <f t="shared" si="28"/>
        <v>400000</v>
      </c>
      <c r="Y39" s="341"/>
      <c r="Z39" s="322"/>
      <c r="AA39" s="341"/>
      <c r="AB39" s="322"/>
      <c r="AC39" s="341"/>
      <c r="AD39" s="322"/>
      <c r="AE39" s="341"/>
      <c r="AF39" s="322"/>
      <c r="AG39" s="341"/>
      <c r="AH39" s="322"/>
      <c r="AI39" s="341"/>
      <c r="AJ39" s="322"/>
      <c r="AK39" s="341"/>
      <c r="AL39" s="322"/>
      <c r="AM39" s="341"/>
      <c r="AN39" s="322"/>
      <c r="AO39" s="341"/>
      <c r="AP39" s="322"/>
      <c r="AQ39" s="341"/>
      <c r="AR39" s="322"/>
      <c r="AS39" s="341"/>
      <c r="AT39" s="322"/>
      <c r="AU39" s="341"/>
      <c r="AV39" s="322"/>
      <c r="AW39" s="341"/>
      <c r="AX39" s="322"/>
      <c r="AY39" s="341"/>
      <c r="AZ39" s="322"/>
      <c r="BA39" s="341"/>
      <c r="BB39" s="322"/>
      <c r="BC39" s="341"/>
      <c r="BD39" s="322"/>
      <c r="BE39" s="341"/>
      <c r="BF39" s="322"/>
      <c r="BG39" s="341"/>
      <c r="BH39" s="322">
        <v>1</v>
      </c>
      <c r="BI39" s="341">
        <f t="shared" si="10"/>
        <v>400000</v>
      </c>
      <c r="BJ39" s="322">
        <f t="shared" si="20"/>
        <v>1</v>
      </c>
      <c r="BK39" s="338">
        <f t="shared" si="21"/>
        <v>400000</v>
      </c>
      <c r="BL39" s="336" t="s">
        <v>209</v>
      </c>
      <c r="BN39" s="340"/>
      <c r="BO39" s="340"/>
      <c r="BP39" s="340"/>
      <c r="BQ39" s="340"/>
      <c r="BR39" s="340">
        <f t="shared" si="18"/>
        <v>0</v>
      </c>
      <c r="BS39" s="340"/>
      <c r="BT39" s="340">
        <f>BK39</f>
        <v>400000</v>
      </c>
      <c r="BU39" s="652">
        <f t="shared" si="19"/>
        <v>400000</v>
      </c>
      <c r="BV39" s="341">
        <f t="shared" si="0"/>
        <v>400000</v>
      </c>
    </row>
    <row r="40" spans="1:74" x14ac:dyDescent="0.25">
      <c r="A40" s="428"/>
      <c r="B40" s="408"/>
      <c r="C40" s="335" t="s">
        <v>113</v>
      </c>
      <c r="D40" s="336" t="s">
        <v>111</v>
      </c>
      <c r="E40" s="343"/>
      <c r="F40" s="322">
        <f t="shared" si="24"/>
        <v>0</v>
      </c>
      <c r="G40" s="673">
        <f t="shared" si="25"/>
        <v>0</v>
      </c>
      <c r="H40" s="673">
        <f t="shared" si="23"/>
        <v>0</v>
      </c>
      <c r="I40" s="673">
        <f t="shared" si="26"/>
        <v>0</v>
      </c>
      <c r="J40" s="673"/>
      <c r="K40" s="673"/>
      <c r="L40" s="673"/>
      <c r="M40" s="673"/>
      <c r="N40" s="673"/>
      <c r="O40" s="338"/>
      <c r="P40" s="338"/>
      <c r="Q40" s="338"/>
      <c r="R40" s="322"/>
      <c r="S40" s="322"/>
      <c r="T40" s="322">
        <f t="shared" si="27"/>
        <v>0</v>
      </c>
      <c r="U40" s="322"/>
      <c r="V40" s="341"/>
      <c r="W40" s="341"/>
      <c r="X40" s="341">
        <f t="shared" si="28"/>
        <v>0</v>
      </c>
      <c r="Y40" s="341"/>
      <c r="Z40" s="322"/>
      <c r="AA40" s="341"/>
      <c r="AB40" s="322"/>
      <c r="AC40" s="341"/>
      <c r="AD40" s="322"/>
      <c r="AE40" s="341"/>
      <c r="AF40" s="322"/>
      <c r="AG40" s="341"/>
      <c r="AH40" s="322"/>
      <c r="AI40" s="341"/>
      <c r="AJ40" s="322"/>
      <c r="AK40" s="341"/>
      <c r="AL40" s="322"/>
      <c r="AM40" s="341"/>
      <c r="AN40" s="322"/>
      <c r="AO40" s="341"/>
      <c r="AP40" s="322"/>
      <c r="AQ40" s="341"/>
      <c r="AR40" s="322"/>
      <c r="AS40" s="341"/>
      <c r="AT40" s="322"/>
      <c r="AU40" s="341"/>
      <c r="AV40" s="322"/>
      <c r="AW40" s="341"/>
      <c r="AX40" s="322"/>
      <c r="AY40" s="341"/>
      <c r="AZ40" s="322"/>
      <c r="BA40" s="341"/>
      <c r="BB40" s="322"/>
      <c r="BC40" s="341"/>
      <c r="BD40" s="322"/>
      <c r="BE40" s="341"/>
      <c r="BF40" s="322"/>
      <c r="BG40" s="341"/>
      <c r="BH40" s="322"/>
      <c r="BI40" s="341">
        <f t="shared" si="10"/>
        <v>0</v>
      </c>
      <c r="BJ40" s="322">
        <f t="shared" si="20"/>
        <v>0</v>
      </c>
      <c r="BK40" s="338">
        <f t="shared" si="21"/>
        <v>0</v>
      </c>
      <c r="BL40" s="336" t="s">
        <v>111</v>
      </c>
      <c r="BN40" s="340"/>
      <c r="BO40" s="340"/>
      <c r="BP40" s="340"/>
      <c r="BQ40" s="340"/>
      <c r="BR40" s="340"/>
      <c r="BS40" s="340"/>
      <c r="BT40" s="340"/>
      <c r="BU40" s="652">
        <f t="shared" si="19"/>
        <v>0</v>
      </c>
      <c r="BV40" s="341">
        <f t="shared" si="0"/>
        <v>0</v>
      </c>
    </row>
    <row r="41" spans="1:74" x14ac:dyDescent="0.25">
      <c r="A41" s="428"/>
      <c r="B41" s="408"/>
      <c r="C41" s="335" t="s">
        <v>374</v>
      </c>
      <c r="D41" s="336"/>
      <c r="E41" s="336"/>
      <c r="F41" s="322">
        <f t="shared" si="24"/>
        <v>0</v>
      </c>
      <c r="G41" s="673">
        <f t="shared" si="25"/>
        <v>0</v>
      </c>
      <c r="H41" s="673">
        <f t="shared" si="23"/>
        <v>0</v>
      </c>
      <c r="I41" s="673">
        <f t="shared" si="26"/>
        <v>0</v>
      </c>
      <c r="J41" s="673"/>
      <c r="K41" s="673"/>
      <c r="L41" s="673"/>
      <c r="M41" s="673"/>
      <c r="N41" s="673"/>
      <c r="O41" s="338"/>
      <c r="P41" s="338"/>
      <c r="Q41" s="338"/>
      <c r="R41" s="322"/>
      <c r="S41" s="322"/>
      <c r="T41" s="322">
        <f t="shared" si="27"/>
        <v>0</v>
      </c>
      <c r="U41" s="322"/>
      <c r="V41" s="341"/>
      <c r="W41" s="341"/>
      <c r="X41" s="341">
        <f t="shared" si="28"/>
        <v>0</v>
      </c>
      <c r="Y41" s="341"/>
      <c r="Z41" s="322"/>
      <c r="AA41" s="341"/>
      <c r="AB41" s="322"/>
      <c r="AC41" s="341"/>
      <c r="AD41" s="322"/>
      <c r="AE41" s="341"/>
      <c r="AF41" s="322"/>
      <c r="AG41" s="341"/>
      <c r="AH41" s="322"/>
      <c r="AI41" s="341"/>
      <c r="AJ41" s="322"/>
      <c r="AK41" s="341"/>
      <c r="AL41" s="322"/>
      <c r="AM41" s="341"/>
      <c r="AN41" s="322"/>
      <c r="AO41" s="341"/>
      <c r="AP41" s="322"/>
      <c r="AQ41" s="341"/>
      <c r="AR41" s="322"/>
      <c r="AS41" s="341"/>
      <c r="AT41" s="322"/>
      <c r="AU41" s="341"/>
      <c r="AV41" s="322"/>
      <c r="AW41" s="341"/>
      <c r="AX41" s="322"/>
      <c r="AY41" s="341"/>
      <c r="AZ41" s="322"/>
      <c r="BA41" s="341"/>
      <c r="BB41" s="322"/>
      <c r="BC41" s="341"/>
      <c r="BD41" s="322"/>
      <c r="BE41" s="341"/>
      <c r="BF41" s="322"/>
      <c r="BG41" s="341"/>
      <c r="BH41" s="322"/>
      <c r="BI41" s="341">
        <f t="shared" si="10"/>
        <v>0</v>
      </c>
      <c r="BJ41" s="322">
        <f t="shared" si="20"/>
        <v>0</v>
      </c>
      <c r="BK41" s="338">
        <f t="shared" si="21"/>
        <v>0</v>
      </c>
      <c r="BL41" s="336"/>
      <c r="BN41" s="340"/>
      <c r="BO41" s="340"/>
      <c r="BP41" s="340">
        <f>G41</f>
        <v>0</v>
      </c>
      <c r="BQ41" s="340"/>
      <c r="BR41" s="340">
        <f t="shared" si="18"/>
        <v>0</v>
      </c>
      <c r="BS41" s="340"/>
      <c r="BT41" s="340"/>
      <c r="BU41" s="652">
        <f t="shared" si="19"/>
        <v>0</v>
      </c>
      <c r="BV41" s="341">
        <f t="shared" si="0"/>
        <v>0</v>
      </c>
    </row>
    <row r="42" spans="1:74" x14ac:dyDescent="0.25">
      <c r="A42" s="428"/>
      <c r="B42" s="269" t="s">
        <v>1031</v>
      </c>
      <c r="C42" s="342" t="s">
        <v>1238</v>
      </c>
      <c r="D42" s="336" t="s">
        <v>16</v>
      </c>
      <c r="E42" s="654">
        <v>1000000</v>
      </c>
      <c r="F42" s="322">
        <f t="shared" si="24"/>
        <v>1</v>
      </c>
      <c r="G42" s="673">
        <f t="shared" si="25"/>
        <v>1000000</v>
      </c>
      <c r="H42" s="673">
        <f>G42*0.2</f>
        <v>200000</v>
      </c>
      <c r="I42" s="673">
        <f>G42*0.8</f>
        <v>800000</v>
      </c>
      <c r="J42" s="673">
        <v>0</v>
      </c>
      <c r="K42" s="673">
        <f t="shared" ref="K42:Q42" si="29">J42*I42</f>
        <v>0</v>
      </c>
      <c r="L42" s="673">
        <f t="shared" si="29"/>
        <v>0</v>
      </c>
      <c r="M42" s="673">
        <f t="shared" si="29"/>
        <v>0</v>
      </c>
      <c r="N42" s="673">
        <f t="shared" si="29"/>
        <v>0</v>
      </c>
      <c r="O42" s="673">
        <f t="shared" si="29"/>
        <v>0</v>
      </c>
      <c r="P42" s="673">
        <f t="shared" si="29"/>
        <v>0</v>
      </c>
      <c r="Q42" s="673">
        <f t="shared" si="29"/>
        <v>0</v>
      </c>
      <c r="R42" s="322">
        <v>0</v>
      </c>
      <c r="S42" s="322">
        <v>1</v>
      </c>
      <c r="T42" s="322">
        <f>F42*0</f>
        <v>0</v>
      </c>
      <c r="U42" s="322">
        <v>0</v>
      </c>
      <c r="V42" s="673">
        <v>0</v>
      </c>
      <c r="W42" s="673">
        <f t="shared" ref="W42:X42" si="30">S42*E42</f>
        <v>1000000</v>
      </c>
      <c r="X42" s="673">
        <f t="shared" si="30"/>
        <v>0</v>
      </c>
      <c r="Y42" s="673">
        <f>U42*G42</f>
        <v>0</v>
      </c>
      <c r="Z42" s="673"/>
      <c r="AA42" s="673"/>
      <c r="AB42" s="673"/>
      <c r="AC42" s="673"/>
      <c r="AD42" s="673"/>
      <c r="AE42" s="673"/>
      <c r="AF42" s="673"/>
      <c r="AG42" s="673"/>
      <c r="AH42" s="673"/>
      <c r="AI42" s="673"/>
      <c r="AJ42" s="673"/>
      <c r="AK42" s="673"/>
      <c r="AL42" s="673"/>
      <c r="AM42" s="673"/>
      <c r="AN42" s="673"/>
      <c r="AO42" s="673"/>
      <c r="AP42" s="673"/>
      <c r="AQ42" s="673"/>
      <c r="AR42" s="673"/>
      <c r="AS42" s="673"/>
      <c r="AT42" s="673"/>
      <c r="AU42" s="673"/>
      <c r="AV42" s="673"/>
      <c r="AW42" s="673"/>
      <c r="AX42" s="673"/>
      <c r="AY42" s="673"/>
      <c r="AZ42" s="673"/>
      <c r="BA42" s="673"/>
      <c r="BB42" s="673"/>
      <c r="BC42" s="673"/>
      <c r="BD42" s="322"/>
      <c r="BE42" s="341"/>
      <c r="BF42" s="322"/>
      <c r="BG42" s="341"/>
      <c r="BH42" s="322">
        <v>1</v>
      </c>
      <c r="BI42" s="341">
        <f t="shared" si="10"/>
        <v>1000000</v>
      </c>
      <c r="BJ42" s="322">
        <f t="shared" si="20"/>
        <v>1</v>
      </c>
      <c r="BK42" s="338">
        <f t="shared" si="21"/>
        <v>1000000</v>
      </c>
      <c r="BL42" s="336" t="s">
        <v>209</v>
      </c>
      <c r="BN42" s="340"/>
      <c r="BO42" s="340"/>
      <c r="BP42" s="340">
        <f>G42</f>
        <v>1000000</v>
      </c>
      <c r="BQ42" s="340"/>
      <c r="BR42" s="340">
        <f t="shared" si="18"/>
        <v>1000000</v>
      </c>
      <c r="BS42" s="340"/>
      <c r="BT42" s="340"/>
      <c r="BU42" s="652">
        <f t="shared" si="19"/>
        <v>0</v>
      </c>
      <c r="BV42" s="341">
        <f t="shared" si="0"/>
        <v>1000000</v>
      </c>
    </row>
    <row r="43" spans="1:74" ht="31.5" x14ac:dyDescent="0.25">
      <c r="A43" s="428"/>
      <c r="B43" s="269" t="s">
        <v>1032</v>
      </c>
      <c r="C43" s="344" t="s">
        <v>501</v>
      </c>
      <c r="D43" s="336" t="s">
        <v>16</v>
      </c>
      <c r="E43" s="343">
        <v>16000000</v>
      </c>
      <c r="F43" s="322">
        <f t="shared" si="24"/>
        <v>1</v>
      </c>
      <c r="G43" s="673">
        <f t="shared" si="25"/>
        <v>16000000</v>
      </c>
      <c r="H43" s="673">
        <f>G43*0.5</f>
        <v>8000000</v>
      </c>
      <c r="I43" s="673">
        <f>G43*0.5</f>
        <v>8000000</v>
      </c>
      <c r="J43" s="673"/>
      <c r="K43" s="673"/>
      <c r="L43" s="673"/>
      <c r="M43" s="673"/>
      <c r="N43" s="673"/>
      <c r="O43" s="338"/>
      <c r="P43" s="338"/>
      <c r="Q43" s="338"/>
      <c r="R43" s="322">
        <v>0.25</v>
      </c>
      <c r="S43" s="322">
        <v>0.25</v>
      </c>
      <c r="T43" s="322">
        <f>F43*0.25</f>
        <v>0.25</v>
      </c>
      <c r="U43" s="322">
        <v>0.25</v>
      </c>
      <c r="V43" s="673">
        <f>G43*R43</f>
        <v>4000000</v>
      </c>
      <c r="W43" s="673">
        <f>G43*S43</f>
        <v>4000000</v>
      </c>
      <c r="X43" s="673">
        <f>G43*T43</f>
        <v>4000000</v>
      </c>
      <c r="Y43" s="673">
        <f>G43*U43</f>
        <v>4000000</v>
      </c>
      <c r="Z43" s="322"/>
      <c r="AA43" s="341"/>
      <c r="AB43" s="322"/>
      <c r="AC43" s="341"/>
      <c r="AD43" s="322"/>
      <c r="AE43" s="341"/>
      <c r="AF43" s="322"/>
      <c r="AG43" s="341"/>
      <c r="AH43" s="322"/>
      <c r="AI43" s="341"/>
      <c r="AJ43" s="322"/>
      <c r="AK43" s="341"/>
      <c r="AL43" s="322"/>
      <c r="AM43" s="341"/>
      <c r="AN43" s="322"/>
      <c r="AO43" s="341"/>
      <c r="AP43" s="322"/>
      <c r="AQ43" s="341"/>
      <c r="AR43" s="322"/>
      <c r="AS43" s="341"/>
      <c r="AT43" s="322"/>
      <c r="AU43" s="341"/>
      <c r="AV43" s="322"/>
      <c r="AW43" s="341"/>
      <c r="AX43" s="322"/>
      <c r="AY43" s="341"/>
      <c r="AZ43" s="322"/>
      <c r="BA43" s="341"/>
      <c r="BB43" s="322"/>
      <c r="BC43" s="341"/>
      <c r="BD43" s="322"/>
      <c r="BE43" s="341"/>
      <c r="BF43" s="322"/>
      <c r="BG43" s="341"/>
      <c r="BH43" s="322">
        <v>1</v>
      </c>
      <c r="BI43" s="341">
        <f t="shared" si="10"/>
        <v>16000000</v>
      </c>
      <c r="BJ43" s="322">
        <f t="shared" si="20"/>
        <v>1</v>
      </c>
      <c r="BK43" s="338">
        <f t="shared" si="21"/>
        <v>16000000</v>
      </c>
      <c r="BL43" s="336" t="s">
        <v>211</v>
      </c>
      <c r="BN43" s="340"/>
      <c r="BO43" s="340"/>
      <c r="BP43" s="340">
        <f>BK43</f>
        <v>16000000</v>
      </c>
      <c r="BQ43" s="340"/>
      <c r="BR43" s="340">
        <f t="shared" si="18"/>
        <v>16000000</v>
      </c>
      <c r="BS43" s="340"/>
      <c r="BT43" s="340"/>
      <c r="BU43" s="652">
        <f t="shared" si="19"/>
        <v>0</v>
      </c>
      <c r="BV43" s="341">
        <f t="shared" si="0"/>
        <v>16000000</v>
      </c>
    </row>
    <row r="44" spans="1:74" x14ac:dyDescent="0.25">
      <c r="A44" s="428"/>
      <c r="B44" s="269" t="s">
        <v>1033</v>
      </c>
      <c r="C44" s="342" t="s">
        <v>114</v>
      </c>
      <c r="D44" s="336" t="s">
        <v>16</v>
      </c>
      <c r="E44" s="654">
        <v>50000</v>
      </c>
      <c r="F44" s="322">
        <f t="shared" si="24"/>
        <v>1</v>
      </c>
      <c r="G44" s="673">
        <f t="shared" si="25"/>
        <v>50000</v>
      </c>
      <c r="H44" s="673">
        <f t="shared" si="23"/>
        <v>10000</v>
      </c>
      <c r="I44" s="673">
        <f t="shared" si="26"/>
        <v>40000</v>
      </c>
      <c r="J44" s="673"/>
      <c r="K44" s="673"/>
      <c r="L44" s="673"/>
      <c r="M44" s="673"/>
      <c r="N44" s="673"/>
      <c r="O44" s="338"/>
      <c r="P44" s="338"/>
      <c r="Q44" s="338"/>
      <c r="R44" s="322"/>
      <c r="S44" s="322"/>
      <c r="T44" s="322">
        <f t="shared" si="27"/>
        <v>1</v>
      </c>
      <c r="U44" s="322"/>
      <c r="V44" s="341"/>
      <c r="W44" s="341"/>
      <c r="X44" s="341">
        <f>T44*E44</f>
        <v>50000</v>
      </c>
      <c r="Y44" s="341"/>
      <c r="Z44" s="322"/>
      <c r="AA44" s="341"/>
      <c r="AB44" s="322"/>
      <c r="AC44" s="341"/>
      <c r="AD44" s="322"/>
      <c r="AE44" s="341"/>
      <c r="AF44" s="322"/>
      <c r="AG44" s="341"/>
      <c r="AH44" s="322"/>
      <c r="AI44" s="341"/>
      <c r="AJ44" s="322"/>
      <c r="AK44" s="341"/>
      <c r="AL44" s="322"/>
      <c r="AM44" s="341"/>
      <c r="AN44" s="322"/>
      <c r="AO44" s="341"/>
      <c r="AP44" s="322"/>
      <c r="AQ44" s="341"/>
      <c r="AR44" s="322"/>
      <c r="AS44" s="341"/>
      <c r="AT44" s="322"/>
      <c r="AU44" s="341"/>
      <c r="AV44" s="322"/>
      <c r="AW44" s="341"/>
      <c r="AX44" s="322"/>
      <c r="AY44" s="341"/>
      <c r="AZ44" s="322"/>
      <c r="BA44" s="341"/>
      <c r="BB44" s="322"/>
      <c r="BC44" s="341"/>
      <c r="BD44" s="322"/>
      <c r="BE44" s="341"/>
      <c r="BF44" s="322"/>
      <c r="BG44" s="341"/>
      <c r="BH44" s="322">
        <v>1</v>
      </c>
      <c r="BI44" s="341">
        <f t="shared" si="10"/>
        <v>50000</v>
      </c>
      <c r="BJ44" s="322">
        <f t="shared" si="20"/>
        <v>1</v>
      </c>
      <c r="BK44" s="338">
        <f t="shared" si="21"/>
        <v>50000</v>
      </c>
      <c r="BL44" s="336" t="s">
        <v>209</v>
      </c>
      <c r="BN44" s="340"/>
      <c r="BO44" s="340"/>
      <c r="BP44" s="340"/>
      <c r="BQ44" s="340"/>
      <c r="BR44" s="340">
        <f t="shared" si="18"/>
        <v>0</v>
      </c>
      <c r="BS44" s="340"/>
      <c r="BT44" s="340">
        <f>BK44</f>
        <v>50000</v>
      </c>
      <c r="BU44" s="652">
        <f t="shared" si="19"/>
        <v>50000</v>
      </c>
      <c r="BV44" s="341">
        <f t="shared" si="0"/>
        <v>50000</v>
      </c>
    </row>
    <row r="45" spans="1:74" x14ac:dyDescent="0.25">
      <c r="A45" s="428"/>
      <c r="B45" s="269" t="s">
        <v>1034</v>
      </c>
      <c r="C45" s="342" t="s">
        <v>375</v>
      </c>
      <c r="D45" s="336" t="s">
        <v>16</v>
      </c>
      <c r="E45" s="343">
        <v>200000</v>
      </c>
      <c r="F45" s="322">
        <f t="shared" si="24"/>
        <v>1</v>
      </c>
      <c r="G45" s="673">
        <f t="shared" si="25"/>
        <v>200000</v>
      </c>
      <c r="H45" s="673">
        <f t="shared" si="23"/>
        <v>40000</v>
      </c>
      <c r="I45" s="673">
        <f t="shared" si="26"/>
        <v>160000</v>
      </c>
      <c r="J45" s="673"/>
      <c r="K45" s="673"/>
      <c r="L45" s="673"/>
      <c r="M45" s="673"/>
      <c r="N45" s="673"/>
      <c r="O45" s="338"/>
      <c r="P45" s="338"/>
      <c r="Q45" s="338"/>
      <c r="R45" s="322"/>
      <c r="S45" s="322"/>
      <c r="T45" s="322">
        <f t="shared" si="27"/>
        <v>1</v>
      </c>
      <c r="U45" s="322"/>
      <c r="V45" s="341"/>
      <c r="W45" s="341"/>
      <c r="X45" s="341">
        <f>T45*E45</f>
        <v>200000</v>
      </c>
      <c r="Y45" s="341"/>
      <c r="Z45" s="322"/>
      <c r="AA45" s="341"/>
      <c r="AB45" s="322"/>
      <c r="AC45" s="341"/>
      <c r="AD45" s="322"/>
      <c r="AE45" s="341"/>
      <c r="AF45" s="322"/>
      <c r="AG45" s="341"/>
      <c r="AH45" s="322"/>
      <c r="AI45" s="341"/>
      <c r="AJ45" s="322"/>
      <c r="AK45" s="341"/>
      <c r="AL45" s="322"/>
      <c r="AM45" s="341"/>
      <c r="AN45" s="322"/>
      <c r="AO45" s="341"/>
      <c r="AP45" s="322"/>
      <c r="AQ45" s="341"/>
      <c r="AR45" s="322"/>
      <c r="AS45" s="341"/>
      <c r="AT45" s="322"/>
      <c r="AU45" s="341"/>
      <c r="AV45" s="322"/>
      <c r="AW45" s="341"/>
      <c r="AX45" s="322"/>
      <c r="AY45" s="341"/>
      <c r="AZ45" s="322"/>
      <c r="BA45" s="341"/>
      <c r="BB45" s="322"/>
      <c r="BC45" s="341"/>
      <c r="BD45" s="322"/>
      <c r="BE45" s="341"/>
      <c r="BF45" s="322"/>
      <c r="BG45" s="341"/>
      <c r="BH45" s="322">
        <v>1</v>
      </c>
      <c r="BI45" s="341">
        <f t="shared" si="10"/>
        <v>200000</v>
      </c>
      <c r="BJ45" s="322">
        <f t="shared" si="20"/>
        <v>1</v>
      </c>
      <c r="BK45" s="338">
        <f t="shared" si="21"/>
        <v>200000</v>
      </c>
      <c r="BL45" s="336" t="s">
        <v>209</v>
      </c>
      <c r="BN45" s="340"/>
      <c r="BO45" s="340"/>
      <c r="BP45" s="340"/>
      <c r="BQ45" s="340"/>
      <c r="BR45" s="340">
        <f t="shared" si="18"/>
        <v>0</v>
      </c>
      <c r="BS45" s="340"/>
      <c r="BT45" s="340">
        <f>BK45</f>
        <v>200000</v>
      </c>
      <c r="BU45" s="652">
        <f t="shared" si="19"/>
        <v>200000</v>
      </c>
      <c r="BV45" s="341">
        <f t="shared" si="0"/>
        <v>200000</v>
      </c>
    </row>
    <row r="46" spans="1:74" x14ac:dyDescent="0.25">
      <c r="A46" s="428"/>
      <c r="B46" s="269" t="s">
        <v>1035</v>
      </c>
      <c r="C46" s="342" t="s">
        <v>376</v>
      </c>
      <c r="D46" s="336" t="s">
        <v>16</v>
      </c>
      <c r="E46" s="343">
        <v>500000</v>
      </c>
      <c r="F46" s="322">
        <f t="shared" si="24"/>
        <v>1</v>
      </c>
      <c r="G46" s="673">
        <f t="shared" si="25"/>
        <v>500000</v>
      </c>
      <c r="H46" s="673">
        <f t="shared" si="23"/>
        <v>100000</v>
      </c>
      <c r="I46" s="673">
        <f t="shared" si="26"/>
        <v>400000</v>
      </c>
      <c r="J46" s="674"/>
      <c r="K46" s="674"/>
      <c r="L46" s="674"/>
      <c r="M46" s="674"/>
      <c r="N46" s="674"/>
      <c r="O46" s="674"/>
      <c r="P46" s="674"/>
      <c r="Q46" s="674"/>
      <c r="R46" s="408"/>
      <c r="S46" s="408"/>
      <c r="T46" s="322">
        <f t="shared" si="27"/>
        <v>1</v>
      </c>
      <c r="U46" s="408"/>
      <c r="V46" s="674"/>
      <c r="W46" s="674"/>
      <c r="X46" s="341">
        <f>T46*E46</f>
        <v>500000</v>
      </c>
      <c r="Y46" s="674"/>
      <c r="Z46" s="408"/>
      <c r="AA46" s="674"/>
      <c r="AB46" s="408"/>
      <c r="AC46" s="674"/>
      <c r="AD46" s="408"/>
      <c r="AE46" s="674"/>
      <c r="AF46" s="408"/>
      <c r="AG46" s="674"/>
      <c r="AH46" s="408"/>
      <c r="AI46" s="674"/>
      <c r="AJ46" s="408"/>
      <c r="AK46" s="674"/>
      <c r="AL46" s="408"/>
      <c r="AM46" s="674"/>
      <c r="AN46" s="408"/>
      <c r="AO46" s="674"/>
      <c r="AP46" s="408"/>
      <c r="AQ46" s="674"/>
      <c r="AR46" s="408"/>
      <c r="AS46" s="674"/>
      <c r="AT46" s="408"/>
      <c r="AU46" s="674"/>
      <c r="AV46" s="408"/>
      <c r="AW46" s="674"/>
      <c r="AX46" s="408"/>
      <c r="AY46" s="674"/>
      <c r="AZ46" s="408"/>
      <c r="BA46" s="674"/>
      <c r="BB46" s="408"/>
      <c r="BC46" s="674"/>
      <c r="BD46" s="408"/>
      <c r="BE46" s="674"/>
      <c r="BF46" s="408"/>
      <c r="BG46" s="674"/>
      <c r="BH46" s="408">
        <v>1</v>
      </c>
      <c r="BI46" s="341">
        <f t="shared" si="10"/>
        <v>500000</v>
      </c>
      <c r="BJ46" s="408">
        <f t="shared" si="20"/>
        <v>1</v>
      </c>
      <c r="BK46" s="674">
        <f t="shared" si="21"/>
        <v>500000</v>
      </c>
      <c r="BL46" s="336" t="s">
        <v>209</v>
      </c>
      <c r="BN46" s="677"/>
      <c r="BO46" s="677">
        <f>G46</f>
        <v>500000</v>
      </c>
      <c r="BP46" s="677"/>
      <c r="BQ46" s="677"/>
      <c r="BR46" s="340">
        <f t="shared" si="18"/>
        <v>500000</v>
      </c>
      <c r="BS46" s="677">
        <f t="shared" ref="BS46" si="31">SUM(BS20:BS45)</f>
        <v>0</v>
      </c>
      <c r="BT46" s="677"/>
      <c r="BU46" s="652">
        <f t="shared" si="19"/>
        <v>0</v>
      </c>
      <c r="BV46" s="341">
        <f t="shared" si="0"/>
        <v>500000</v>
      </c>
    </row>
    <row r="47" spans="1:74" x14ac:dyDescent="0.25">
      <c r="A47" s="428"/>
      <c r="B47" s="269" t="s">
        <v>1036</v>
      </c>
      <c r="C47" s="342" t="s">
        <v>503</v>
      </c>
      <c r="D47" s="336" t="s">
        <v>16</v>
      </c>
      <c r="E47" s="343">
        <v>1500000</v>
      </c>
      <c r="F47" s="322">
        <f t="shared" si="24"/>
        <v>1</v>
      </c>
      <c r="G47" s="673">
        <f t="shared" si="25"/>
        <v>1500000</v>
      </c>
      <c r="H47" s="673">
        <f t="shared" si="23"/>
        <v>300000</v>
      </c>
      <c r="I47" s="673">
        <f t="shared" si="26"/>
        <v>1200000</v>
      </c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>
        <f t="shared" si="27"/>
        <v>1</v>
      </c>
      <c r="U47" s="322"/>
      <c r="V47" s="322"/>
      <c r="W47" s="322"/>
      <c r="X47" s="341">
        <f>T47*E47</f>
        <v>1500000</v>
      </c>
      <c r="Y47" s="322"/>
      <c r="Z47" s="322"/>
      <c r="AA47" s="322"/>
      <c r="AB47" s="322"/>
      <c r="AC47" s="341"/>
      <c r="AD47" s="322"/>
      <c r="AE47" s="341"/>
      <c r="AF47" s="322"/>
      <c r="AG47" s="341"/>
      <c r="AH47" s="322"/>
      <c r="AI47" s="341"/>
      <c r="AJ47" s="322"/>
      <c r="AK47" s="341"/>
      <c r="AL47" s="322"/>
      <c r="AM47" s="341"/>
      <c r="AN47" s="322"/>
      <c r="AO47" s="341"/>
      <c r="AP47" s="322"/>
      <c r="AQ47" s="341"/>
      <c r="AR47" s="322"/>
      <c r="AS47" s="341"/>
      <c r="AT47" s="322"/>
      <c r="AU47" s="341"/>
      <c r="AV47" s="322"/>
      <c r="AW47" s="341"/>
      <c r="AX47" s="322"/>
      <c r="AY47" s="341"/>
      <c r="AZ47" s="322"/>
      <c r="BA47" s="341"/>
      <c r="BB47" s="322"/>
      <c r="BC47" s="341"/>
      <c r="BD47" s="322"/>
      <c r="BE47" s="341"/>
      <c r="BF47" s="322"/>
      <c r="BG47" s="341"/>
      <c r="BH47" s="322">
        <v>1</v>
      </c>
      <c r="BI47" s="341">
        <f t="shared" si="10"/>
        <v>1500000</v>
      </c>
      <c r="BJ47" s="322">
        <f t="shared" si="20"/>
        <v>1</v>
      </c>
      <c r="BK47" s="322">
        <f t="shared" si="21"/>
        <v>1500000</v>
      </c>
      <c r="BL47" s="336" t="s">
        <v>209</v>
      </c>
      <c r="BN47" s="340"/>
      <c r="BO47" s="340">
        <f>BK47</f>
        <v>1500000</v>
      </c>
      <c r="BP47" s="340"/>
      <c r="BQ47" s="340"/>
      <c r="BR47" s="340">
        <f t="shared" si="18"/>
        <v>1500000</v>
      </c>
      <c r="BS47" s="340"/>
      <c r="BT47" s="340"/>
      <c r="BU47" s="652">
        <f t="shared" si="19"/>
        <v>0</v>
      </c>
      <c r="BV47" s="341">
        <f t="shared" si="0"/>
        <v>1500000</v>
      </c>
    </row>
    <row r="48" spans="1:74" s="317" customFormat="1" x14ac:dyDescent="0.25">
      <c r="A48" s="428"/>
      <c r="B48" s="382"/>
      <c r="C48" s="335" t="s">
        <v>115</v>
      </c>
      <c r="D48" s="346" t="s">
        <v>111</v>
      </c>
      <c r="E48" s="354" t="s">
        <v>111</v>
      </c>
      <c r="F48" s="332">
        <f>SUM(F35:F47)</f>
        <v>9</v>
      </c>
      <c r="G48" s="332">
        <f t="shared" ref="G48:BR48" si="32">SUM(G35:G47)</f>
        <v>21950000</v>
      </c>
      <c r="H48" s="332">
        <f t="shared" si="32"/>
        <v>9190000</v>
      </c>
      <c r="I48" s="332">
        <f t="shared" si="32"/>
        <v>12760000</v>
      </c>
      <c r="J48" s="332">
        <f t="shared" si="32"/>
        <v>0</v>
      </c>
      <c r="K48" s="332">
        <f t="shared" si="32"/>
        <v>0</v>
      </c>
      <c r="L48" s="332">
        <f t="shared" si="32"/>
        <v>0</v>
      </c>
      <c r="M48" s="332">
        <f t="shared" si="32"/>
        <v>0</v>
      </c>
      <c r="N48" s="332">
        <f t="shared" si="32"/>
        <v>0</v>
      </c>
      <c r="O48" s="332">
        <f t="shared" si="32"/>
        <v>0</v>
      </c>
      <c r="P48" s="332">
        <f t="shared" si="32"/>
        <v>0</v>
      </c>
      <c r="Q48" s="332">
        <f t="shared" si="32"/>
        <v>0</v>
      </c>
      <c r="R48" s="332">
        <f t="shared" si="32"/>
        <v>0.25</v>
      </c>
      <c r="S48" s="332">
        <f t="shared" si="32"/>
        <v>1.25</v>
      </c>
      <c r="T48" s="332">
        <f t="shared" si="32"/>
        <v>7.25</v>
      </c>
      <c r="U48" s="332">
        <f t="shared" si="32"/>
        <v>0.25</v>
      </c>
      <c r="V48" s="332">
        <f t="shared" si="32"/>
        <v>4000000</v>
      </c>
      <c r="W48" s="332">
        <f t="shared" si="32"/>
        <v>5000000</v>
      </c>
      <c r="X48" s="332">
        <f t="shared" si="32"/>
        <v>8950000</v>
      </c>
      <c r="Y48" s="332">
        <f t="shared" si="32"/>
        <v>4000000</v>
      </c>
      <c r="Z48" s="332">
        <f t="shared" si="32"/>
        <v>0</v>
      </c>
      <c r="AA48" s="332">
        <f t="shared" si="32"/>
        <v>0</v>
      </c>
      <c r="AB48" s="332">
        <f t="shared" si="32"/>
        <v>0</v>
      </c>
      <c r="AC48" s="332">
        <f t="shared" si="32"/>
        <v>0</v>
      </c>
      <c r="AD48" s="332">
        <f t="shared" si="32"/>
        <v>0</v>
      </c>
      <c r="AE48" s="332">
        <f t="shared" si="32"/>
        <v>0</v>
      </c>
      <c r="AF48" s="332">
        <f t="shared" si="32"/>
        <v>0</v>
      </c>
      <c r="AG48" s="332">
        <f t="shared" si="32"/>
        <v>0</v>
      </c>
      <c r="AH48" s="332">
        <f t="shared" si="32"/>
        <v>0</v>
      </c>
      <c r="AI48" s="332">
        <f t="shared" si="32"/>
        <v>0</v>
      </c>
      <c r="AJ48" s="332">
        <f t="shared" si="32"/>
        <v>0</v>
      </c>
      <c r="AK48" s="332">
        <f t="shared" si="32"/>
        <v>0</v>
      </c>
      <c r="AL48" s="332">
        <f t="shared" si="32"/>
        <v>0</v>
      </c>
      <c r="AM48" s="332">
        <f t="shared" si="32"/>
        <v>0</v>
      </c>
      <c r="AN48" s="332">
        <f t="shared" si="32"/>
        <v>0</v>
      </c>
      <c r="AO48" s="332">
        <f t="shared" si="32"/>
        <v>0</v>
      </c>
      <c r="AP48" s="332">
        <f t="shared" si="32"/>
        <v>0</v>
      </c>
      <c r="AQ48" s="332">
        <f t="shared" si="32"/>
        <v>0</v>
      </c>
      <c r="AR48" s="332">
        <f t="shared" si="32"/>
        <v>0</v>
      </c>
      <c r="AS48" s="332">
        <f t="shared" si="32"/>
        <v>0</v>
      </c>
      <c r="AT48" s="332">
        <f t="shared" si="32"/>
        <v>0</v>
      </c>
      <c r="AU48" s="332">
        <f t="shared" si="32"/>
        <v>0</v>
      </c>
      <c r="AV48" s="332">
        <f t="shared" si="32"/>
        <v>0</v>
      </c>
      <c r="AW48" s="332">
        <f t="shared" si="32"/>
        <v>0</v>
      </c>
      <c r="AX48" s="332">
        <f t="shared" si="32"/>
        <v>0</v>
      </c>
      <c r="AY48" s="332">
        <f t="shared" si="32"/>
        <v>0</v>
      </c>
      <c r="AZ48" s="332">
        <f t="shared" si="32"/>
        <v>0</v>
      </c>
      <c r="BA48" s="332">
        <f t="shared" si="32"/>
        <v>0</v>
      </c>
      <c r="BB48" s="332">
        <f t="shared" si="32"/>
        <v>0</v>
      </c>
      <c r="BC48" s="332">
        <f t="shared" si="32"/>
        <v>0</v>
      </c>
      <c r="BD48" s="332">
        <f t="shared" si="32"/>
        <v>0</v>
      </c>
      <c r="BE48" s="332">
        <f t="shared" si="32"/>
        <v>0</v>
      </c>
      <c r="BF48" s="332">
        <f t="shared" si="32"/>
        <v>0</v>
      </c>
      <c r="BG48" s="332">
        <f t="shared" si="32"/>
        <v>0</v>
      </c>
      <c r="BH48" s="332">
        <f t="shared" si="32"/>
        <v>9</v>
      </c>
      <c r="BI48" s="332">
        <f t="shared" si="32"/>
        <v>21950000</v>
      </c>
      <c r="BJ48" s="332">
        <f t="shared" si="32"/>
        <v>9</v>
      </c>
      <c r="BK48" s="332">
        <f t="shared" si="32"/>
        <v>21950000</v>
      </c>
      <c r="BL48" s="332">
        <f t="shared" si="32"/>
        <v>0</v>
      </c>
      <c r="BM48" s="332">
        <f t="shared" si="32"/>
        <v>0</v>
      </c>
      <c r="BN48" s="332">
        <f t="shared" si="32"/>
        <v>0</v>
      </c>
      <c r="BO48" s="332">
        <f t="shared" si="32"/>
        <v>2000000</v>
      </c>
      <c r="BP48" s="332">
        <f t="shared" si="32"/>
        <v>19300000</v>
      </c>
      <c r="BQ48" s="332">
        <f t="shared" si="32"/>
        <v>0</v>
      </c>
      <c r="BR48" s="332">
        <f t="shared" si="32"/>
        <v>21300000</v>
      </c>
      <c r="BS48" s="332">
        <f>SUM(BS35:BS47)</f>
        <v>0</v>
      </c>
      <c r="BT48" s="332">
        <f>SUM(BT35:BT47)</f>
        <v>650000</v>
      </c>
      <c r="BU48" s="332">
        <f>SUM(BU35:BU47)</f>
        <v>650000</v>
      </c>
      <c r="BV48" s="332">
        <f>SUM(BV35:BV47)</f>
        <v>21950000</v>
      </c>
    </row>
    <row r="49" spans="1:74" x14ac:dyDescent="0.25">
      <c r="A49" s="428"/>
      <c r="B49" s="408"/>
      <c r="C49" s="335" t="s">
        <v>377</v>
      </c>
      <c r="D49" s="336" t="s">
        <v>111</v>
      </c>
      <c r="E49" s="343"/>
      <c r="F49" s="322"/>
      <c r="G49" s="673"/>
      <c r="H49" s="673"/>
      <c r="I49" s="673"/>
      <c r="J49" s="673"/>
      <c r="K49" s="673"/>
      <c r="L49" s="673"/>
      <c r="M49" s="673"/>
      <c r="N49" s="673"/>
      <c r="O49" s="338"/>
      <c r="P49" s="338"/>
      <c r="Q49" s="338"/>
      <c r="R49" s="322"/>
      <c r="S49" s="322"/>
      <c r="T49" s="322"/>
      <c r="U49" s="322"/>
      <c r="V49" s="341"/>
      <c r="W49" s="341"/>
      <c r="X49" s="341"/>
      <c r="Y49" s="341"/>
      <c r="Z49" s="322"/>
      <c r="AA49" s="341"/>
      <c r="AB49" s="322"/>
      <c r="AC49" s="341"/>
      <c r="AD49" s="322"/>
      <c r="AE49" s="341"/>
      <c r="AF49" s="322"/>
      <c r="AG49" s="341"/>
      <c r="AH49" s="322"/>
      <c r="AI49" s="341"/>
      <c r="AJ49" s="322"/>
      <c r="AK49" s="341"/>
      <c r="AL49" s="322"/>
      <c r="AM49" s="341"/>
      <c r="AN49" s="322"/>
      <c r="AO49" s="341"/>
      <c r="AP49" s="322"/>
      <c r="AQ49" s="341"/>
      <c r="AR49" s="322"/>
      <c r="AS49" s="341"/>
      <c r="AT49" s="322"/>
      <c r="AU49" s="341"/>
      <c r="AV49" s="322"/>
      <c r="AW49" s="341"/>
      <c r="AX49" s="322"/>
      <c r="AY49" s="341"/>
      <c r="AZ49" s="322"/>
      <c r="BA49" s="341"/>
      <c r="BB49" s="322"/>
      <c r="BC49" s="341"/>
      <c r="BD49" s="322"/>
      <c r="BE49" s="341"/>
      <c r="BF49" s="322"/>
      <c r="BG49" s="341"/>
      <c r="BH49" s="322"/>
      <c r="BI49" s="341">
        <f t="shared" si="10"/>
        <v>0</v>
      </c>
      <c r="BJ49" s="322">
        <f t="shared" si="20"/>
        <v>0</v>
      </c>
      <c r="BK49" s="338">
        <f t="shared" si="21"/>
        <v>0</v>
      </c>
      <c r="BL49" s="336" t="s">
        <v>111</v>
      </c>
      <c r="BN49" s="340"/>
      <c r="BO49" s="340"/>
      <c r="BP49" s="340">
        <f>G49</f>
        <v>0</v>
      </c>
      <c r="BQ49" s="340"/>
      <c r="BR49" s="340">
        <f>BN49+BO49+BP49+BQ49</f>
        <v>0</v>
      </c>
      <c r="BS49" s="340"/>
      <c r="BT49" s="340"/>
      <c r="BU49" s="652">
        <f t="shared" ref="BU49:BU55" si="33">BS49+BT49</f>
        <v>0</v>
      </c>
      <c r="BV49" s="341">
        <f t="shared" si="0"/>
        <v>0</v>
      </c>
    </row>
    <row r="50" spans="1:74" x14ac:dyDescent="0.25">
      <c r="A50" s="428"/>
      <c r="B50" s="408"/>
      <c r="C50" s="335" t="s">
        <v>317</v>
      </c>
      <c r="D50" s="336" t="s">
        <v>111</v>
      </c>
      <c r="E50" s="343"/>
      <c r="F50" s="322"/>
      <c r="G50" s="673"/>
      <c r="H50" s="673"/>
      <c r="I50" s="673"/>
      <c r="J50" s="673"/>
      <c r="K50" s="673"/>
      <c r="L50" s="673"/>
      <c r="M50" s="673"/>
      <c r="N50" s="673"/>
      <c r="O50" s="338"/>
      <c r="P50" s="338"/>
      <c r="Q50" s="338"/>
      <c r="R50" s="322"/>
      <c r="S50" s="322"/>
      <c r="T50" s="322"/>
      <c r="U50" s="322"/>
      <c r="V50" s="341"/>
      <c r="W50" s="341"/>
      <c r="X50" s="341"/>
      <c r="Y50" s="341"/>
      <c r="Z50" s="322"/>
      <c r="AA50" s="341"/>
      <c r="AB50" s="322"/>
      <c r="AC50" s="341"/>
      <c r="AD50" s="322"/>
      <c r="AE50" s="341"/>
      <c r="AF50" s="322"/>
      <c r="AG50" s="341"/>
      <c r="AH50" s="322"/>
      <c r="AI50" s="341"/>
      <c r="AJ50" s="322"/>
      <c r="AK50" s="341"/>
      <c r="AL50" s="322"/>
      <c r="AM50" s="341"/>
      <c r="AN50" s="322"/>
      <c r="AO50" s="341"/>
      <c r="AP50" s="322"/>
      <c r="AQ50" s="341"/>
      <c r="AR50" s="322"/>
      <c r="AS50" s="341"/>
      <c r="AT50" s="322"/>
      <c r="AU50" s="341"/>
      <c r="AV50" s="322"/>
      <c r="AW50" s="341"/>
      <c r="AX50" s="322"/>
      <c r="AY50" s="341"/>
      <c r="AZ50" s="322"/>
      <c r="BA50" s="341"/>
      <c r="BB50" s="322"/>
      <c r="BC50" s="341"/>
      <c r="BD50" s="322"/>
      <c r="BE50" s="341"/>
      <c r="BF50" s="322"/>
      <c r="BG50" s="341"/>
      <c r="BH50" s="322"/>
      <c r="BI50" s="341">
        <f t="shared" si="10"/>
        <v>0</v>
      </c>
      <c r="BJ50" s="322">
        <f t="shared" si="20"/>
        <v>0</v>
      </c>
      <c r="BK50" s="338">
        <f t="shared" si="21"/>
        <v>0</v>
      </c>
      <c r="BL50" s="336" t="s">
        <v>111</v>
      </c>
      <c r="BN50" s="340"/>
      <c r="BO50" s="340"/>
      <c r="BP50" s="340">
        <f>G50</f>
        <v>0</v>
      </c>
      <c r="BQ50" s="340"/>
      <c r="BR50" s="340">
        <f>BN50+BO50+BP50+BQ50</f>
        <v>0</v>
      </c>
      <c r="BS50" s="340"/>
      <c r="BT50" s="340"/>
      <c r="BU50" s="652">
        <f t="shared" si="33"/>
        <v>0</v>
      </c>
      <c r="BV50" s="341">
        <f t="shared" si="0"/>
        <v>0</v>
      </c>
    </row>
    <row r="51" spans="1:74" x14ac:dyDescent="0.25">
      <c r="A51" s="428"/>
      <c r="B51" s="408"/>
      <c r="C51" s="335" t="s">
        <v>318</v>
      </c>
      <c r="D51" s="336"/>
      <c r="E51" s="336"/>
      <c r="F51" s="322"/>
      <c r="G51" s="673"/>
      <c r="H51" s="673"/>
      <c r="I51" s="673"/>
      <c r="J51" s="673"/>
      <c r="K51" s="673"/>
      <c r="L51" s="673"/>
      <c r="M51" s="673"/>
      <c r="N51" s="673"/>
      <c r="O51" s="338"/>
      <c r="P51" s="338"/>
      <c r="Q51" s="338"/>
      <c r="R51" s="322"/>
      <c r="S51" s="322"/>
      <c r="T51" s="322"/>
      <c r="U51" s="322"/>
      <c r="V51" s="341"/>
      <c r="W51" s="341"/>
      <c r="X51" s="341"/>
      <c r="Y51" s="341"/>
      <c r="Z51" s="322"/>
      <c r="AA51" s="341"/>
      <c r="AB51" s="322"/>
      <c r="AC51" s="341"/>
      <c r="AD51" s="322"/>
      <c r="AE51" s="341"/>
      <c r="AF51" s="322"/>
      <c r="AG51" s="341"/>
      <c r="AH51" s="322"/>
      <c r="AI51" s="341"/>
      <c r="AJ51" s="322"/>
      <c r="AK51" s="341"/>
      <c r="AL51" s="322"/>
      <c r="AM51" s="341"/>
      <c r="AN51" s="322"/>
      <c r="AO51" s="341"/>
      <c r="AP51" s="322"/>
      <c r="AQ51" s="341"/>
      <c r="AR51" s="322"/>
      <c r="AS51" s="341"/>
      <c r="AT51" s="322"/>
      <c r="AU51" s="341"/>
      <c r="AV51" s="322"/>
      <c r="AW51" s="341"/>
      <c r="AX51" s="322"/>
      <c r="AY51" s="341"/>
      <c r="AZ51" s="322"/>
      <c r="BA51" s="341"/>
      <c r="BB51" s="322"/>
      <c r="BC51" s="341"/>
      <c r="BD51" s="322"/>
      <c r="BE51" s="341"/>
      <c r="BF51" s="322"/>
      <c r="BG51" s="341"/>
      <c r="BH51" s="322"/>
      <c r="BI51" s="341">
        <f t="shared" si="10"/>
        <v>0</v>
      </c>
      <c r="BJ51" s="322">
        <f t="shared" si="20"/>
        <v>0</v>
      </c>
      <c r="BK51" s="338">
        <f t="shared" si="21"/>
        <v>0</v>
      </c>
      <c r="BL51" s="336"/>
      <c r="BN51" s="340"/>
      <c r="BO51" s="340"/>
      <c r="BP51" s="340"/>
      <c r="BQ51" s="340"/>
      <c r="BR51" s="340">
        <f>BN51+BO51+BP51+BQ51</f>
        <v>0</v>
      </c>
      <c r="BS51" s="340"/>
      <c r="BT51" s="340"/>
      <c r="BU51" s="652">
        <f t="shared" si="33"/>
        <v>0</v>
      </c>
      <c r="BV51" s="341">
        <f t="shared" si="0"/>
        <v>0</v>
      </c>
    </row>
    <row r="52" spans="1:74" x14ac:dyDescent="0.25">
      <c r="A52" s="428"/>
      <c r="B52" s="408"/>
      <c r="C52" s="335" t="s">
        <v>319</v>
      </c>
      <c r="D52" s="336"/>
      <c r="E52" s="336"/>
      <c r="F52" s="322"/>
      <c r="G52" s="673"/>
      <c r="H52" s="673"/>
      <c r="I52" s="673"/>
      <c r="J52" s="673"/>
      <c r="K52" s="673"/>
      <c r="L52" s="673"/>
      <c r="M52" s="673"/>
      <c r="N52" s="673"/>
      <c r="O52" s="338"/>
      <c r="P52" s="338"/>
      <c r="Q52" s="338"/>
      <c r="R52" s="322"/>
      <c r="S52" s="322"/>
      <c r="T52" s="322"/>
      <c r="U52" s="322"/>
      <c r="V52" s="341"/>
      <c r="W52" s="341"/>
      <c r="X52" s="341"/>
      <c r="Y52" s="341"/>
      <c r="Z52" s="322"/>
      <c r="AA52" s="341"/>
      <c r="AB52" s="322"/>
      <c r="AC52" s="341"/>
      <c r="AD52" s="322"/>
      <c r="AE52" s="341"/>
      <c r="AF52" s="322"/>
      <c r="AG52" s="341"/>
      <c r="AH52" s="322"/>
      <c r="AI52" s="341"/>
      <c r="AJ52" s="322"/>
      <c r="AK52" s="341"/>
      <c r="AL52" s="322"/>
      <c r="AM52" s="341"/>
      <c r="AN52" s="322"/>
      <c r="AO52" s="341"/>
      <c r="AP52" s="322"/>
      <c r="AQ52" s="341"/>
      <c r="AR52" s="322"/>
      <c r="AS52" s="341"/>
      <c r="AT52" s="322"/>
      <c r="AU52" s="341"/>
      <c r="AV52" s="322"/>
      <c r="AW52" s="341"/>
      <c r="AX52" s="322"/>
      <c r="AY52" s="341"/>
      <c r="AZ52" s="322"/>
      <c r="BA52" s="341"/>
      <c r="BB52" s="322"/>
      <c r="BC52" s="341"/>
      <c r="BD52" s="322"/>
      <c r="BE52" s="341"/>
      <c r="BF52" s="322"/>
      <c r="BG52" s="341"/>
      <c r="BH52" s="322"/>
      <c r="BI52" s="341">
        <f t="shared" si="10"/>
        <v>0</v>
      </c>
      <c r="BJ52" s="322">
        <f t="shared" si="20"/>
        <v>0</v>
      </c>
      <c r="BK52" s="338">
        <f t="shared" si="21"/>
        <v>0</v>
      </c>
      <c r="BL52" s="336"/>
      <c r="BN52" s="340"/>
      <c r="BO52" s="340"/>
      <c r="BP52" s="340"/>
      <c r="BQ52" s="340"/>
      <c r="BR52" s="340">
        <f>BN52+BO52+BP52+BQ52</f>
        <v>0</v>
      </c>
      <c r="BS52" s="340"/>
      <c r="BT52" s="340"/>
      <c r="BU52" s="652">
        <f t="shared" si="33"/>
        <v>0</v>
      </c>
      <c r="BV52" s="341">
        <f t="shared" si="0"/>
        <v>0</v>
      </c>
    </row>
    <row r="53" spans="1:74" x14ac:dyDescent="0.25">
      <c r="A53" s="428"/>
      <c r="B53" s="269" t="s">
        <v>1037</v>
      </c>
      <c r="C53" s="342" t="s">
        <v>116</v>
      </c>
      <c r="D53" s="336" t="s">
        <v>65</v>
      </c>
      <c r="E53" s="343" t="s">
        <v>388</v>
      </c>
      <c r="F53" s="322">
        <f>BJ53</f>
        <v>0</v>
      </c>
      <c r="G53" s="673">
        <f>F53*E53</f>
        <v>0</v>
      </c>
      <c r="H53" s="673">
        <f>G53*0.5</f>
        <v>0</v>
      </c>
      <c r="I53" s="673">
        <f>G53*0.5</f>
        <v>0</v>
      </c>
      <c r="J53" s="673"/>
      <c r="K53" s="673"/>
      <c r="L53" s="673"/>
      <c r="M53" s="673"/>
      <c r="N53" s="673"/>
      <c r="O53" s="338"/>
      <c r="P53" s="338"/>
      <c r="Q53" s="338"/>
      <c r="R53" s="322">
        <f>F53*0.25</f>
        <v>0</v>
      </c>
      <c r="S53" s="322">
        <f>F53*0.25</f>
        <v>0</v>
      </c>
      <c r="T53" s="322">
        <f>F53*0.25</f>
        <v>0</v>
      </c>
      <c r="U53" s="322">
        <f>F53*0.25</f>
        <v>0</v>
      </c>
      <c r="V53" s="341">
        <f>R53*E53</f>
        <v>0</v>
      </c>
      <c r="W53" s="341">
        <f>S53*E53</f>
        <v>0</v>
      </c>
      <c r="X53" s="341">
        <f>T53*E53</f>
        <v>0</v>
      </c>
      <c r="Y53" s="341">
        <f>U53*E53</f>
        <v>0</v>
      </c>
      <c r="Z53" s="322"/>
      <c r="AA53" s="341"/>
      <c r="AB53" s="322"/>
      <c r="AC53" s="341"/>
      <c r="AD53" s="322"/>
      <c r="AE53" s="341"/>
      <c r="AF53" s="322"/>
      <c r="AG53" s="341"/>
      <c r="AH53" s="322"/>
      <c r="AI53" s="341"/>
      <c r="AJ53" s="322"/>
      <c r="AK53" s="341"/>
      <c r="AL53" s="322"/>
      <c r="AM53" s="341"/>
      <c r="AN53" s="322"/>
      <c r="AO53" s="341"/>
      <c r="AP53" s="322"/>
      <c r="AQ53" s="341"/>
      <c r="AR53" s="322"/>
      <c r="AS53" s="341"/>
      <c r="AT53" s="322"/>
      <c r="AU53" s="341"/>
      <c r="AV53" s="322"/>
      <c r="AW53" s="341"/>
      <c r="AX53" s="322"/>
      <c r="AY53" s="341"/>
      <c r="AZ53" s="322"/>
      <c r="BA53" s="341"/>
      <c r="BB53" s="322"/>
      <c r="BC53" s="341"/>
      <c r="BD53" s="322"/>
      <c r="BE53" s="341"/>
      <c r="BF53" s="322"/>
      <c r="BG53" s="341"/>
      <c r="BH53" s="322">
        <v>0</v>
      </c>
      <c r="BI53" s="341">
        <f t="shared" si="10"/>
        <v>0</v>
      </c>
      <c r="BJ53" s="322">
        <f t="shared" si="20"/>
        <v>0</v>
      </c>
      <c r="BK53" s="338">
        <f t="shared" si="21"/>
        <v>0</v>
      </c>
      <c r="BL53" s="336" t="s">
        <v>211</v>
      </c>
      <c r="BN53" s="340"/>
      <c r="BO53" s="340"/>
      <c r="BP53" s="340"/>
      <c r="BQ53" s="340"/>
      <c r="BR53" s="340">
        <f>BN53+BO53+BP53+BQ53</f>
        <v>0</v>
      </c>
      <c r="BS53" s="340">
        <f>BK53</f>
        <v>0</v>
      </c>
      <c r="BT53" s="340">
        <f>BK53</f>
        <v>0</v>
      </c>
      <c r="BU53" s="652">
        <f t="shared" si="33"/>
        <v>0</v>
      </c>
      <c r="BV53" s="341">
        <f t="shared" si="0"/>
        <v>0</v>
      </c>
    </row>
    <row r="54" spans="1:74" x14ac:dyDescent="0.25">
      <c r="A54" s="428"/>
      <c r="B54" s="269" t="s">
        <v>1038</v>
      </c>
      <c r="C54" s="342" t="s">
        <v>117</v>
      </c>
      <c r="D54" s="336" t="s">
        <v>65</v>
      </c>
      <c r="E54" s="654">
        <v>140000</v>
      </c>
      <c r="F54" s="322">
        <f t="shared" ref="F54:F78" si="34">BJ54</f>
        <v>12</v>
      </c>
      <c r="G54" s="673">
        <f t="shared" ref="G54:G78" si="35">F54*E54</f>
        <v>1680000</v>
      </c>
      <c r="H54" s="673">
        <f t="shared" ref="H54:H78" si="36">G54*0.5</f>
        <v>840000</v>
      </c>
      <c r="I54" s="673">
        <f t="shared" ref="I54:I63" si="37">G54*0.5</f>
        <v>840000</v>
      </c>
      <c r="J54" s="674"/>
      <c r="K54" s="674"/>
      <c r="L54" s="674"/>
      <c r="M54" s="674"/>
      <c r="N54" s="674"/>
      <c r="O54" s="674"/>
      <c r="P54" s="674"/>
      <c r="Q54" s="674"/>
      <c r="R54" s="322">
        <f t="shared" ref="R54:R63" si="38">F54*0.25</f>
        <v>3</v>
      </c>
      <c r="S54" s="322">
        <f t="shared" ref="S54:S63" si="39">F54*0.25</f>
        <v>3</v>
      </c>
      <c r="T54" s="322">
        <f t="shared" ref="T54:T63" si="40">F54*0.25</f>
        <v>3</v>
      </c>
      <c r="U54" s="322">
        <f t="shared" ref="U54:U63" si="41">F54*0.25</f>
        <v>3</v>
      </c>
      <c r="V54" s="341">
        <f t="shared" ref="V54:V63" si="42">R54*E54</f>
        <v>420000</v>
      </c>
      <c r="W54" s="341">
        <f t="shared" ref="W54:W63" si="43">S54*E54</f>
        <v>420000</v>
      </c>
      <c r="X54" s="341">
        <f t="shared" ref="X54:X63" si="44">T54*E54</f>
        <v>420000</v>
      </c>
      <c r="Y54" s="341">
        <f t="shared" ref="Y54:Y63" si="45">U54*E54</f>
        <v>420000</v>
      </c>
      <c r="Z54" s="408"/>
      <c r="AA54" s="674"/>
      <c r="AB54" s="408"/>
      <c r="AC54" s="674"/>
      <c r="AD54" s="408"/>
      <c r="AE54" s="674"/>
      <c r="AF54" s="408"/>
      <c r="AG54" s="674"/>
      <c r="AH54" s="408"/>
      <c r="AI54" s="674"/>
      <c r="AJ54" s="408"/>
      <c r="AK54" s="674"/>
      <c r="AL54" s="408"/>
      <c r="AM54" s="674"/>
      <c r="AN54" s="408"/>
      <c r="AO54" s="674"/>
      <c r="AP54" s="408"/>
      <c r="AQ54" s="674"/>
      <c r="AR54" s="408"/>
      <c r="AS54" s="674"/>
      <c r="AT54" s="408"/>
      <c r="AU54" s="674"/>
      <c r="AV54" s="408"/>
      <c r="AW54" s="674"/>
      <c r="AX54" s="408"/>
      <c r="AY54" s="674"/>
      <c r="AZ54" s="408"/>
      <c r="BA54" s="674"/>
      <c r="BB54" s="408"/>
      <c r="BC54" s="674"/>
      <c r="BD54" s="408"/>
      <c r="BE54" s="674"/>
      <c r="BF54" s="408"/>
      <c r="BG54" s="674"/>
      <c r="BH54" s="322">
        <v>12</v>
      </c>
      <c r="BI54" s="341">
        <f t="shared" si="10"/>
        <v>1680000</v>
      </c>
      <c r="BJ54" s="408">
        <f t="shared" si="20"/>
        <v>12</v>
      </c>
      <c r="BK54" s="678">
        <f t="shared" si="21"/>
        <v>1680000</v>
      </c>
      <c r="BL54" s="336" t="s">
        <v>211</v>
      </c>
      <c r="BN54" s="677"/>
      <c r="BO54" s="677"/>
      <c r="BP54" s="677"/>
      <c r="BQ54" s="677"/>
      <c r="BR54" s="677">
        <f>SUM(BR49:BR53)</f>
        <v>0</v>
      </c>
      <c r="BS54" s="340">
        <f t="shared" ref="BS54:BS78" si="46">BK54</f>
        <v>1680000</v>
      </c>
      <c r="BT54" s="677"/>
      <c r="BU54" s="652">
        <f t="shared" si="33"/>
        <v>1680000</v>
      </c>
      <c r="BV54" s="341">
        <f t="shared" si="0"/>
        <v>1680000</v>
      </c>
    </row>
    <row r="55" spans="1:74" x14ac:dyDescent="0.25">
      <c r="A55" s="428"/>
      <c r="B55" s="269" t="s">
        <v>1039</v>
      </c>
      <c r="C55" s="342" t="s">
        <v>118</v>
      </c>
      <c r="D55" s="336" t="s">
        <v>65</v>
      </c>
      <c r="E55" s="343">
        <v>70000</v>
      </c>
      <c r="F55" s="322">
        <f t="shared" si="34"/>
        <v>12</v>
      </c>
      <c r="G55" s="673">
        <f t="shared" si="35"/>
        <v>840000</v>
      </c>
      <c r="H55" s="673">
        <f t="shared" si="36"/>
        <v>420000</v>
      </c>
      <c r="I55" s="673">
        <f t="shared" si="37"/>
        <v>420000</v>
      </c>
      <c r="J55" s="322"/>
      <c r="K55" s="322"/>
      <c r="L55" s="322"/>
      <c r="M55" s="322"/>
      <c r="N55" s="322"/>
      <c r="O55" s="322"/>
      <c r="P55" s="322"/>
      <c r="Q55" s="322"/>
      <c r="R55" s="322">
        <f t="shared" si="38"/>
        <v>3</v>
      </c>
      <c r="S55" s="322">
        <f t="shared" si="39"/>
        <v>3</v>
      </c>
      <c r="T55" s="322">
        <f t="shared" si="40"/>
        <v>3</v>
      </c>
      <c r="U55" s="322">
        <f t="shared" si="41"/>
        <v>3</v>
      </c>
      <c r="V55" s="341">
        <f t="shared" si="42"/>
        <v>210000</v>
      </c>
      <c r="W55" s="341">
        <f t="shared" si="43"/>
        <v>210000</v>
      </c>
      <c r="X55" s="341">
        <f t="shared" si="44"/>
        <v>210000</v>
      </c>
      <c r="Y55" s="341">
        <f t="shared" si="45"/>
        <v>210000</v>
      </c>
      <c r="Z55" s="322"/>
      <c r="AA55" s="322"/>
      <c r="AB55" s="322"/>
      <c r="AC55" s="341"/>
      <c r="AD55" s="322"/>
      <c r="AE55" s="341"/>
      <c r="AF55" s="322"/>
      <c r="AG55" s="341"/>
      <c r="AH55" s="322"/>
      <c r="AI55" s="341"/>
      <c r="AJ55" s="322"/>
      <c r="AK55" s="341"/>
      <c r="AL55" s="322"/>
      <c r="AM55" s="341"/>
      <c r="AN55" s="322"/>
      <c r="AO55" s="341"/>
      <c r="AP55" s="322"/>
      <c r="AQ55" s="341"/>
      <c r="AR55" s="322"/>
      <c r="AS55" s="341"/>
      <c r="AT55" s="322"/>
      <c r="AU55" s="341"/>
      <c r="AV55" s="322"/>
      <c r="AW55" s="341"/>
      <c r="AX55" s="322"/>
      <c r="AY55" s="341"/>
      <c r="AZ55" s="322"/>
      <c r="BA55" s="341"/>
      <c r="BB55" s="322"/>
      <c r="BC55" s="341"/>
      <c r="BD55" s="322"/>
      <c r="BE55" s="341"/>
      <c r="BF55" s="322"/>
      <c r="BG55" s="341"/>
      <c r="BH55" s="322">
        <v>12</v>
      </c>
      <c r="BI55" s="341">
        <f t="shared" si="10"/>
        <v>840000</v>
      </c>
      <c r="BJ55" s="322">
        <f t="shared" si="20"/>
        <v>12</v>
      </c>
      <c r="BK55" s="322">
        <f t="shared" si="21"/>
        <v>840000</v>
      </c>
      <c r="BL55" s="336" t="s">
        <v>211</v>
      </c>
      <c r="BN55" s="340"/>
      <c r="BO55" s="340"/>
      <c r="BP55" s="340"/>
      <c r="BQ55" s="340"/>
      <c r="BR55" s="340"/>
      <c r="BS55" s="340">
        <f t="shared" si="46"/>
        <v>840000</v>
      </c>
      <c r="BT55" s="340"/>
      <c r="BU55" s="652">
        <f t="shared" si="33"/>
        <v>840000</v>
      </c>
      <c r="BV55" s="341">
        <f t="shared" si="0"/>
        <v>840000</v>
      </c>
    </row>
    <row r="56" spans="1:74" x14ac:dyDescent="0.25">
      <c r="A56" s="428"/>
      <c r="B56" s="269" t="s">
        <v>1040</v>
      </c>
      <c r="C56" s="342" t="s">
        <v>119</v>
      </c>
      <c r="D56" s="336" t="s">
        <v>65</v>
      </c>
      <c r="E56" s="343">
        <v>70000</v>
      </c>
      <c r="F56" s="322">
        <f t="shared" si="34"/>
        <v>12</v>
      </c>
      <c r="G56" s="673">
        <f t="shared" si="35"/>
        <v>840000</v>
      </c>
      <c r="H56" s="673">
        <f t="shared" si="36"/>
        <v>420000</v>
      </c>
      <c r="I56" s="673">
        <f t="shared" si="37"/>
        <v>420000</v>
      </c>
      <c r="J56" s="673"/>
      <c r="K56" s="673"/>
      <c r="L56" s="673"/>
      <c r="M56" s="673"/>
      <c r="N56" s="673"/>
      <c r="O56" s="338"/>
      <c r="P56" s="338"/>
      <c r="Q56" s="338"/>
      <c r="R56" s="322">
        <f t="shared" si="38"/>
        <v>3</v>
      </c>
      <c r="S56" s="322">
        <f t="shared" si="39"/>
        <v>3</v>
      </c>
      <c r="T56" s="322">
        <f t="shared" si="40"/>
        <v>3</v>
      </c>
      <c r="U56" s="322">
        <f t="shared" si="41"/>
        <v>3</v>
      </c>
      <c r="V56" s="341">
        <f t="shared" si="42"/>
        <v>210000</v>
      </c>
      <c r="W56" s="341">
        <f t="shared" si="43"/>
        <v>210000</v>
      </c>
      <c r="X56" s="341">
        <f t="shared" si="44"/>
        <v>210000</v>
      </c>
      <c r="Y56" s="341">
        <f t="shared" si="45"/>
        <v>210000</v>
      </c>
      <c r="Z56" s="322"/>
      <c r="AA56" s="341"/>
      <c r="AB56" s="322"/>
      <c r="AC56" s="341"/>
      <c r="AD56" s="322"/>
      <c r="AE56" s="341"/>
      <c r="AF56" s="322"/>
      <c r="AG56" s="341"/>
      <c r="AH56" s="322"/>
      <c r="AI56" s="341"/>
      <c r="AJ56" s="322"/>
      <c r="AK56" s="341"/>
      <c r="AL56" s="322"/>
      <c r="AM56" s="341"/>
      <c r="AN56" s="322"/>
      <c r="AO56" s="341"/>
      <c r="AP56" s="322"/>
      <c r="AQ56" s="341"/>
      <c r="AR56" s="322"/>
      <c r="AS56" s="341"/>
      <c r="AT56" s="322"/>
      <c r="AU56" s="341"/>
      <c r="AV56" s="322"/>
      <c r="AW56" s="341"/>
      <c r="AX56" s="322"/>
      <c r="AY56" s="341"/>
      <c r="AZ56" s="322"/>
      <c r="BA56" s="341"/>
      <c r="BB56" s="322"/>
      <c r="BC56" s="341"/>
      <c r="BD56" s="322"/>
      <c r="BE56" s="341"/>
      <c r="BF56" s="322"/>
      <c r="BG56" s="341"/>
      <c r="BH56" s="322">
        <v>12</v>
      </c>
      <c r="BI56" s="341">
        <f t="shared" si="10"/>
        <v>840000</v>
      </c>
      <c r="BJ56" s="322">
        <f t="shared" si="20"/>
        <v>12</v>
      </c>
      <c r="BK56" s="338">
        <f t="shared" si="21"/>
        <v>840000</v>
      </c>
      <c r="BL56" s="336" t="s">
        <v>211</v>
      </c>
      <c r="BN56" s="340"/>
      <c r="BO56" s="340"/>
      <c r="BP56" s="340"/>
      <c r="BQ56" s="340"/>
      <c r="BR56" s="340">
        <f>BN56+BO56+BP56+BQ56</f>
        <v>0</v>
      </c>
      <c r="BS56" s="340">
        <f t="shared" si="46"/>
        <v>840000</v>
      </c>
      <c r="BT56" s="340"/>
      <c r="BU56" s="652">
        <f>BS56+BT56</f>
        <v>840000</v>
      </c>
      <c r="BV56" s="341">
        <f t="shared" si="0"/>
        <v>840000</v>
      </c>
    </row>
    <row r="57" spans="1:74" x14ac:dyDescent="0.25">
      <c r="A57" s="428"/>
      <c r="B57" s="269" t="s">
        <v>1041</v>
      </c>
      <c r="C57" s="342" t="s">
        <v>378</v>
      </c>
      <c r="D57" s="336" t="s">
        <v>65</v>
      </c>
      <c r="E57" s="343">
        <v>70000</v>
      </c>
      <c r="F57" s="322">
        <f t="shared" si="34"/>
        <v>12</v>
      </c>
      <c r="G57" s="673">
        <f t="shared" si="35"/>
        <v>840000</v>
      </c>
      <c r="H57" s="673">
        <f t="shared" si="36"/>
        <v>420000</v>
      </c>
      <c r="I57" s="673">
        <f t="shared" si="37"/>
        <v>420000</v>
      </c>
      <c r="J57" s="673"/>
      <c r="K57" s="673"/>
      <c r="L57" s="673"/>
      <c r="M57" s="673"/>
      <c r="N57" s="673"/>
      <c r="O57" s="338"/>
      <c r="P57" s="338"/>
      <c r="Q57" s="338"/>
      <c r="R57" s="322">
        <f t="shared" si="38"/>
        <v>3</v>
      </c>
      <c r="S57" s="322">
        <f t="shared" si="39"/>
        <v>3</v>
      </c>
      <c r="T57" s="322">
        <f t="shared" si="40"/>
        <v>3</v>
      </c>
      <c r="U57" s="322">
        <f t="shared" si="41"/>
        <v>3</v>
      </c>
      <c r="V57" s="341">
        <f t="shared" si="42"/>
        <v>210000</v>
      </c>
      <c r="W57" s="341">
        <f t="shared" si="43"/>
        <v>210000</v>
      </c>
      <c r="X57" s="341">
        <f t="shared" si="44"/>
        <v>210000</v>
      </c>
      <c r="Y57" s="341">
        <f t="shared" si="45"/>
        <v>210000</v>
      </c>
      <c r="Z57" s="322"/>
      <c r="AA57" s="341"/>
      <c r="AB57" s="322"/>
      <c r="AC57" s="341"/>
      <c r="AD57" s="322"/>
      <c r="AE57" s="341"/>
      <c r="AF57" s="322"/>
      <c r="AG57" s="341"/>
      <c r="AH57" s="322"/>
      <c r="AI57" s="341"/>
      <c r="AJ57" s="322"/>
      <c r="AK57" s="341"/>
      <c r="AL57" s="322"/>
      <c r="AM57" s="341"/>
      <c r="AN57" s="322"/>
      <c r="AO57" s="341"/>
      <c r="AP57" s="322"/>
      <c r="AQ57" s="341"/>
      <c r="AR57" s="322"/>
      <c r="AS57" s="341"/>
      <c r="AT57" s="322"/>
      <c r="AU57" s="341"/>
      <c r="AV57" s="322"/>
      <c r="AW57" s="341"/>
      <c r="AX57" s="322"/>
      <c r="AY57" s="341"/>
      <c r="AZ57" s="322"/>
      <c r="BA57" s="341"/>
      <c r="BB57" s="322"/>
      <c r="BC57" s="341"/>
      <c r="BD57" s="322"/>
      <c r="BE57" s="341"/>
      <c r="BF57" s="322"/>
      <c r="BG57" s="341"/>
      <c r="BH57" s="322">
        <v>12</v>
      </c>
      <c r="BI57" s="341">
        <f t="shared" si="10"/>
        <v>840000</v>
      </c>
      <c r="BJ57" s="322">
        <f t="shared" si="20"/>
        <v>12</v>
      </c>
      <c r="BK57" s="338">
        <f t="shared" si="21"/>
        <v>840000</v>
      </c>
      <c r="BL57" s="336" t="s">
        <v>211</v>
      </c>
      <c r="BN57" s="340"/>
      <c r="BO57" s="340"/>
      <c r="BP57" s="340"/>
      <c r="BQ57" s="340"/>
      <c r="BR57" s="340">
        <f>BN57+BO57+BP57+BQ57</f>
        <v>0</v>
      </c>
      <c r="BS57" s="340">
        <f t="shared" si="46"/>
        <v>840000</v>
      </c>
      <c r="BT57" s="340"/>
      <c r="BU57" s="652">
        <f t="shared" ref="BU57:BU78" si="47">BS57+BT57</f>
        <v>840000</v>
      </c>
      <c r="BV57" s="341">
        <f t="shared" si="0"/>
        <v>840000</v>
      </c>
    </row>
    <row r="58" spans="1:74" x14ac:dyDescent="0.25">
      <c r="A58" s="428"/>
      <c r="B58" s="269" t="s">
        <v>1042</v>
      </c>
      <c r="C58" s="342" t="s">
        <v>881</v>
      </c>
      <c r="D58" s="336" t="s">
        <v>65</v>
      </c>
      <c r="E58" s="343">
        <v>50000</v>
      </c>
      <c r="F58" s="322">
        <f t="shared" si="34"/>
        <v>12</v>
      </c>
      <c r="G58" s="673">
        <f t="shared" si="35"/>
        <v>600000</v>
      </c>
      <c r="H58" s="673">
        <f t="shared" si="36"/>
        <v>300000</v>
      </c>
      <c r="I58" s="673">
        <f t="shared" si="37"/>
        <v>300000</v>
      </c>
      <c r="J58" s="673"/>
      <c r="K58" s="673"/>
      <c r="L58" s="673"/>
      <c r="M58" s="673"/>
      <c r="N58" s="673"/>
      <c r="O58" s="338"/>
      <c r="P58" s="338"/>
      <c r="Q58" s="338"/>
      <c r="R58" s="322">
        <f t="shared" si="38"/>
        <v>3</v>
      </c>
      <c r="S58" s="322">
        <f t="shared" si="39"/>
        <v>3</v>
      </c>
      <c r="T58" s="322">
        <f t="shared" si="40"/>
        <v>3</v>
      </c>
      <c r="U58" s="322">
        <f t="shared" si="41"/>
        <v>3</v>
      </c>
      <c r="V58" s="341">
        <f t="shared" si="42"/>
        <v>150000</v>
      </c>
      <c r="W58" s="341">
        <f t="shared" si="43"/>
        <v>150000</v>
      </c>
      <c r="X58" s="341">
        <f t="shared" si="44"/>
        <v>150000</v>
      </c>
      <c r="Y58" s="341">
        <f t="shared" si="45"/>
        <v>150000</v>
      </c>
      <c r="Z58" s="322"/>
      <c r="AA58" s="341"/>
      <c r="AB58" s="322"/>
      <c r="AC58" s="341"/>
      <c r="AD58" s="322"/>
      <c r="AE58" s="341"/>
      <c r="AF58" s="322"/>
      <c r="AG58" s="341"/>
      <c r="AH58" s="322"/>
      <c r="AI58" s="341"/>
      <c r="AJ58" s="322"/>
      <c r="AK58" s="341"/>
      <c r="AL58" s="322"/>
      <c r="AM58" s="341"/>
      <c r="AN58" s="322"/>
      <c r="AO58" s="341"/>
      <c r="AP58" s="322"/>
      <c r="AQ58" s="341"/>
      <c r="AR58" s="322"/>
      <c r="AS58" s="341"/>
      <c r="AT58" s="322"/>
      <c r="AU58" s="341"/>
      <c r="AV58" s="322"/>
      <c r="AW58" s="341"/>
      <c r="AX58" s="322"/>
      <c r="AY58" s="341"/>
      <c r="AZ58" s="322"/>
      <c r="BA58" s="341"/>
      <c r="BB58" s="322"/>
      <c r="BC58" s="341"/>
      <c r="BD58" s="322"/>
      <c r="BE58" s="341"/>
      <c r="BF58" s="322"/>
      <c r="BG58" s="341"/>
      <c r="BH58" s="322">
        <v>12</v>
      </c>
      <c r="BI58" s="341">
        <f t="shared" si="10"/>
        <v>600000</v>
      </c>
      <c r="BJ58" s="322">
        <f t="shared" si="20"/>
        <v>12</v>
      </c>
      <c r="BK58" s="338">
        <f t="shared" si="21"/>
        <v>600000</v>
      </c>
      <c r="BL58" s="336" t="s">
        <v>211</v>
      </c>
      <c r="BN58" s="340"/>
      <c r="BO58" s="340"/>
      <c r="BP58" s="340"/>
      <c r="BQ58" s="340"/>
      <c r="BR58" s="340">
        <f>BN58+BO58+BP58+BQ58</f>
        <v>0</v>
      </c>
      <c r="BS58" s="340">
        <f t="shared" si="46"/>
        <v>600000</v>
      </c>
      <c r="BT58" s="340"/>
      <c r="BU58" s="652">
        <f t="shared" si="47"/>
        <v>600000</v>
      </c>
      <c r="BV58" s="341">
        <f t="shared" si="0"/>
        <v>600000</v>
      </c>
    </row>
    <row r="59" spans="1:74" x14ac:dyDescent="0.25">
      <c r="A59" s="428"/>
      <c r="B59" s="269" t="s">
        <v>1043</v>
      </c>
      <c r="C59" s="342" t="s">
        <v>497</v>
      </c>
      <c r="D59" s="336" t="s">
        <v>65</v>
      </c>
      <c r="E59" s="343">
        <v>70000</v>
      </c>
      <c r="F59" s="322">
        <f t="shared" si="34"/>
        <v>12</v>
      </c>
      <c r="G59" s="673">
        <f t="shared" si="35"/>
        <v>840000</v>
      </c>
      <c r="H59" s="673">
        <f t="shared" si="36"/>
        <v>420000</v>
      </c>
      <c r="I59" s="673">
        <f t="shared" si="37"/>
        <v>420000</v>
      </c>
      <c r="J59" s="673"/>
      <c r="K59" s="673"/>
      <c r="L59" s="673"/>
      <c r="M59" s="673"/>
      <c r="N59" s="673"/>
      <c r="O59" s="338"/>
      <c r="P59" s="338"/>
      <c r="Q59" s="338"/>
      <c r="R59" s="322">
        <f t="shared" si="38"/>
        <v>3</v>
      </c>
      <c r="S59" s="322">
        <f t="shared" si="39"/>
        <v>3</v>
      </c>
      <c r="T59" s="322">
        <f t="shared" si="40"/>
        <v>3</v>
      </c>
      <c r="U59" s="322">
        <f t="shared" si="41"/>
        <v>3</v>
      </c>
      <c r="V59" s="341">
        <f t="shared" si="42"/>
        <v>210000</v>
      </c>
      <c r="W59" s="341">
        <f t="shared" si="43"/>
        <v>210000</v>
      </c>
      <c r="X59" s="341">
        <f t="shared" si="44"/>
        <v>210000</v>
      </c>
      <c r="Y59" s="341">
        <f t="shared" si="45"/>
        <v>210000</v>
      </c>
      <c r="Z59" s="322"/>
      <c r="AA59" s="341"/>
      <c r="AB59" s="322"/>
      <c r="AC59" s="341"/>
      <c r="AD59" s="322"/>
      <c r="AE59" s="341"/>
      <c r="AF59" s="322"/>
      <c r="AG59" s="341"/>
      <c r="AH59" s="322"/>
      <c r="AI59" s="341"/>
      <c r="AJ59" s="322"/>
      <c r="AK59" s="341"/>
      <c r="AL59" s="322"/>
      <c r="AM59" s="341"/>
      <c r="AN59" s="322"/>
      <c r="AO59" s="341"/>
      <c r="AP59" s="322"/>
      <c r="AQ59" s="341"/>
      <c r="AR59" s="322"/>
      <c r="AS59" s="341"/>
      <c r="AT59" s="322"/>
      <c r="AU59" s="341"/>
      <c r="AV59" s="322"/>
      <c r="AW59" s="341"/>
      <c r="AX59" s="322"/>
      <c r="AY59" s="341"/>
      <c r="AZ59" s="322"/>
      <c r="BA59" s="341"/>
      <c r="BB59" s="322"/>
      <c r="BC59" s="341"/>
      <c r="BD59" s="322"/>
      <c r="BE59" s="341"/>
      <c r="BF59" s="322"/>
      <c r="BG59" s="341"/>
      <c r="BH59" s="322">
        <v>12</v>
      </c>
      <c r="BI59" s="341">
        <f t="shared" si="10"/>
        <v>840000</v>
      </c>
      <c r="BJ59" s="322">
        <f t="shared" si="20"/>
        <v>12</v>
      </c>
      <c r="BK59" s="338">
        <f t="shared" si="21"/>
        <v>840000</v>
      </c>
      <c r="BL59" s="336" t="s">
        <v>211</v>
      </c>
      <c r="BN59" s="340"/>
      <c r="BO59" s="340"/>
      <c r="BP59" s="340"/>
      <c r="BQ59" s="340"/>
      <c r="BR59" s="340">
        <f>BN59+BO59+BP59+BQ59</f>
        <v>0</v>
      </c>
      <c r="BS59" s="340">
        <f t="shared" si="46"/>
        <v>840000</v>
      </c>
      <c r="BT59" s="340"/>
      <c r="BU59" s="652">
        <f t="shared" si="47"/>
        <v>840000</v>
      </c>
      <c r="BV59" s="341">
        <f t="shared" si="0"/>
        <v>840000</v>
      </c>
    </row>
    <row r="60" spans="1:74" x14ac:dyDescent="0.25">
      <c r="A60" s="428"/>
      <c r="B60" s="269" t="s">
        <v>1044</v>
      </c>
      <c r="C60" s="342" t="s">
        <v>379</v>
      </c>
      <c r="D60" s="336" t="s">
        <v>65</v>
      </c>
      <c r="E60" s="343">
        <v>70000</v>
      </c>
      <c r="F60" s="322">
        <f t="shared" si="34"/>
        <v>12</v>
      </c>
      <c r="G60" s="673">
        <f t="shared" si="35"/>
        <v>840000</v>
      </c>
      <c r="H60" s="673">
        <f t="shared" si="36"/>
        <v>420000</v>
      </c>
      <c r="I60" s="673">
        <f t="shared" si="37"/>
        <v>420000</v>
      </c>
      <c r="J60" s="673"/>
      <c r="K60" s="673"/>
      <c r="L60" s="673"/>
      <c r="M60" s="673"/>
      <c r="N60" s="673"/>
      <c r="O60" s="338"/>
      <c r="P60" s="338"/>
      <c r="Q60" s="338"/>
      <c r="R60" s="322">
        <f t="shared" si="38"/>
        <v>3</v>
      </c>
      <c r="S60" s="322">
        <f t="shared" si="39"/>
        <v>3</v>
      </c>
      <c r="T60" s="322">
        <f t="shared" si="40"/>
        <v>3</v>
      </c>
      <c r="U60" s="322">
        <f t="shared" si="41"/>
        <v>3</v>
      </c>
      <c r="V60" s="341">
        <f t="shared" si="42"/>
        <v>210000</v>
      </c>
      <c r="W60" s="341">
        <f t="shared" si="43"/>
        <v>210000</v>
      </c>
      <c r="X60" s="341">
        <f t="shared" si="44"/>
        <v>210000</v>
      </c>
      <c r="Y60" s="341">
        <f t="shared" si="45"/>
        <v>210000</v>
      </c>
      <c r="Z60" s="322"/>
      <c r="AA60" s="341"/>
      <c r="AB60" s="322"/>
      <c r="AC60" s="341"/>
      <c r="AD60" s="322"/>
      <c r="AE60" s="341"/>
      <c r="AF60" s="322"/>
      <c r="AG60" s="341"/>
      <c r="AH60" s="322"/>
      <c r="AI60" s="341"/>
      <c r="AJ60" s="322"/>
      <c r="AK60" s="341"/>
      <c r="AL60" s="322"/>
      <c r="AM60" s="341"/>
      <c r="AN60" s="322"/>
      <c r="AO60" s="341"/>
      <c r="AP60" s="322"/>
      <c r="AQ60" s="341"/>
      <c r="AR60" s="322"/>
      <c r="AS60" s="341"/>
      <c r="AT60" s="322"/>
      <c r="AU60" s="341"/>
      <c r="AV60" s="322"/>
      <c r="AW60" s="341"/>
      <c r="AX60" s="322"/>
      <c r="AY60" s="341"/>
      <c r="AZ60" s="322"/>
      <c r="BA60" s="341"/>
      <c r="BB60" s="322"/>
      <c r="BC60" s="341"/>
      <c r="BD60" s="322"/>
      <c r="BE60" s="341"/>
      <c r="BF60" s="322"/>
      <c r="BG60" s="341"/>
      <c r="BH60" s="322">
        <v>12</v>
      </c>
      <c r="BI60" s="341">
        <f t="shared" si="10"/>
        <v>840000</v>
      </c>
      <c r="BJ60" s="322">
        <f t="shared" si="20"/>
        <v>12</v>
      </c>
      <c r="BK60" s="338">
        <f t="shared" si="21"/>
        <v>840000</v>
      </c>
      <c r="BL60" s="336" t="s">
        <v>211</v>
      </c>
      <c r="BN60" s="340"/>
      <c r="BO60" s="340"/>
      <c r="BP60" s="340"/>
      <c r="BQ60" s="340"/>
      <c r="BR60" s="340">
        <f>BN60+BO60+BP60+BQ60</f>
        <v>0</v>
      </c>
      <c r="BS60" s="340">
        <f t="shared" si="46"/>
        <v>840000</v>
      </c>
      <c r="BT60" s="340"/>
      <c r="BU60" s="652">
        <f t="shared" si="47"/>
        <v>840000</v>
      </c>
      <c r="BV60" s="341">
        <f t="shared" si="0"/>
        <v>840000</v>
      </c>
    </row>
    <row r="61" spans="1:74" x14ac:dyDescent="0.25">
      <c r="A61" s="428"/>
      <c r="B61" s="269" t="s">
        <v>1045</v>
      </c>
      <c r="C61" s="342" t="s">
        <v>380</v>
      </c>
      <c r="D61" s="336" t="s">
        <v>65</v>
      </c>
      <c r="E61" s="343">
        <v>50000</v>
      </c>
      <c r="F61" s="322">
        <f t="shared" si="34"/>
        <v>0</v>
      </c>
      <c r="G61" s="673">
        <f t="shared" si="35"/>
        <v>0</v>
      </c>
      <c r="H61" s="673">
        <f t="shared" si="36"/>
        <v>0</v>
      </c>
      <c r="I61" s="673">
        <f t="shared" si="37"/>
        <v>0</v>
      </c>
      <c r="J61" s="674"/>
      <c r="K61" s="674"/>
      <c r="L61" s="674"/>
      <c r="M61" s="674"/>
      <c r="N61" s="674"/>
      <c r="O61" s="674"/>
      <c r="P61" s="674"/>
      <c r="Q61" s="674"/>
      <c r="R61" s="322">
        <f t="shared" si="38"/>
        <v>0</v>
      </c>
      <c r="S61" s="322">
        <f t="shared" si="39"/>
        <v>0</v>
      </c>
      <c r="T61" s="322">
        <f t="shared" si="40"/>
        <v>0</v>
      </c>
      <c r="U61" s="322">
        <f t="shared" si="41"/>
        <v>0</v>
      </c>
      <c r="V61" s="341">
        <f t="shared" si="42"/>
        <v>0</v>
      </c>
      <c r="W61" s="341">
        <f t="shared" si="43"/>
        <v>0</v>
      </c>
      <c r="X61" s="341">
        <f t="shared" si="44"/>
        <v>0</v>
      </c>
      <c r="Y61" s="341">
        <f t="shared" si="45"/>
        <v>0</v>
      </c>
      <c r="Z61" s="408"/>
      <c r="AA61" s="674"/>
      <c r="AB61" s="408"/>
      <c r="AC61" s="674"/>
      <c r="AD61" s="408"/>
      <c r="AE61" s="674"/>
      <c r="AF61" s="408"/>
      <c r="AG61" s="674"/>
      <c r="AH61" s="408"/>
      <c r="AI61" s="674"/>
      <c r="AJ61" s="408"/>
      <c r="AK61" s="674"/>
      <c r="AL61" s="408"/>
      <c r="AM61" s="674"/>
      <c r="AN61" s="408"/>
      <c r="AO61" s="674"/>
      <c r="AP61" s="408"/>
      <c r="AQ61" s="674"/>
      <c r="AR61" s="408"/>
      <c r="AS61" s="674"/>
      <c r="AT61" s="408"/>
      <c r="AU61" s="674"/>
      <c r="AV61" s="408"/>
      <c r="AW61" s="674"/>
      <c r="AX61" s="408"/>
      <c r="AY61" s="674"/>
      <c r="AZ61" s="408"/>
      <c r="BA61" s="674"/>
      <c r="BB61" s="408"/>
      <c r="BC61" s="674"/>
      <c r="BD61" s="408"/>
      <c r="BE61" s="674"/>
      <c r="BF61" s="408"/>
      <c r="BG61" s="674"/>
      <c r="BH61" s="322">
        <v>0</v>
      </c>
      <c r="BI61" s="341">
        <f t="shared" si="10"/>
        <v>0</v>
      </c>
      <c r="BJ61" s="408">
        <f t="shared" si="20"/>
        <v>0</v>
      </c>
      <c r="BK61" s="678">
        <f t="shared" si="21"/>
        <v>0</v>
      </c>
      <c r="BL61" s="336" t="s">
        <v>211</v>
      </c>
      <c r="BN61" s="677"/>
      <c r="BO61" s="677"/>
      <c r="BP61" s="677"/>
      <c r="BQ61" s="677"/>
      <c r="BR61" s="677">
        <f>SUM(BR56:BR60)</f>
        <v>0</v>
      </c>
      <c r="BS61" s="340">
        <f t="shared" si="46"/>
        <v>0</v>
      </c>
      <c r="BT61" s="677">
        <f>SUM(BT56:BT60)</f>
        <v>0</v>
      </c>
      <c r="BU61" s="652">
        <f t="shared" si="47"/>
        <v>0</v>
      </c>
      <c r="BV61" s="341">
        <f t="shared" si="0"/>
        <v>0</v>
      </c>
    </row>
    <row r="62" spans="1:74" x14ac:dyDescent="0.25">
      <c r="A62" s="428"/>
      <c r="B62" s="269" t="s">
        <v>1046</v>
      </c>
      <c r="C62" s="342" t="s">
        <v>880</v>
      </c>
      <c r="D62" s="336" t="s">
        <v>65</v>
      </c>
      <c r="E62" s="343">
        <v>75000</v>
      </c>
      <c r="F62" s="322">
        <v>12</v>
      </c>
      <c r="G62" s="673">
        <f>F62*E62</f>
        <v>900000</v>
      </c>
      <c r="H62" s="673">
        <f>G62*0.5</f>
        <v>450000</v>
      </c>
      <c r="I62" s="673">
        <f>G62*0.5</f>
        <v>450000</v>
      </c>
      <c r="J62" s="674"/>
      <c r="K62" s="674"/>
      <c r="L62" s="674"/>
      <c r="M62" s="674"/>
      <c r="N62" s="674"/>
      <c r="O62" s="674"/>
      <c r="P62" s="674"/>
      <c r="Q62" s="674"/>
      <c r="R62" s="322">
        <f t="shared" ref="R62" si="48">F62*0.25</f>
        <v>3</v>
      </c>
      <c r="S62" s="322">
        <f t="shared" ref="S62" si="49">F62*0.25</f>
        <v>3</v>
      </c>
      <c r="T62" s="322">
        <f t="shared" ref="T62" si="50">F62*0.25</f>
        <v>3</v>
      </c>
      <c r="U62" s="322">
        <f t="shared" ref="U62" si="51">F62*0.25</f>
        <v>3</v>
      </c>
      <c r="V62" s="341">
        <f t="shared" ref="V62" si="52">R62*E62</f>
        <v>225000</v>
      </c>
      <c r="W62" s="341">
        <f t="shared" ref="W62" si="53">S62*E62</f>
        <v>225000</v>
      </c>
      <c r="X62" s="341">
        <f t="shared" ref="X62" si="54">T62*E62</f>
        <v>225000</v>
      </c>
      <c r="Y62" s="341">
        <f t="shared" ref="Y62" si="55">U62*E62</f>
        <v>225000</v>
      </c>
      <c r="Z62" s="408"/>
      <c r="AA62" s="674"/>
      <c r="AB62" s="408"/>
      <c r="AC62" s="674"/>
      <c r="AD62" s="408"/>
      <c r="AE62" s="674"/>
      <c r="AF62" s="408"/>
      <c r="AG62" s="674"/>
      <c r="AH62" s="408"/>
      <c r="AI62" s="674"/>
      <c r="AJ62" s="408"/>
      <c r="AK62" s="674"/>
      <c r="AL62" s="408"/>
      <c r="AM62" s="674"/>
      <c r="AN62" s="408"/>
      <c r="AO62" s="674"/>
      <c r="AP62" s="408"/>
      <c r="AQ62" s="674"/>
      <c r="AR62" s="408"/>
      <c r="AS62" s="674"/>
      <c r="AT62" s="408"/>
      <c r="AU62" s="674"/>
      <c r="AV62" s="408"/>
      <c r="AW62" s="674"/>
      <c r="AX62" s="408"/>
      <c r="AY62" s="674"/>
      <c r="AZ62" s="408"/>
      <c r="BA62" s="674"/>
      <c r="BB62" s="408"/>
      <c r="BC62" s="674"/>
      <c r="BD62" s="408"/>
      <c r="BE62" s="674"/>
      <c r="BF62" s="408"/>
      <c r="BG62" s="674"/>
      <c r="BH62" s="322">
        <v>12</v>
      </c>
      <c r="BI62" s="341">
        <f t="shared" si="10"/>
        <v>900000</v>
      </c>
      <c r="BJ62" s="408">
        <f t="shared" si="20"/>
        <v>12</v>
      </c>
      <c r="BK62" s="678">
        <f t="shared" si="21"/>
        <v>900000</v>
      </c>
      <c r="BL62" s="336"/>
      <c r="BN62" s="677"/>
      <c r="BO62" s="677"/>
      <c r="BP62" s="677"/>
      <c r="BQ62" s="677"/>
      <c r="BR62" s="677"/>
      <c r="BS62" s="340">
        <f t="shared" si="46"/>
        <v>900000</v>
      </c>
      <c r="BT62" s="677"/>
      <c r="BU62" s="652"/>
      <c r="BV62" s="341"/>
    </row>
    <row r="63" spans="1:74" x14ac:dyDescent="0.25">
      <c r="A63" s="428"/>
      <c r="B63" s="269" t="s">
        <v>1047</v>
      </c>
      <c r="C63" s="342" t="s">
        <v>879</v>
      </c>
      <c r="D63" s="336" t="s">
        <v>65</v>
      </c>
      <c r="E63" s="343">
        <v>75000</v>
      </c>
      <c r="F63" s="322">
        <f t="shared" si="34"/>
        <v>12</v>
      </c>
      <c r="G63" s="673">
        <f t="shared" si="35"/>
        <v>900000</v>
      </c>
      <c r="H63" s="673">
        <f t="shared" si="36"/>
        <v>450000</v>
      </c>
      <c r="I63" s="673">
        <f t="shared" si="37"/>
        <v>450000</v>
      </c>
      <c r="J63" s="322"/>
      <c r="K63" s="322"/>
      <c r="L63" s="322"/>
      <c r="M63" s="322"/>
      <c r="N63" s="322"/>
      <c r="O63" s="322"/>
      <c r="P63" s="322"/>
      <c r="Q63" s="322"/>
      <c r="R63" s="322">
        <f t="shared" si="38"/>
        <v>3</v>
      </c>
      <c r="S63" s="322">
        <f t="shared" si="39"/>
        <v>3</v>
      </c>
      <c r="T63" s="322">
        <f t="shared" si="40"/>
        <v>3</v>
      </c>
      <c r="U63" s="322">
        <f t="shared" si="41"/>
        <v>3</v>
      </c>
      <c r="V63" s="341">
        <f t="shared" si="42"/>
        <v>225000</v>
      </c>
      <c r="W63" s="341">
        <f t="shared" si="43"/>
        <v>225000</v>
      </c>
      <c r="X63" s="341">
        <f t="shared" si="44"/>
        <v>225000</v>
      </c>
      <c r="Y63" s="341">
        <f t="shared" si="45"/>
        <v>225000</v>
      </c>
      <c r="Z63" s="322"/>
      <c r="AA63" s="322"/>
      <c r="AB63" s="322"/>
      <c r="AC63" s="341"/>
      <c r="AD63" s="322"/>
      <c r="AE63" s="341"/>
      <c r="AF63" s="322"/>
      <c r="AG63" s="341"/>
      <c r="AH63" s="322"/>
      <c r="AI63" s="341"/>
      <c r="AJ63" s="322"/>
      <c r="AK63" s="341"/>
      <c r="AL63" s="322"/>
      <c r="AM63" s="341"/>
      <c r="AN63" s="322"/>
      <c r="AO63" s="341"/>
      <c r="AP63" s="322"/>
      <c r="AQ63" s="341"/>
      <c r="AR63" s="322"/>
      <c r="AS63" s="341"/>
      <c r="AT63" s="322"/>
      <c r="AU63" s="341"/>
      <c r="AV63" s="322"/>
      <c r="AW63" s="341"/>
      <c r="AX63" s="322"/>
      <c r="AY63" s="341"/>
      <c r="AZ63" s="322"/>
      <c r="BA63" s="341"/>
      <c r="BB63" s="322"/>
      <c r="BC63" s="341"/>
      <c r="BD63" s="322"/>
      <c r="BE63" s="341"/>
      <c r="BF63" s="322"/>
      <c r="BG63" s="341"/>
      <c r="BH63" s="322">
        <v>12</v>
      </c>
      <c r="BI63" s="341">
        <f t="shared" si="10"/>
        <v>900000</v>
      </c>
      <c r="BJ63" s="322">
        <f t="shared" si="20"/>
        <v>12</v>
      </c>
      <c r="BK63" s="322">
        <f t="shared" si="21"/>
        <v>900000</v>
      </c>
      <c r="BL63" s="336" t="s">
        <v>211</v>
      </c>
      <c r="BN63" s="340"/>
      <c r="BO63" s="340"/>
      <c r="BP63" s="340"/>
      <c r="BQ63" s="340"/>
      <c r="BR63" s="340"/>
      <c r="BS63" s="340">
        <f t="shared" si="46"/>
        <v>900000</v>
      </c>
      <c r="BT63" s="340"/>
      <c r="BU63" s="652">
        <f t="shared" si="47"/>
        <v>900000</v>
      </c>
      <c r="BV63" s="341">
        <f t="shared" si="0"/>
        <v>900000</v>
      </c>
    </row>
    <row r="64" spans="1:74" x14ac:dyDescent="0.25">
      <c r="A64" s="428"/>
      <c r="B64" s="269" t="s">
        <v>1048</v>
      </c>
      <c r="C64" s="342" t="s">
        <v>381</v>
      </c>
      <c r="D64" s="336" t="s">
        <v>65</v>
      </c>
      <c r="E64" s="343">
        <v>70000</v>
      </c>
      <c r="F64" s="322">
        <f t="shared" si="34"/>
        <v>12</v>
      </c>
      <c r="G64" s="673">
        <f t="shared" si="35"/>
        <v>840000</v>
      </c>
      <c r="H64" s="673">
        <f t="shared" si="36"/>
        <v>420000</v>
      </c>
      <c r="I64" s="673">
        <f t="shared" ref="I64:I78" si="56">G64*0.5</f>
        <v>420000</v>
      </c>
      <c r="J64" s="673"/>
      <c r="K64" s="673"/>
      <c r="L64" s="673"/>
      <c r="M64" s="673"/>
      <c r="N64" s="673"/>
      <c r="O64" s="338"/>
      <c r="P64" s="338"/>
      <c r="Q64" s="338"/>
      <c r="R64" s="322">
        <f t="shared" ref="R64:R78" si="57">F64*0.25</f>
        <v>3</v>
      </c>
      <c r="S64" s="322">
        <f t="shared" ref="S64:S78" si="58">F64*0.25</f>
        <v>3</v>
      </c>
      <c r="T64" s="322">
        <f t="shared" ref="T64:T78" si="59">F64*0.25</f>
        <v>3</v>
      </c>
      <c r="U64" s="322">
        <f t="shared" ref="U64:U78" si="60">F64*0.25</f>
        <v>3</v>
      </c>
      <c r="V64" s="341">
        <f t="shared" ref="V64:V78" si="61">R64*E64</f>
        <v>210000</v>
      </c>
      <c r="W64" s="341">
        <f t="shared" ref="W64:W78" si="62">S64*E64</f>
        <v>210000</v>
      </c>
      <c r="X64" s="341">
        <f t="shared" ref="X64:X78" si="63">T64*E64</f>
        <v>210000</v>
      </c>
      <c r="Y64" s="341">
        <f t="shared" ref="Y64:Y78" si="64">U64*E64</f>
        <v>210000</v>
      </c>
      <c r="Z64" s="322"/>
      <c r="AA64" s="341"/>
      <c r="AB64" s="322"/>
      <c r="AC64" s="341"/>
      <c r="AD64" s="322"/>
      <c r="AE64" s="341"/>
      <c r="AF64" s="322"/>
      <c r="AG64" s="341"/>
      <c r="AH64" s="322"/>
      <c r="AI64" s="341"/>
      <c r="AJ64" s="322"/>
      <c r="AK64" s="341"/>
      <c r="AL64" s="322"/>
      <c r="AM64" s="341"/>
      <c r="AN64" s="322"/>
      <c r="AO64" s="341"/>
      <c r="AP64" s="322"/>
      <c r="AQ64" s="341"/>
      <c r="AR64" s="322"/>
      <c r="AS64" s="341"/>
      <c r="AT64" s="322"/>
      <c r="AU64" s="341"/>
      <c r="AV64" s="322"/>
      <c r="AW64" s="341"/>
      <c r="AX64" s="322"/>
      <c r="AY64" s="341"/>
      <c r="AZ64" s="322"/>
      <c r="BA64" s="341"/>
      <c r="BB64" s="322"/>
      <c r="BC64" s="341"/>
      <c r="BD64" s="322"/>
      <c r="BE64" s="341"/>
      <c r="BF64" s="322"/>
      <c r="BG64" s="341"/>
      <c r="BH64" s="322">
        <v>12</v>
      </c>
      <c r="BI64" s="341">
        <f t="shared" si="10"/>
        <v>840000</v>
      </c>
      <c r="BJ64" s="322">
        <f t="shared" si="20"/>
        <v>12</v>
      </c>
      <c r="BK64" s="338">
        <f t="shared" si="21"/>
        <v>840000</v>
      </c>
      <c r="BL64" s="336" t="s">
        <v>211</v>
      </c>
      <c r="BN64" s="340"/>
      <c r="BO64" s="340"/>
      <c r="BP64" s="340"/>
      <c r="BQ64" s="340"/>
      <c r="BR64" s="340">
        <f>BN64+BO64+BP64+BQ64</f>
        <v>0</v>
      </c>
      <c r="BS64" s="340">
        <f t="shared" si="46"/>
        <v>840000</v>
      </c>
      <c r="BT64" s="340"/>
      <c r="BU64" s="652">
        <f t="shared" si="47"/>
        <v>840000</v>
      </c>
      <c r="BV64" s="341">
        <f t="shared" si="0"/>
        <v>840000</v>
      </c>
    </row>
    <row r="65" spans="1:74" x14ac:dyDescent="0.25">
      <c r="A65" s="428"/>
      <c r="B65" s="269" t="s">
        <v>1049</v>
      </c>
      <c r="C65" s="342" t="s">
        <v>382</v>
      </c>
      <c r="D65" s="336" t="s">
        <v>65</v>
      </c>
      <c r="E65" s="343">
        <v>70000</v>
      </c>
      <c r="F65" s="322">
        <f t="shared" si="34"/>
        <v>12</v>
      </c>
      <c r="G65" s="673">
        <f t="shared" si="35"/>
        <v>840000</v>
      </c>
      <c r="H65" s="673">
        <f t="shared" si="36"/>
        <v>420000</v>
      </c>
      <c r="I65" s="673">
        <f t="shared" si="56"/>
        <v>420000</v>
      </c>
      <c r="J65" s="673"/>
      <c r="K65" s="673"/>
      <c r="L65" s="673"/>
      <c r="M65" s="673"/>
      <c r="N65" s="673"/>
      <c r="O65" s="338"/>
      <c r="P65" s="338"/>
      <c r="Q65" s="338"/>
      <c r="R65" s="322">
        <f t="shared" si="57"/>
        <v>3</v>
      </c>
      <c r="S65" s="322">
        <f t="shared" si="58"/>
        <v>3</v>
      </c>
      <c r="T65" s="322">
        <f t="shared" si="59"/>
        <v>3</v>
      </c>
      <c r="U65" s="322">
        <f t="shared" si="60"/>
        <v>3</v>
      </c>
      <c r="V65" s="341">
        <f t="shared" si="61"/>
        <v>210000</v>
      </c>
      <c r="W65" s="341">
        <f t="shared" si="62"/>
        <v>210000</v>
      </c>
      <c r="X65" s="341">
        <f t="shared" si="63"/>
        <v>210000</v>
      </c>
      <c r="Y65" s="341">
        <f t="shared" si="64"/>
        <v>210000</v>
      </c>
      <c r="Z65" s="322"/>
      <c r="AA65" s="341"/>
      <c r="AB65" s="322"/>
      <c r="AC65" s="341"/>
      <c r="AD65" s="322"/>
      <c r="AE65" s="341"/>
      <c r="AF65" s="322"/>
      <c r="AG65" s="341"/>
      <c r="AH65" s="322"/>
      <c r="AI65" s="341"/>
      <c r="AJ65" s="322"/>
      <c r="AK65" s="341"/>
      <c r="AL65" s="322"/>
      <c r="AM65" s="341"/>
      <c r="AN65" s="322"/>
      <c r="AO65" s="341"/>
      <c r="AP65" s="322"/>
      <c r="AQ65" s="341"/>
      <c r="AR65" s="322"/>
      <c r="AS65" s="341"/>
      <c r="AT65" s="322"/>
      <c r="AU65" s="341"/>
      <c r="AV65" s="322"/>
      <c r="AW65" s="341"/>
      <c r="AX65" s="322"/>
      <c r="AY65" s="341"/>
      <c r="AZ65" s="322"/>
      <c r="BA65" s="341"/>
      <c r="BB65" s="322"/>
      <c r="BC65" s="341"/>
      <c r="BD65" s="322"/>
      <c r="BE65" s="341"/>
      <c r="BF65" s="322"/>
      <c r="BG65" s="341"/>
      <c r="BH65" s="322">
        <v>12</v>
      </c>
      <c r="BI65" s="341">
        <f t="shared" si="10"/>
        <v>840000</v>
      </c>
      <c r="BJ65" s="322">
        <f t="shared" si="20"/>
        <v>12</v>
      </c>
      <c r="BK65" s="338">
        <f t="shared" si="21"/>
        <v>840000</v>
      </c>
      <c r="BL65" s="336" t="s">
        <v>211</v>
      </c>
      <c r="BN65" s="340"/>
      <c r="BO65" s="340"/>
      <c r="BP65" s="340"/>
      <c r="BQ65" s="340"/>
      <c r="BR65" s="340">
        <f>BN65+BO65+BP65+BQ65</f>
        <v>0</v>
      </c>
      <c r="BS65" s="340">
        <f t="shared" si="46"/>
        <v>840000</v>
      </c>
      <c r="BT65" s="340"/>
      <c r="BU65" s="652">
        <f t="shared" si="47"/>
        <v>840000</v>
      </c>
      <c r="BV65" s="341">
        <f t="shared" si="0"/>
        <v>840000</v>
      </c>
    </row>
    <row r="66" spans="1:74" x14ac:dyDescent="0.25">
      <c r="A66" s="428"/>
      <c r="B66" s="269" t="s">
        <v>1050</v>
      </c>
      <c r="C66" s="342" t="s">
        <v>498</v>
      </c>
      <c r="D66" s="336" t="s">
        <v>65</v>
      </c>
      <c r="E66" s="343">
        <v>45000</v>
      </c>
      <c r="F66" s="322">
        <f t="shared" si="34"/>
        <v>12</v>
      </c>
      <c r="G66" s="673">
        <f t="shared" si="35"/>
        <v>540000</v>
      </c>
      <c r="H66" s="673">
        <f t="shared" si="36"/>
        <v>270000</v>
      </c>
      <c r="I66" s="673">
        <f t="shared" si="56"/>
        <v>270000</v>
      </c>
      <c r="J66" s="673"/>
      <c r="K66" s="673"/>
      <c r="L66" s="673"/>
      <c r="M66" s="673"/>
      <c r="N66" s="673"/>
      <c r="O66" s="338"/>
      <c r="P66" s="338"/>
      <c r="Q66" s="338"/>
      <c r="R66" s="322">
        <f t="shared" si="57"/>
        <v>3</v>
      </c>
      <c r="S66" s="322">
        <f t="shared" si="58"/>
        <v>3</v>
      </c>
      <c r="T66" s="322">
        <f t="shared" si="59"/>
        <v>3</v>
      </c>
      <c r="U66" s="322">
        <f t="shared" si="60"/>
        <v>3</v>
      </c>
      <c r="V66" s="341">
        <f t="shared" si="61"/>
        <v>135000</v>
      </c>
      <c r="W66" s="341">
        <f t="shared" si="62"/>
        <v>135000</v>
      </c>
      <c r="X66" s="341">
        <f t="shared" si="63"/>
        <v>135000</v>
      </c>
      <c r="Y66" s="341">
        <f t="shared" si="64"/>
        <v>135000</v>
      </c>
      <c r="Z66" s="322"/>
      <c r="AA66" s="341"/>
      <c r="AB66" s="322"/>
      <c r="AC66" s="341"/>
      <c r="AD66" s="322"/>
      <c r="AE66" s="341"/>
      <c r="AF66" s="322"/>
      <c r="AG66" s="341"/>
      <c r="AH66" s="322"/>
      <c r="AI66" s="341"/>
      <c r="AJ66" s="322"/>
      <c r="AK66" s="341"/>
      <c r="AL66" s="322"/>
      <c r="AM66" s="341"/>
      <c r="AN66" s="322"/>
      <c r="AO66" s="341"/>
      <c r="AP66" s="322"/>
      <c r="AQ66" s="341"/>
      <c r="AR66" s="322"/>
      <c r="AS66" s="341"/>
      <c r="AT66" s="322"/>
      <c r="AU66" s="341"/>
      <c r="AV66" s="322"/>
      <c r="AW66" s="341"/>
      <c r="AX66" s="322"/>
      <c r="AY66" s="341"/>
      <c r="AZ66" s="322"/>
      <c r="BA66" s="341"/>
      <c r="BB66" s="322"/>
      <c r="BC66" s="341"/>
      <c r="BD66" s="322"/>
      <c r="BE66" s="341"/>
      <c r="BF66" s="322"/>
      <c r="BG66" s="341"/>
      <c r="BH66" s="322">
        <v>12</v>
      </c>
      <c r="BI66" s="341">
        <f t="shared" si="10"/>
        <v>540000</v>
      </c>
      <c r="BJ66" s="322">
        <f t="shared" si="20"/>
        <v>12</v>
      </c>
      <c r="BK66" s="338">
        <f t="shared" si="21"/>
        <v>540000</v>
      </c>
      <c r="BL66" s="336" t="s">
        <v>211</v>
      </c>
      <c r="BN66" s="340"/>
      <c r="BO66" s="340"/>
      <c r="BP66" s="340"/>
      <c r="BQ66" s="340"/>
      <c r="BR66" s="340">
        <f>BN66+BO66+BP66+BQ66</f>
        <v>0</v>
      </c>
      <c r="BS66" s="340">
        <f t="shared" si="46"/>
        <v>540000</v>
      </c>
      <c r="BT66" s="340"/>
      <c r="BU66" s="652">
        <f t="shared" si="47"/>
        <v>540000</v>
      </c>
      <c r="BV66" s="341">
        <f t="shared" si="0"/>
        <v>540000</v>
      </c>
    </row>
    <row r="67" spans="1:74" ht="31.5" x14ac:dyDescent="0.25">
      <c r="A67" s="428"/>
      <c r="B67" s="269" t="s">
        <v>1051</v>
      </c>
      <c r="C67" s="344" t="s">
        <v>1166</v>
      </c>
      <c r="D67" s="336" t="s">
        <v>65</v>
      </c>
      <c r="E67" s="343">
        <v>35000</v>
      </c>
      <c r="F67" s="322">
        <f t="shared" si="34"/>
        <v>29</v>
      </c>
      <c r="G67" s="673">
        <f t="shared" si="35"/>
        <v>1015000</v>
      </c>
      <c r="H67" s="673">
        <f t="shared" si="36"/>
        <v>507500</v>
      </c>
      <c r="I67" s="673">
        <f t="shared" si="56"/>
        <v>507500</v>
      </c>
      <c r="J67" s="674"/>
      <c r="K67" s="674"/>
      <c r="L67" s="674"/>
      <c r="M67" s="674"/>
      <c r="N67" s="674"/>
      <c r="O67" s="674"/>
      <c r="P67" s="674"/>
      <c r="Q67" s="678"/>
      <c r="R67" s="322">
        <f t="shared" si="57"/>
        <v>7.25</v>
      </c>
      <c r="S67" s="322">
        <f t="shared" si="58"/>
        <v>7.25</v>
      </c>
      <c r="T67" s="322">
        <f t="shared" si="59"/>
        <v>7.25</v>
      </c>
      <c r="U67" s="322">
        <f t="shared" si="60"/>
        <v>7.25</v>
      </c>
      <c r="V67" s="341">
        <f t="shared" si="61"/>
        <v>253750</v>
      </c>
      <c r="W67" s="341">
        <f t="shared" si="62"/>
        <v>253750</v>
      </c>
      <c r="X67" s="341">
        <f t="shared" si="63"/>
        <v>253750</v>
      </c>
      <c r="Y67" s="341">
        <f t="shared" si="64"/>
        <v>253750</v>
      </c>
      <c r="Z67" s="408"/>
      <c r="AA67" s="678"/>
      <c r="AB67" s="408"/>
      <c r="AC67" s="678"/>
      <c r="AD67" s="408"/>
      <c r="AE67" s="678"/>
      <c r="AF67" s="408"/>
      <c r="AG67" s="678"/>
      <c r="AH67" s="408"/>
      <c r="AI67" s="678"/>
      <c r="AJ67" s="408"/>
      <c r="AK67" s="678"/>
      <c r="AL67" s="408"/>
      <c r="AM67" s="678"/>
      <c r="AN67" s="408"/>
      <c r="AO67" s="678"/>
      <c r="AP67" s="408"/>
      <c r="AQ67" s="678"/>
      <c r="AR67" s="408"/>
      <c r="AS67" s="678"/>
      <c r="AT67" s="408"/>
      <c r="AU67" s="678"/>
      <c r="AV67" s="408"/>
      <c r="AW67" s="678"/>
      <c r="AX67" s="408"/>
      <c r="AY67" s="678"/>
      <c r="AZ67" s="408"/>
      <c r="BA67" s="678"/>
      <c r="BB67" s="408"/>
      <c r="BC67" s="678"/>
      <c r="BD67" s="408"/>
      <c r="BE67" s="678"/>
      <c r="BF67" s="408"/>
      <c r="BG67" s="678"/>
      <c r="BH67" s="322">
        <f>24+5</f>
        <v>29</v>
      </c>
      <c r="BI67" s="341">
        <f t="shared" si="10"/>
        <v>1015000</v>
      </c>
      <c r="BJ67" s="408">
        <f t="shared" si="20"/>
        <v>29</v>
      </c>
      <c r="BK67" s="678">
        <f t="shared" si="21"/>
        <v>1015000</v>
      </c>
      <c r="BL67" s="336" t="s">
        <v>211</v>
      </c>
      <c r="BN67" s="677"/>
      <c r="BO67" s="677"/>
      <c r="BP67" s="677"/>
      <c r="BQ67" s="677"/>
      <c r="BR67" s="677">
        <f>SUM(BR64:BR66)</f>
        <v>0</v>
      </c>
      <c r="BS67" s="340">
        <f t="shared" si="46"/>
        <v>1015000</v>
      </c>
      <c r="BT67" s="677">
        <f>SUM(BT64:BT66)</f>
        <v>0</v>
      </c>
      <c r="BU67" s="652">
        <f t="shared" si="47"/>
        <v>1015000</v>
      </c>
      <c r="BV67" s="341">
        <f t="shared" si="0"/>
        <v>1015000</v>
      </c>
    </row>
    <row r="68" spans="1:74" x14ac:dyDescent="0.25">
      <c r="A68" s="428"/>
      <c r="B68" s="269" t="s">
        <v>1052</v>
      </c>
      <c r="C68" s="342" t="s">
        <v>120</v>
      </c>
      <c r="D68" s="336" t="s">
        <v>65</v>
      </c>
      <c r="E68" s="343">
        <v>25000</v>
      </c>
      <c r="F68" s="322">
        <f t="shared" si="34"/>
        <v>12</v>
      </c>
      <c r="G68" s="673">
        <f t="shared" si="35"/>
        <v>300000</v>
      </c>
      <c r="H68" s="673">
        <f t="shared" si="36"/>
        <v>150000</v>
      </c>
      <c r="I68" s="673">
        <f t="shared" si="56"/>
        <v>150000</v>
      </c>
      <c r="J68" s="390"/>
      <c r="K68" s="390"/>
      <c r="L68" s="390"/>
      <c r="M68" s="390"/>
      <c r="N68" s="390"/>
      <c r="O68" s="390"/>
      <c r="P68" s="390"/>
      <c r="Q68" s="391"/>
      <c r="R68" s="322">
        <f t="shared" si="57"/>
        <v>3</v>
      </c>
      <c r="S68" s="322">
        <f t="shared" si="58"/>
        <v>3</v>
      </c>
      <c r="T68" s="322">
        <f t="shared" si="59"/>
        <v>3</v>
      </c>
      <c r="U68" s="322">
        <f t="shared" si="60"/>
        <v>3</v>
      </c>
      <c r="V68" s="341">
        <f t="shared" si="61"/>
        <v>75000</v>
      </c>
      <c r="W68" s="341">
        <f t="shared" si="62"/>
        <v>75000</v>
      </c>
      <c r="X68" s="341">
        <f t="shared" si="63"/>
        <v>75000</v>
      </c>
      <c r="Y68" s="341">
        <f t="shared" si="64"/>
        <v>75000</v>
      </c>
      <c r="Z68" s="392"/>
      <c r="AA68" s="391"/>
      <c r="AB68" s="392"/>
      <c r="AC68" s="391"/>
      <c r="AD68" s="392"/>
      <c r="AE68" s="391"/>
      <c r="AF68" s="392"/>
      <c r="AG68" s="391"/>
      <c r="AH68" s="392"/>
      <c r="AI68" s="391"/>
      <c r="AJ68" s="392"/>
      <c r="AK68" s="391"/>
      <c r="AL68" s="392"/>
      <c r="AM68" s="391"/>
      <c r="AN68" s="392"/>
      <c r="AO68" s="391"/>
      <c r="AP68" s="392"/>
      <c r="AQ68" s="391"/>
      <c r="AR68" s="392"/>
      <c r="AS68" s="391"/>
      <c r="AT68" s="392"/>
      <c r="AU68" s="391"/>
      <c r="AV68" s="392"/>
      <c r="AW68" s="391"/>
      <c r="AX68" s="392"/>
      <c r="AY68" s="391"/>
      <c r="AZ68" s="392"/>
      <c r="BA68" s="391"/>
      <c r="BB68" s="392"/>
      <c r="BC68" s="391"/>
      <c r="BD68" s="392"/>
      <c r="BE68" s="391"/>
      <c r="BF68" s="392"/>
      <c r="BG68" s="391"/>
      <c r="BH68" s="322">
        <v>12</v>
      </c>
      <c r="BI68" s="341">
        <f t="shared" si="10"/>
        <v>300000</v>
      </c>
      <c r="BJ68" s="392">
        <f t="shared" si="20"/>
        <v>12</v>
      </c>
      <c r="BK68" s="391">
        <f t="shared" si="21"/>
        <v>300000</v>
      </c>
      <c r="BL68" s="336" t="s">
        <v>211</v>
      </c>
      <c r="BN68" s="679"/>
      <c r="BO68" s="679"/>
      <c r="BP68" s="679"/>
      <c r="BQ68" s="679"/>
      <c r="BR68" s="679">
        <f>BR67+BR61+BR54</f>
        <v>0</v>
      </c>
      <c r="BS68" s="340">
        <f t="shared" si="46"/>
        <v>300000</v>
      </c>
      <c r="BT68" s="679">
        <f>BT67+BT61+BT54</f>
        <v>0</v>
      </c>
      <c r="BU68" s="652">
        <f t="shared" si="47"/>
        <v>300000</v>
      </c>
      <c r="BV68" s="341">
        <f t="shared" si="0"/>
        <v>300000</v>
      </c>
    </row>
    <row r="69" spans="1:74" x14ac:dyDescent="0.25">
      <c r="A69" s="428"/>
      <c r="B69" s="269" t="s">
        <v>1053</v>
      </c>
      <c r="C69" s="342" t="s">
        <v>121</v>
      </c>
      <c r="D69" s="336" t="s">
        <v>65</v>
      </c>
      <c r="E69" s="343">
        <v>30000</v>
      </c>
      <c r="F69" s="322">
        <f t="shared" si="34"/>
        <v>24</v>
      </c>
      <c r="G69" s="673">
        <f t="shared" si="35"/>
        <v>720000</v>
      </c>
      <c r="H69" s="673">
        <f t="shared" si="36"/>
        <v>360000</v>
      </c>
      <c r="I69" s="673">
        <f t="shared" si="56"/>
        <v>360000</v>
      </c>
      <c r="J69" s="322"/>
      <c r="K69" s="322"/>
      <c r="L69" s="322"/>
      <c r="M69" s="322"/>
      <c r="N69" s="322"/>
      <c r="O69" s="322"/>
      <c r="P69" s="322"/>
      <c r="Q69" s="322"/>
      <c r="R69" s="322">
        <f t="shared" si="57"/>
        <v>6</v>
      </c>
      <c r="S69" s="322">
        <f t="shared" si="58"/>
        <v>6</v>
      </c>
      <c r="T69" s="322">
        <f t="shared" si="59"/>
        <v>6</v>
      </c>
      <c r="U69" s="322">
        <f t="shared" si="60"/>
        <v>6</v>
      </c>
      <c r="V69" s="341">
        <f t="shared" si="61"/>
        <v>180000</v>
      </c>
      <c r="W69" s="341">
        <f t="shared" si="62"/>
        <v>180000</v>
      </c>
      <c r="X69" s="341">
        <f t="shared" si="63"/>
        <v>180000</v>
      </c>
      <c r="Y69" s="341">
        <f t="shared" si="64"/>
        <v>180000</v>
      </c>
      <c r="Z69" s="322"/>
      <c r="AA69" s="322"/>
      <c r="AB69" s="322"/>
      <c r="AC69" s="341"/>
      <c r="AD69" s="322"/>
      <c r="AE69" s="341"/>
      <c r="AF69" s="322"/>
      <c r="AG69" s="341"/>
      <c r="AH69" s="322"/>
      <c r="AI69" s="341"/>
      <c r="AJ69" s="322"/>
      <c r="AK69" s="341"/>
      <c r="AL69" s="322"/>
      <c r="AM69" s="341"/>
      <c r="AN69" s="322"/>
      <c r="AO69" s="341"/>
      <c r="AP69" s="322"/>
      <c r="AQ69" s="341"/>
      <c r="AR69" s="322"/>
      <c r="AS69" s="341"/>
      <c r="AT69" s="322"/>
      <c r="AU69" s="341"/>
      <c r="AV69" s="322"/>
      <c r="AW69" s="341"/>
      <c r="AX69" s="322"/>
      <c r="AY69" s="341"/>
      <c r="AZ69" s="322"/>
      <c r="BA69" s="341"/>
      <c r="BB69" s="322"/>
      <c r="BC69" s="341"/>
      <c r="BD69" s="322"/>
      <c r="BE69" s="341"/>
      <c r="BF69" s="322"/>
      <c r="BG69" s="341"/>
      <c r="BH69" s="322">
        <v>24</v>
      </c>
      <c r="BI69" s="341">
        <f t="shared" si="10"/>
        <v>720000</v>
      </c>
      <c r="BJ69" s="322">
        <f t="shared" si="20"/>
        <v>24</v>
      </c>
      <c r="BK69" s="322">
        <f t="shared" si="21"/>
        <v>720000</v>
      </c>
      <c r="BL69" s="336" t="s">
        <v>211</v>
      </c>
      <c r="BN69" s="340"/>
      <c r="BO69" s="340"/>
      <c r="BP69" s="340"/>
      <c r="BQ69" s="340"/>
      <c r="BR69" s="340"/>
      <c r="BS69" s="340">
        <f t="shared" si="46"/>
        <v>720000</v>
      </c>
      <c r="BT69" s="340"/>
      <c r="BU69" s="652">
        <f t="shared" si="47"/>
        <v>720000</v>
      </c>
      <c r="BV69" s="341">
        <f t="shared" si="0"/>
        <v>720000</v>
      </c>
    </row>
    <row r="70" spans="1:74" x14ac:dyDescent="0.25">
      <c r="A70" s="428"/>
      <c r="B70" s="269" t="s">
        <v>1054</v>
      </c>
      <c r="C70" s="342" t="s">
        <v>383</v>
      </c>
      <c r="D70" s="336" t="s">
        <v>65</v>
      </c>
      <c r="E70" s="343" t="s">
        <v>344</v>
      </c>
      <c r="F70" s="322">
        <f t="shared" si="34"/>
        <v>0</v>
      </c>
      <c r="G70" s="673">
        <f t="shared" si="35"/>
        <v>0</v>
      </c>
      <c r="H70" s="673">
        <f t="shared" si="36"/>
        <v>0</v>
      </c>
      <c r="I70" s="673">
        <f t="shared" si="56"/>
        <v>0</v>
      </c>
      <c r="J70" s="322"/>
      <c r="K70" s="322"/>
      <c r="L70" s="322"/>
      <c r="M70" s="322"/>
      <c r="N70" s="322"/>
      <c r="O70" s="322"/>
      <c r="P70" s="322"/>
      <c r="Q70" s="322"/>
      <c r="R70" s="322">
        <f t="shared" si="57"/>
        <v>0</v>
      </c>
      <c r="S70" s="322">
        <f t="shared" si="58"/>
        <v>0</v>
      </c>
      <c r="T70" s="322">
        <f t="shared" si="59"/>
        <v>0</v>
      </c>
      <c r="U70" s="322">
        <f t="shared" si="60"/>
        <v>0</v>
      </c>
      <c r="V70" s="341">
        <f t="shared" si="61"/>
        <v>0</v>
      </c>
      <c r="W70" s="341">
        <f t="shared" si="62"/>
        <v>0</v>
      </c>
      <c r="X70" s="341">
        <f t="shared" si="63"/>
        <v>0</v>
      </c>
      <c r="Y70" s="341">
        <f t="shared" si="64"/>
        <v>0</v>
      </c>
      <c r="Z70" s="322"/>
      <c r="AA70" s="322"/>
      <c r="AB70" s="322"/>
      <c r="AC70" s="341"/>
      <c r="AD70" s="322"/>
      <c r="AE70" s="341"/>
      <c r="AF70" s="322"/>
      <c r="AG70" s="341"/>
      <c r="AH70" s="322"/>
      <c r="AI70" s="341"/>
      <c r="AJ70" s="322"/>
      <c r="AK70" s="341"/>
      <c r="AL70" s="322"/>
      <c r="AM70" s="341"/>
      <c r="AN70" s="322"/>
      <c r="AO70" s="341"/>
      <c r="AP70" s="322"/>
      <c r="AQ70" s="341"/>
      <c r="AR70" s="322"/>
      <c r="AS70" s="341"/>
      <c r="AT70" s="322"/>
      <c r="AU70" s="341"/>
      <c r="AV70" s="322"/>
      <c r="AW70" s="341"/>
      <c r="AX70" s="322"/>
      <c r="AY70" s="341"/>
      <c r="AZ70" s="322"/>
      <c r="BA70" s="341"/>
      <c r="BB70" s="322"/>
      <c r="BC70" s="341"/>
      <c r="BD70" s="322"/>
      <c r="BE70" s="341"/>
      <c r="BF70" s="322"/>
      <c r="BG70" s="341"/>
      <c r="BH70" s="322">
        <v>0</v>
      </c>
      <c r="BI70" s="341">
        <f t="shared" si="10"/>
        <v>0</v>
      </c>
      <c r="BJ70" s="322">
        <f t="shared" si="20"/>
        <v>0</v>
      </c>
      <c r="BK70" s="322">
        <f t="shared" si="21"/>
        <v>0</v>
      </c>
      <c r="BL70" s="336" t="s">
        <v>211</v>
      </c>
      <c r="BN70" s="340"/>
      <c r="BO70" s="340"/>
      <c r="BP70" s="340"/>
      <c r="BQ70" s="340"/>
      <c r="BR70" s="340"/>
      <c r="BS70" s="340">
        <f t="shared" si="46"/>
        <v>0</v>
      </c>
      <c r="BT70" s="340"/>
      <c r="BU70" s="652">
        <f t="shared" si="47"/>
        <v>0</v>
      </c>
      <c r="BV70" s="341">
        <f t="shared" si="0"/>
        <v>0</v>
      </c>
    </row>
    <row r="71" spans="1:74" x14ac:dyDescent="0.25">
      <c r="A71" s="428"/>
      <c r="B71" s="269" t="s">
        <v>1055</v>
      </c>
      <c r="C71" s="342" t="s">
        <v>384</v>
      </c>
      <c r="D71" s="336" t="s">
        <v>65</v>
      </c>
      <c r="E71" s="343" t="s">
        <v>389</v>
      </c>
      <c r="F71" s="322">
        <f t="shared" si="34"/>
        <v>0</v>
      </c>
      <c r="G71" s="673">
        <f t="shared" si="35"/>
        <v>0</v>
      </c>
      <c r="H71" s="673">
        <f t="shared" si="36"/>
        <v>0</v>
      </c>
      <c r="I71" s="673">
        <f t="shared" si="56"/>
        <v>0</v>
      </c>
      <c r="J71" s="673"/>
      <c r="K71" s="673"/>
      <c r="L71" s="673"/>
      <c r="M71" s="673"/>
      <c r="N71" s="673"/>
      <c r="O71" s="338"/>
      <c r="P71" s="338"/>
      <c r="Q71" s="338"/>
      <c r="R71" s="322">
        <f t="shared" si="57"/>
        <v>0</v>
      </c>
      <c r="S71" s="322">
        <f t="shared" si="58"/>
        <v>0</v>
      </c>
      <c r="T71" s="322">
        <f t="shared" si="59"/>
        <v>0</v>
      </c>
      <c r="U71" s="322">
        <f t="shared" si="60"/>
        <v>0</v>
      </c>
      <c r="V71" s="341">
        <f t="shared" si="61"/>
        <v>0</v>
      </c>
      <c r="W71" s="341">
        <f t="shared" si="62"/>
        <v>0</v>
      </c>
      <c r="X71" s="341">
        <f t="shared" si="63"/>
        <v>0</v>
      </c>
      <c r="Y71" s="341">
        <f t="shared" si="64"/>
        <v>0</v>
      </c>
      <c r="Z71" s="322"/>
      <c r="AA71" s="341"/>
      <c r="AB71" s="322"/>
      <c r="AC71" s="341"/>
      <c r="AD71" s="322"/>
      <c r="AE71" s="341"/>
      <c r="AF71" s="322"/>
      <c r="AG71" s="341"/>
      <c r="AH71" s="322"/>
      <c r="AI71" s="341"/>
      <c r="AJ71" s="322"/>
      <c r="AK71" s="341"/>
      <c r="AL71" s="322"/>
      <c r="AM71" s="341"/>
      <c r="AN71" s="322"/>
      <c r="AO71" s="341"/>
      <c r="AP71" s="322"/>
      <c r="AQ71" s="341"/>
      <c r="AR71" s="322"/>
      <c r="AS71" s="341"/>
      <c r="AT71" s="322"/>
      <c r="AU71" s="341"/>
      <c r="AV71" s="322"/>
      <c r="AW71" s="341"/>
      <c r="AX71" s="322"/>
      <c r="AY71" s="341"/>
      <c r="AZ71" s="322"/>
      <c r="BA71" s="341"/>
      <c r="BB71" s="322"/>
      <c r="BC71" s="341"/>
      <c r="BD71" s="322"/>
      <c r="BE71" s="341"/>
      <c r="BF71" s="322"/>
      <c r="BG71" s="341"/>
      <c r="BH71" s="322">
        <v>0</v>
      </c>
      <c r="BI71" s="341">
        <f t="shared" si="10"/>
        <v>0</v>
      </c>
      <c r="BJ71" s="322">
        <f t="shared" si="20"/>
        <v>0</v>
      </c>
      <c r="BK71" s="338">
        <f t="shared" si="21"/>
        <v>0</v>
      </c>
      <c r="BL71" s="336" t="s">
        <v>211</v>
      </c>
      <c r="BN71" s="340"/>
      <c r="BO71" s="340"/>
      <c r="BP71" s="340"/>
      <c r="BQ71" s="340"/>
      <c r="BR71" s="340">
        <f>BN71+BO71+BP71+BQ71</f>
        <v>0</v>
      </c>
      <c r="BS71" s="340">
        <f t="shared" si="46"/>
        <v>0</v>
      </c>
      <c r="BT71" s="340"/>
      <c r="BU71" s="652">
        <f t="shared" si="47"/>
        <v>0</v>
      </c>
      <c r="BV71" s="341">
        <f t="shared" si="0"/>
        <v>0</v>
      </c>
    </row>
    <row r="72" spans="1:74" x14ac:dyDescent="0.25">
      <c r="A72" s="428"/>
      <c r="B72" s="269" t="s">
        <v>1056</v>
      </c>
      <c r="C72" s="342" t="s">
        <v>122</v>
      </c>
      <c r="D72" s="336" t="s">
        <v>65</v>
      </c>
      <c r="E72" s="343" t="s">
        <v>359</v>
      </c>
      <c r="F72" s="322">
        <f t="shared" si="34"/>
        <v>0</v>
      </c>
      <c r="G72" s="673">
        <f t="shared" si="35"/>
        <v>0</v>
      </c>
      <c r="H72" s="673">
        <f t="shared" si="36"/>
        <v>0</v>
      </c>
      <c r="I72" s="673">
        <f t="shared" si="56"/>
        <v>0</v>
      </c>
      <c r="J72" s="673"/>
      <c r="K72" s="673"/>
      <c r="L72" s="673"/>
      <c r="M72" s="673"/>
      <c r="N72" s="673"/>
      <c r="O72" s="338"/>
      <c r="P72" s="338"/>
      <c r="Q72" s="338"/>
      <c r="R72" s="322">
        <f t="shared" si="57"/>
        <v>0</v>
      </c>
      <c r="S72" s="322">
        <f t="shared" si="58"/>
        <v>0</v>
      </c>
      <c r="T72" s="322">
        <f t="shared" si="59"/>
        <v>0</v>
      </c>
      <c r="U72" s="322">
        <f t="shared" si="60"/>
        <v>0</v>
      </c>
      <c r="V72" s="341">
        <f t="shared" si="61"/>
        <v>0</v>
      </c>
      <c r="W72" s="341">
        <f t="shared" si="62"/>
        <v>0</v>
      </c>
      <c r="X72" s="341">
        <f t="shared" si="63"/>
        <v>0</v>
      </c>
      <c r="Y72" s="341">
        <f t="shared" si="64"/>
        <v>0</v>
      </c>
      <c r="Z72" s="322"/>
      <c r="AA72" s="341"/>
      <c r="AB72" s="322"/>
      <c r="AC72" s="341"/>
      <c r="AD72" s="322"/>
      <c r="AE72" s="341"/>
      <c r="AF72" s="322"/>
      <c r="AG72" s="341"/>
      <c r="AH72" s="322"/>
      <c r="AI72" s="341"/>
      <c r="AJ72" s="322"/>
      <c r="AK72" s="341"/>
      <c r="AL72" s="322"/>
      <c r="AM72" s="341"/>
      <c r="AN72" s="322"/>
      <c r="AO72" s="341"/>
      <c r="AP72" s="322"/>
      <c r="AQ72" s="341"/>
      <c r="AR72" s="322"/>
      <c r="AS72" s="341"/>
      <c r="AT72" s="322"/>
      <c r="AU72" s="341"/>
      <c r="AV72" s="322"/>
      <c r="AW72" s="341"/>
      <c r="AX72" s="322"/>
      <c r="AY72" s="341"/>
      <c r="AZ72" s="322"/>
      <c r="BA72" s="341"/>
      <c r="BB72" s="322"/>
      <c r="BC72" s="341"/>
      <c r="BD72" s="322"/>
      <c r="BE72" s="341"/>
      <c r="BF72" s="322"/>
      <c r="BG72" s="341"/>
      <c r="BH72" s="322">
        <v>0</v>
      </c>
      <c r="BI72" s="341">
        <f t="shared" si="10"/>
        <v>0</v>
      </c>
      <c r="BJ72" s="322">
        <f t="shared" si="20"/>
        <v>0</v>
      </c>
      <c r="BK72" s="338">
        <f t="shared" si="21"/>
        <v>0</v>
      </c>
      <c r="BL72" s="336" t="s">
        <v>211</v>
      </c>
      <c r="BN72" s="340"/>
      <c r="BO72" s="340"/>
      <c r="BP72" s="340"/>
      <c r="BQ72" s="340"/>
      <c r="BR72" s="340">
        <f t="shared" ref="BR72:BR87" si="65">BN72+BO72+BP72+BQ72</f>
        <v>0</v>
      </c>
      <c r="BS72" s="340">
        <f t="shared" si="46"/>
        <v>0</v>
      </c>
      <c r="BT72" s="340"/>
      <c r="BU72" s="652">
        <f t="shared" si="47"/>
        <v>0</v>
      </c>
      <c r="BV72" s="341">
        <f t="shared" si="0"/>
        <v>0</v>
      </c>
    </row>
    <row r="73" spans="1:74" ht="31.5" x14ac:dyDescent="0.25">
      <c r="A73" s="428"/>
      <c r="B73" s="269" t="s">
        <v>1057</v>
      </c>
      <c r="C73" s="344" t="s">
        <v>502</v>
      </c>
      <c r="D73" s="336" t="s">
        <v>16</v>
      </c>
      <c r="E73" s="343">
        <v>700000</v>
      </c>
      <c r="F73" s="322">
        <f t="shared" si="34"/>
        <v>1</v>
      </c>
      <c r="G73" s="673">
        <f t="shared" si="35"/>
        <v>700000</v>
      </c>
      <c r="H73" s="673">
        <f t="shared" si="36"/>
        <v>350000</v>
      </c>
      <c r="I73" s="673">
        <f t="shared" si="56"/>
        <v>350000</v>
      </c>
      <c r="J73" s="673"/>
      <c r="K73" s="673"/>
      <c r="L73" s="673"/>
      <c r="M73" s="673"/>
      <c r="N73" s="673"/>
      <c r="O73" s="338"/>
      <c r="P73" s="338"/>
      <c r="Q73" s="338"/>
      <c r="R73" s="322">
        <f t="shared" si="57"/>
        <v>0.25</v>
      </c>
      <c r="S73" s="322">
        <f t="shared" si="58"/>
        <v>0.25</v>
      </c>
      <c r="T73" s="322">
        <f t="shared" si="59"/>
        <v>0.25</v>
      </c>
      <c r="U73" s="322">
        <f t="shared" si="60"/>
        <v>0.25</v>
      </c>
      <c r="V73" s="341">
        <f t="shared" si="61"/>
        <v>175000</v>
      </c>
      <c r="W73" s="341">
        <f t="shared" si="62"/>
        <v>175000</v>
      </c>
      <c r="X73" s="341">
        <f t="shared" si="63"/>
        <v>175000</v>
      </c>
      <c r="Y73" s="341">
        <f t="shared" si="64"/>
        <v>175000</v>
      </c>
      <c r="Z73" s="322"/>
      <c r="AA73" s="341"/>
      <c r="AB73" s="322"/>
      <c r="AC73" s="341"/>
      <c r="AD73" s="322"/>
      <c r="AE73" s="341"/>
      <c r="AF73" s="322"/>
      <c r="AG73" s="341"/>
      <c r="AH73" s="322"/>
      <c r="AI73" s="341"/>
      <c r="AJ73" s="322"/>
      <c r="AK73" s="341"/>
      <c r="AL73" s="322"/>
      <c r="AM73" s="341"/>
      <c r="AN73" s="322"/>
      <c r="AO73" s="341"/>
      <c r="AP73" s="322"/>
      <c r="AQ73" s="341"/>
      <c r="AR73" s="322"/>
      <c r="AS73" s="341"/>
      <c r="AT73" s="322"/>
      <c r="AU73" s="341"/>
      <c r="AV73" s="322"/>
      <c r="AW73" s="341"/>
      <c r="AX73" s="322"/>
      <c r="AY73" s="341"/>
      <c r="AZ73" s="322"/>
      <c r="BA73" s="341"/>
      <c r="BB73" s="322"/>
      <c r="BC73" s="341"/>
      <c r="BD73" s="322"/>
      <c r="BE73" s="341"/>
      <c r="BF73" s="322"/>
      <c r="BG73" s="341"/>
      <c r="BH73" s="322">
        <v>1</v>
      </c>
      <c r="BI73" s="341">
        <f t="shared" si="10"/>
        <v>700000</v>
      </c>
      <c r="BJ73" s="322">
        <f t="shared" si="20"/>
        <v>1</v>
      </c>
      <c r="BK73" s="338">
        <f t="shared" si="21"/>
        <v>700000</v>
      </c>
      <c r="BL73" s="336" t="s">
        <v>211</v>
      </c>
      <c r="BN73" s="340"/>
      <c r="BO73" s="340"/>
      <c r="BP73" s="340"/>
      <c r="BQ73" s="340"/>
      <c r="BR73" s="340">
        <f t="shared" si="65"/>
        <v>0</v>
      </c>
      <c r="BS73" s="340">
        <f t="shared" si="46"/>
        <v>700000</v>
      </c>
      <c r="BT73" s="340"/>
      <c r="BU73" s="652">
        <f t="shared" si="47"/>
        <v>700000</v>
      </c>
      <c r="BV73" s="341">
        <f t="shared" si="0"/>
        <v>700000</v>
      </c>
    </row>
    <row r="74" spans="1:74" ht="31.5" x14ac:dyDescent="0.25">
      <c r="A74" s="428"/>
      <c r="B74" s="269" t="s">
        <v>1058</v>
      </c>
      <c r="C74" s="344" t="s">
        <v>1144</v>
      </c>
      <c r="D74" s="336" t="s">
        <v>65</v>
      </c>
      <c r="E74" s="654">
        <v>1300000</v>
      </c>
      <c r="F74" s="322">
        <f t="shared" si="34"/>
        <v>12</v>
      </c>
      <c r="G74" s="673">
        <f t="shared" si="35"/>
        <v>15600000</v>
      </c>
      <c r="H74" s="673">
        <f t="shared" si="36"/>
        <v>7800000</v>
      </c>
      <c r="I74" s="673">
        <f t="shared" si="56"/>
        <v>7800000</v>
      </c>
      <c r="J74" s="673"/>
      <c r="K74" s="673"/>
      <c r="L74" s="673"/>
      <c r="M74" s="673"/>
      <c r="N74" s="673"/>
      <c r="O74" s="338"/>
      <c r="P74" s="338"/>
      <c r="Q74" s="338"/>
      <c r="R74" s="322">
        <f t="shared" si="57"/>
        <v>3</v>
      </c>
      <c r="S74" s="322">
        <f t="shared" si="58"/>
        <v>3</v>
      </c>
      <c r="T74" s="322">
        <f t="shared" si="59"/>
        <v>3</v>
      </c>
      <c r="U74" s="322">
        <f t="shared" si="60"/>
        <v>3</v>
      </c>
      <c r="V74" s="341">
        <f t="shared" si="61"/>
        <v>3900000</v>
      </c>
      <c r="W74" s="341">
        <f t="shared" si="62"/>
        <v>3900000</v>
      </c>
      <c r="X74" s="341">
        <f t="shared" si="63"/>
        <v>3900000</v>
      </c>
      <c r="Y74" s="341">
        <f t="shared" si="64"/>
        <v>3900000</v>
      </c>
      <c r="Z74" s="322"/>
      <c r="AA74" s="341"/>
      <c r="AB74" s="322"/>
      <c r="AC74" s="341"/>
      <c r="AD74" s="322"/>
      <c r="AE74" s="341"/>
      <c r="AF74" s="322"/>
      <c r="AG74" s="341"/>
      <c r="AH74" s="322"/>
      <c r="AI74" s="341"/>
      <c r="AJ74" s="322"/>
      <c r="AK74" s="341"/>
      <c r="AL74" s="322"/>
      <c r="AM74" s="341"/>
      <c r="AN74" s="322"/>
      <c r="AO74" s="341"/>
      <c r="AP74" s="322"/>
      <c r="AQ74" s="341"/>
      <c r="AR74" s="322"/>
      <c r="AS74" s="341"/>
      <c r="AT74" s="322"/>
      <c r="AU74" s="341"/>
      <c r="AV74" s="322"/>
      <c r="AW74" s="341"/>
      <c r="AX74" s="322"/>
      <c r="AY74" s="341"/>
      <c r="AZ74" s="322"/>
      <c r="BA74" s="341"/>
      <c r="BB74" s="322"/>
      <c r="BC74" s="341"/>
      <c r="BD74" s="322"/>
      <c r="BE74" s="341"/>
      <c r="BF74" s="322"/>
      <c r="BG74" s="341"/>
      <c r="BH74" s="322">
        <v>12</v>
      </c>
      <c r="BI74" s="341">
        <f t="shared" si="10"/>
        <v>15600000</v>
      </c>
      <c r="BJ74" s="322">
        <f t="shared" si="20"/>
        <v>12</v>
      </c>
      <c r="BK74" s="338">
        <f t="shared" si="21"/>
        <v>15600000</v>
      </c>
      <c r="BL74" s="336" t="s">
        <v>211</v>
      </c>
      <c r="BN74" s="340"/>
      <c r="BO74" s="340"/>
      <c r="BP74" s="340"/>
      <c r="BQ74" s="340"/>
      <c r="BR74" s="340">
        <f t="shared" si="65"/>
        <v>0</v>
      </c>
      <c r="BS74" s="340">
        <f t="shared" si="46"/>
        <v>15600000</v>
      </c>
      <c r="BT74" s="340"/>
      <c r="BU74" s="652">
        <f t="shared" si="47"/>
        <v>15600000</v>
      </c>
      <c r="BV74" s="341">
        <f t="shared" si="0"/>
        <v>15600000</v>
      </c>
    </row>
    <row r="75" spans="1:74" x14ac:dyDescent="0.25">
      <c r="A75" s="428"/>
      <c r="B75" s="269" t="s">
        <v>1059</v>
      </c>
      <c r="C75" s="342" t="s">
        <v>123</v>
      </c>
      <c r="D75" s="336" t="s">
        <v>65</v>
      </c>
      <c r="E75" s="654">
        <v>300000</v>
      </c>
      <c r="F75" s="322">
        <f t="shared" si="34"/>
        <v>12</v>
      </c>
      <c r="G75" s="673">
        <f t="shared" si="35"/>
        <v>3600000</v>
      </c>
      <c r="H75" s="673">
        <f t="shared" si="36"/>
        <v>1800000</v>
      </c>
      <c r="I75" s="673">
        <f t="shared" si="56"/>
        <v>1800000</v>
      </c>
      <c r="J75" s="673"/>
      <c r="K75" s="673"/>
      <c r="L75" s="673"/>
      <c r="M75" s="673"/>
      <c r="N75" s="673"/>
      <c r="O75" s="338"/>
      <c r="P75" s="338"/>
      <c r="Q75" s="338"/>
      <c r="R75" s="322">
        <f t="shared" si="57"/>
        <v>3</v>
      </c>
      <c r="S75" s="322">
        <f t="shared" si="58"/>
        <v>3</v>
      </c>
      <c r="T75" s="322">
        <f t="shared" si="59"/>
        <v>3</v>
      </c>
      <c r="U75" s="322">
        <f t="shared" si="60"/>
        <v>3</v>
      </c>
      <c r="V75" s="341">
        <f t="shared" si="61"/>
        <v>900000</v>
      </c>
      <c r="W75" s="341">
        <f t="shared" si="62"/>
        <v>900000</v>
      </c>
      <c r="X75" s="341">
        <f t="shared" si="63"/>
        <v>900000</v>
      </c>
      <c r="Y75" s="341">
        <f t="shared" si="64"/>
        <v>900000</v>
      </c>
      <c r="Z75" s="322"/>
      <c r="AA75" s="341"/>
      <c r="AB75" s="322"/>
      <c r="AC75" s="341"/>
      <c r="AD75" s="322"/>
      <c r="AE75" s="341"/>
      <c r="AF75" s="322"/>
      <c r="AG75" s="341"/>
      <c r="AH75" s="322"/>
      <c r="AI75" s="341"/>
      <c r="AJ75" s="322"/>
      <c r="AK75" s="341"/>
      <c r="AL75" s="322"/>
      <c r="AM75" s="341"/>
      <c r="AN75" s="322"/>
      <c r="AO75" s="341"/>
      <c r="AP75" s="322"/>
      <c r="AQ75" s="341"/>
      <c r="AR75" s="322"/>
      <c r="AS75" s="341"/>
      <c r="AT75" s="322"/>
      <c r="AU75" s="341"/>
      <c r="AV75" s="322"/>
      <c r="AW75" s="341"/>
      <c r="AX75" s="322"/>
      <c r="AY75" s="341"/>
      <c r="AZ75" s="322"/>
      <c r="BA75" s="341"/>
      <c r="BB75" s="322"/>
      <c r="BC75" s="341"/>
      <c r="BD75" s="322"/>
      <c r="BE75" s="341"/>
      <c r="BF75" s="322"/>
      <c r="BG75" s="341"/>
      <c r="BH75" s="322">
        <v>12</v>
      </c>
      <c r="BI75" s="341">
        <f t="shared" si="10"/>
        <v>3600000</v>
      </c>
      <c r="BJ75" s="322">
        <f t="shared" si="20"/>
        <v>12</v>
      </c>
      <c r="BK75" s="338">
        <f t="shared" si="21"/>
        <v>3600000</v>
      </c>
      <c r="BL75" s="336" t="s">
        <v>211</v>
      </c>
      <c r="BN75" s="340"/>
      <c r="BO75" s="340"/>
      <c r="BP75" s="340"/>
      <c r="BQ75" s="340"/>
      <c r="BR75" s="340">
        <f t="shared" si="65"/>
        <v>0</v>
      </c>
      <c r="BS75" s="340">
        <f t="shared" si="46"/>
        <v>3600000</v>
      </c>
      <c r="BT75" s="340"/>
      <c r="BU75" s="652">
        <f t="shared" si="47"/>
        <v>3600000</v>
      </c>
      <c r="BV75" s="341">
        <f t="shared" si="0"/>
        <v>3600000</v>
      </c>
    </row>
    <row r="76" spans="1:74" ht="31.5" x14ac:dyDescent="0.25">
      <c r="A76" s="428"/>
      <c r="B76" s="269" t="s">
        <v>1060</v>
      </c>
      <c r="C76" s="344" t="s">
        <v>1149</v>
      </c>
      <c r="D76" s="336" t="s">
        <v>16</v>
      </c>
      <c r="E76" s="343">
        <v>800000</v>
      </c>
      <c r="F76" s="322">
        <f t="shared" si="34"/>
        <v>1</v>
      </c>
      <c r="G76" s="673">
        <f t="shared" si="35"/>
        <v>800000</v>
      </c>
      <c r="H76" s="673">
        <f t="shared" si="36"/>
        <v>400000</v>
      </c>
      <c r="I76" s="673">
        <f t="shared" si="56"/>
        <v>400000</v>
      </c>
      <c r="J76" s="673"/>
      <c r="K76" s="673"/>
      <c r="L76" s="673"/>
      <c r="M76" s="673"/>
      <c r="N76" s="673"/>
      <c r="O76" s="338"/>
      <c r="P76" s="338"/>
      <c r="Q76" s="338"/>
      <c r="R76" s="322">
        <f t="shared" si="57"/>
        <v>0.25</v>
      </c>
      <c r="S76" s="322">
        <f t="shared" si="58"/>
        <v>0.25</v>
      </c>
      <c r="T76" s="322">
        <f t="shared" si="59"/>
        <v>0.25</v>
      </c>
      <c r="U76" s="322">
        <f t="shared" si="60"/>
        <v>0.25</v>
      </c>
      <c r="V76" s="341">
        <f t="shared" si="61"/>
        <v>200000</v>
      </c>
      <c r="W76" s="341">
        <f t="shared" si="62"/>
        <v>200000</v>
      </c>
      <c r="X76" s="341">
        <f t="shared" si="63"/>
        <v>200000</v>
      </c>
      <c r="Y76" s="341">
        <f t="shared" si="64"/>
        <v>200000</v>
      </c>
      <c r="Z76" s="322"/>
      <c r="AA76" s="341"/>
      <c r="AB76" s="322"/>
      <c r="AC76" s="341"/>
      <c r="AD76" s="322"/>
      <c r="AE76" s="341"/>
      <c r="AF76" s="322"/>
      <c r="AG76" s="341"/>
      <c r="AH76" s="322"/>
      <c r="AI76" s="341"/>
      <c r="AJ76" s="322"/>
      <c r="AK76" s="341"/>
      <c r="AL76" s="322"/>
      <c r="AM76" s="341"/>
      <c r="AN76" s="322"/>
      <c r="AO76" s="341"/>
      <c r="AP76" s="322"/>
      <c r="AQ76" s="341"/>
      <c r="AR76" s="322"/>
      <c r="AS76" s="341"/>
      <c r="AT76" s="322"/>
      <c r="AU76" s="341"/>
      <c r="AV76" s="322"/>
      <c r="AW76" s="341"/>
      <c r="AX76" s="322"/>
      <c r="AY76" s="341"/>
      <c r="AZ76" s="322"/>
      <c r="BA76" s="341"/>
      <c r="BB76" s="322"/>
      <c r="BC76" s="341"/>
      <c r="BD76" s="322"/>
      <c r="BE76" s="341"/>
      <c r="BF76" s="322"/>
      <c r="BG76" s="341"/>
      <c r="BH76" s="322">
        <v>1</v>
      </c>
      <c r="BI76" s="341">
        <f t="shared" si="10"/>
        <v>800000</v>
      </c>
      <c r="BJ76" s="322">
        <f t="shared" si="20"/>
        <v>1</v>
      </c>
      <c r="BK76" s="338">
        <f t="shared" si="21"/>
        <v>800000</v>
      </c>
      <c r="BL76" s="336" t="s">
        <v>211</v>
      </c>
      <c r="BN76" s="340"/>
      <c r="BO76" s="340"/>
      <c r="BP76" s="340"/>
      <c r="BQ76" s="340"/>
      <c r="BR76" s="340">
        <f t="shared" si="65"/>
        <v>0</v>
      </c>
      <c r="BS76" s="340">
        <f t="shared" si="46"/>
        <v>800000</v>
      </c>
      <c r="BT76" s="340"/>
      <c r="BU76" s="652">
        <f t="shared" si="47"/>
        <v>800000</v>
      </c>
      <c r="BV76" s="341">
        <f t="shared" si="0"/>
        <v>800000</v>
      </c>
    </row>
    <row r="77" spans="1:74" x14ac:dyDescent="0.25">
      <c r="A77" s="428"/>
      <c r="B77" s="269" t="s">
        <v>1061</v>
      </c>
      <c r="C77" s="342" t="s">
        <v>125</v>
      </c>
      <c r="D77" s="336" t="s">
        <v>65</v>
      </c>
      <c r="E77" s="343">
        <v>25000</v>
      </c>
      <c r="F77" s="322">
        <f t="shared" si="34"/>
        <v>12</v>
      </c>
      <c r="G77" s="673">
        <f t="shared" si="35"/>
        <v>300000</v>
      </c>
      <c r="H77" s="673">
        <f t="shared" si="36"/>
        <v>150000</v>
      </c>
      <c r="I77" s="673">
        <f t="shared" si="56"/>
        <v>150000</v>
      </c>
      <c r="J77" s="673"/>
      <c r="K77" s="673"/>
      <c r="L77" s="673"/>
      <c r="M77" s="673"/>
      <c r="N77" s="673"/>
      <c r="O77" s="338"/>
      <c r="P77" s="338"/>
      <c r="Q77" s="338"/>
      <c r="R77" s="322">
        <f t="shared" si="57"/>
        <v>3</v>
      </c>
      <c r="S77" s="322">
        <f t="shared" si="58"/>
        <v>3</v>
      </c>
      <c r="T77" s="322">
        <f t="shared" si="59"/>
        <v>3</v>
      </c>
      <c r="U77" s="322">
        <f t="shared" si="60"/>
        <v>3</v>
      </c>
      <c r="V77" s="341">
        <f t="shared" si="61"/>
        <v>75000</v>
      </c>
      <c r="W77" s="341">
        <f t="shared" si="62"/>
        <v>75000</v>
      </c>
      <c r="X77" s="341">
        <f t="shared" si="63"/>
        <v>75000</v>
      </c>
      <c r="Y77" s="341">
        <f t="shared" si="64"/>
        <v>75000</v>
      </c>
      <c r="Z77" s="322"/>
      <c r="AA77" s="341"/>
      <c r="AB77" s="322"/>
      <c r="AC77" s="341"/>
      <c r="AD77" s="322"/>
      <c r="AE77" s="341"/>
      <c r="AF77" s="322"/>
      <c r="AG77" s="341"/>
      <c r="AH77" s="322"/>
      <c r="AI77" s="341"/>
      <c r="AJ77" s="322"/>
      <c r="AK77" s="341"/>
      <c r="AL77" s="322"/>
      <c r="AM77" s="341"/>
      <c r="AN77" s="322"/>
      <c r="AO77" s="341"/>
      <c r="AP77" s="322"/>
      <c r="AQ77" s="341"/>
      <c r="AR77" s="322"/>
      <c r="AS77" s="341"/>
      <c r="AT77" s="322"/>
      <c r="AU77" s="341"/>
      <c r="AV77" s="322"/>
      <c r="AW77" s="341"/>
      <c r="AX77" s="322"/>
      <c r="AY77" s="341"/>
      <c r="AZ77" s="322"/>
      <c r="BA77" s="341"/>
      <c r="BB77" s="322"/>
      <c r="BC77" s="341"/>
      <c r="BD77" s="322"/>
      <c r="BE77" s="341"/>
      <c r="BF77" s="322"/>
      <c r="BG77" s="341"/>
      <c r="BH77" s="322">
        <v>12</v>
      </c>
      <c r="BI77" s="341">
        <f t="shared" si="10"/>
        <v>300000</v>
      </c>
      <c r="BJ77" s="322">
        <f t="shared" si="20"/>
        <v>12</v>
      </c>
      <c r="BK77" s="338">
        <f t="shared" si="21"/>
        <v>300000</v>
      </c>
      <c r="BL77" s="336" t="s">
        <v>211</v>
      </c>
      <c r="BN77" s="340"/>
      <c r="BO77" s="340"/>
      <c r="BP77" s="340"/>
      <c r="BQ77" s="340"/>
      <c r="BR77" s="340">
        <f t="shared" si="65"/>
        <v>0</v>
      </c>
      <c r="BS77" s="340">
        <f t="shared" si="46"/>
        <v>300000</v>
      </c>
      <c r="BT77" s="340"/>
      <c r="BU77" s="652">
        <f t="shared" si="47"/>
        <v>300000</v>
      </c>
      <c r="BV77" s="341">
        <f t="shared" si="0"/>
        <v>300000</v>
      </c>
    </row>
    <row r="78" spans="1:74" x14ac:dyDescent="0.25">
      <c r="A78" s="428"/>
      <c r="B78" s="269" t="s">
        <v>1062</v>
      </c>
      <c r="C78" s="342" t="s">
        <v>126</v>
      </c>
      <c r="D78" s="336" t="s">
        <v>65</v>
      </c>
      <c r="E78" s="343" t="s">
        <v>390</v>
      </c>
      <c r="F78" s="322">
        <f t="shared" si="34"/>
        <v>0</v>
      </c>
      <c r="G78" s="673">
        <f t="shared" si="35"/>
        <v>0</v>
      </c>
      <c r="H78" s="673">
        <f t="shared" si="36"/>
        <v>0</v>
      </c>
      <c r="I78" s="673">
        <f t="shared" si="56"/>
        <v>0</v>
      </c>
      <c r="J78" s="673"/>
      <c r="K78" s="673"/>
      <c r="L78" s="673"/>
      <c r="M78" s="673"/>
      <c r="N78" s="673"/>
      <c r="O78" s="338"/>
      <c r="P78" s="338"/>
      <c r="Q78" s="338"/>
      <c r="R78" s="322">
        <f t="shared" si="57"/>
        <v>0</v>
      </c>
      <c r="S78" s="322">
        <f t="shared" si="58"/>
        <v>0</v>
      </c>
      <c r="T78" s="322">
        <f t="shared" si="59"/>
        <v>0</v>
      </c>
      <c r="U78" s="322">
        <f t="shared" si="60"/>
        <v>0</v>
      </c>
      <c r="V78" s="341">
        <f t="shared" si="61"/>
        <v>0</v>
      </c>
      <c r="W78" s="341">
        <f t="shared" si="62"/>
        <v>0</v>
      </c>
      <c r="X78" s="341">
        <f t="shared" si="63"/>
        <v>0</v>
      </c>
      <c r="Y78" s="341">
        <f t="shared" si="64"/>
        <v>0</v>
      </c>
      <c r="Z78" s="322"/>
      <c r="AA78" s="341"/>
      <c r="AB78" s="322"/>
      <c r="AC78" s="341"/>
      <c r="AD78" s="322"/>
      <c r="AE78" s="341"/>
      <c r="AF78" s="322"/>
      <c r="AG78" s="341"/>
      <c r="AH78" s="322"/>
      <c r="AI78" s="341"/>
      <c r="AJ78" s="322"/>
      <c r="AK78" s="341"/>
      <c r="AL78" s="322"/>
      <c r="AM78" s="341"/>
      <c r="AN78" s="322"/>
      <c r="AO78" s="341"/>
      <c r="AP78" s="322"/>
      <c r="AQ78" s="341"/>
      <c r="AR78" s="322"/>
      <c r="AS78" s="341"/>
      <c r="AT78" s="322"/>
      <c r="AU78" s="341"/>
      <c r="AV78" s="322"/>
      <c r="AW78" s="341"/>
      <c r="AX78" s="322"/>
      <c r="AY78" s="341"/>
      <c r="AZ78" s="322"/>
      <c r="BA78" s="341"/>
      <c r="BB78" s="322"/>
      <c r="BC78" s="341"/>
      <c r="BD78" s="322"/>
      <c r="BE78" s="341"/>
      <c r="BF78" s="322"/>
      <c r="BG78" s="341"/>
      <c r="BH78" s="322">
        <v>0</v>
      </c>
      <c r="BI78" s="341">
        <f t="shared" si="10"/>
        <v>0</v>
      </c>
      <c r="BJ78" s="322">
        <f t="shared" si="20"/>
        <v>0</v>
      </c>
      <c r="BK78" s="338">
        <f t="shared" si="21"/>
        <v>0</v>
      </c>
      <c r="BL78" s="336" t="s">
        <v>211</v>
      </c>
      <c r="BN78" s="340"/>
      <c r="BO78" s="340"/>
      <c r="BP78" s="340"/>
      <c r="BQ78" s="340"/>
      <c r="BR78" s="340">
        <f t="shared" si="65"/>
        <v>0</v>
      </c>
      <c r="BS78" s="340">
        <f t="shared" si="46"/>
        <v>0</v>
      </c>
      <c r="BT78" s="340"/>
      <c r="BU78" s="652">
        <f t="shared" si="47"/>
        <v>0</v>
      </c>
      <c r="BV78" s="341">
        <f t="shared" si="0"/>
        <v>0</v>
      </c>
    </row>
    <row r="79" spans="1:74" s="317" customFormat="1" x14ac:dyDescent="0.25">
      <c r="A79" s="428"/>
      <c r="B79" s="382"/>
      <c r="C79" s="335" t="s">
        <v>385</v>
      </c>
      <c r="D79" s="346" t="s">
        <v>111</v>
      </c>
      <c r="E79" s="354" t="s">
        <v>111</v>
      </c>
      <c r="F79" s="332">
        <f>SUM(F53:F78)</f>
        <v>247</v>
      </c>
      <c r="G79" s="332">
        <f t="shared" ref="G79:BK79" si="66">SUM(G53:G78)</f>
        <v>33535000</v>
      </c>
      <c r="H79" s="332">
        <f t="shared" si="66"/>
        <v>16767500</v>
      </c>
      <c r="I79" s="332">
        <f t="shared" si="66"/>
        <v>16767500</v>
      </c>
      <c r="J79" s="332">
        <f t="shared" si="66"/>
        <v>0</v>
      </c>
      <c r="K79" s="332">
        <f t="shared" si="66"/>
        <v>0</v>
      </c>
      <c r="L79" s="332">
        <f t="shared" si="66"/>
        <v>0</v>
      </c>
      <c r="M79" s="332">
        <f t="shared" si="66"/>
        <v>0</v>
      </c>
      <c r="N79" s="332">
        <f t="shared" si="66"/>
        <v>0</v>
      </c>
      <c r="O79" s="332">
        <f t="shared" si="66"/>
        <v>0</v>
      </c>
      <c r="P79" s="332">
        <f t="shared" si="66"/>
        <v>0</v>
      </c>
      <c r="Q79" s="332">
        <f t="shared" si="66"/>
        <v>0</v>
      </c>
      <c r="R79" s="332">
        <f t="shared" si="66"/>
        <v>61.75</v>
      </c>
      <c r="S79" s="332">
        <f t="shared" si="66"/>
        <v>61.75</v>
      </c>
      <c r="T79" s="332">
        <f t="shared" si="66"/>
        <v>61.75</v>
      </c>
      <c r="U79" s="332">
        <f t="shared" si="66"/>
        <v>61.75</v>
      </c>
      <c r="V79" s="332">
        <f t="shared" si="66"/>
        <v>8383750</v>
      </c>
      <c r="W79" s="332">
        <f t="shared" si="66"/>
        <v>8383750</v>
      </c>
      <c r="X79" s="332">
        <f t="shared" si="66"/>
        <v>8383750</v>
      </c>
      <c r="Y79" s="332">
        <f t="shared" si="66"/>
        <v>8383750</v>
      </c>
      <c r="Z79" s="332">
        <f t="shared" si="66"/>
        <v>0</v>
      </c>
      <c r="AA79" s="332">
        <f t="shared" si="66"/>
        <v>0</v>
      </c>
      <c r="AB79" s="332">
        <f t="shared" si="66"/>
        <v>0</v>
      </c>
      <c r="AC79" s="332">
        <f t="shared" si="66"/>
        <v>0</v>
      </c>
      <c r="AD79" s="332">
        <f t="shared" si="66"/>
        <v>0</v>
      </c>
      <c r="AE79" s="332">
        <f t="shared" si="66"/>
        <v>0</v>
      </c>
      <c r="AF79" s="332">
        <f t="shared" si="66"/>
        <v>0</v>
      </c>
      <c r="AG79" s="332">
        <f t="shared" si="66"/>
        <v>0</v>
      </c>
      <c r="AH79" s="332">
        <f t="shared" si="66"/>
        <v>0</v>
      </c>
      <c r="AI79" s="332">
        <f t="shared" si="66"/>
        <v>0</v>
      </c>
      <c r="AJ79" s="332">
        <f t="shared" si="66"/>
        <v>0</v>
      </c>
      <c r="AK79" s="332">
        <f t="shared" si="66"/>
        <v>0</v>
      </c>
      <c r="AL79" s="332">
        <f t="shared" si="66"/>
        <v>0</v>
      </c>
      <c r="AM79" s="332">
        <f t="shared" si="66"/>
        <v>0</v>
      </c>
      <c r="AN79" s="332">
        <f t="shared" si="66"/>
        <v>0</v>
      </c>
      <c r="AO79" s="332">
        <f t="shared" si="66"/>
        <v>0</v>
      </c>
      <c r="AP79" s="332">
        <f t="shared" si="66"/>
        <v>0</v>
      </c>
      <c r="AQ79" s="332">
        <f t="shared" si="66"/>
        <v>0</v>
      </c>
      <c r="AR79" s="332">
        <f t="shared" si="66"/>
        <v>0</v>
      </c>
      <c r="AS79" s="332">
        <f t="shared" si="66"/>
        <v>0</v>
      </c>
      <c r="AT79" s="332">
        <f t="shared" si="66"/>
        <v>0</v>
      </c>
      <c r="AU79" s="332">
        <f t="shared" si="66"/>
        <v>0</v>
      </c>
      <c r="AV79" s="332">
        <f t="shared" si="66"/>
        <v>0</v>
      </c>
      <c r="AW79" s="332">
        <f t="shared" si="66"/>
        <v>0</v>
      </c>
      <c r="AX79" s="332">
        <f t="shared" si="66"/>
        <v>0</v>
      </c>
      <c r="AY79" s="332">
        <f t="shared" si="66"/>
        <v>0</v>
      </c>
      <c r="AZ79" s="332">
        <f t="shared" si="66"/>
        <v>0</v>
      </c>
      <c r="BA79" s="332">
        <f t="shared" si="66"/>
        <v>0</v>
      </c>
      <c r="BB79" s="332">
        <f t="shared" si="66"/>
        <v>0</v>
      </c>
      <c r="BC79" s="332">
        <f t="shared" si="66"/>
        <v>0</v>
      </c>
      <c r="BD79" s="332">
        <f t="shared" si="66"/>
        <v>0</v>
      </c>
      <c r="BE79" s="332">
        <f t="shared" si="66"/>
        <v>0</v>
      </c>
      <c r="BF79" s="332">
        <f t="shared" si="66"/>
        <v>0</v>
      </c>
      <c r="BG79" s="332">
        <f t="shared" si="66"/>
        <v>0</v>
      </c>
      <c r="BH79" s="332">
        <f t="shared" si="66"/>
        <v>247</v>
      </c>
      <c r="BI79" s="332">
        <f t="shared" si="66"/>
        <v>33535000</v>
      </c>
      <c r="BJ79" s="332">
        <f t="shared" si="66"/>
        <v>247</v>
      </c>
      <c r="BK79" s="332">
        <f t="shared" si="66"/>
        <v>33535000</v>
      </c>
      <c r="BL79" s="346" t="s">
        <v>111</v>
      </c>
      <c r="BN79" s="353"/>
      <c r="BO79" s="353"/>
      <c r="BP79" s="353"/>
      <c r="BQ79" s="353"/>
      <c r="BR79" s="353">
        <f t="shared" si="65"/>
        <v>0</v>
      </c>
      <c r="BS79" s="353">
        <f>G79</f>
        <v>33535000</v>
      </c>
      <c r="BT79" s="353"/>
      <c r="BU79" s="676">
        <f t="shared" ref="BU79:BU87" si="67">BS79+BT79</f>
        <v>33535000</v>
      </c>
      <c r="BV79" s="349">
        <f t="shared" ref="BV79:BV87" si="68">BR79+BU79</f>
        <v>33535000</v>
      </c>
    </row>
    <row r="80" spans="1:74" x14ac:dyDescent="0.25">
      <c r="A80" s="428"/>
      <c r="B80" s="408"/>
      <c r="C80" s="335" t="s">
        <v>329</v>
      </c>
      <c r="D80" s="336"/>
      <c r="E80" s="336"/>
      <c r="F80" s="322"/>
      <c r="G80" s="673"/>
      <c r="H80" s="673"/>
      <c r="I80" s="673"/>
      <c r="J80" s="673"/>
      <c r="K80" s="673"/>
      <c r="L80" s="673"/>
      <c r="M80" s="673"/>
      <c r="N80" s="673"/>
      <c r="O80" s="338"/>
      <c r="P80" s="338"/>
      <c r="Q80" s="338"/>
      <c r="R80" s="322"/>
      <c r="S80" s="322"/>
      <c r="T80" s="322"/>
      <c r="U80" s="322"/>
      <c r="V80" s="341"/>
      <c r="W80" s="341"/>
      <c r="X80" s="341"/>
      <c r="Y80" s="341"/>
      <c r="Z80" s="322"/>
      <c r="AA80" s="341"/>
      <c r="AB80" s="322"/>
      <c r="AC80" s="341"/>
      <c r="AD80" s="322"/>
      <c r="AE80" s="341"/>
      <c r="AF80" s="322"/>
      <c r="AG80" s="341"/>
      <c r="AH80" s="322"/>
      <c r="AI80" s="341"/>
      <c r="AJ80" s="322"/>
      <c r="AK80" s="341"/>
      <c r="AL80" s="322"/>
      <c r="AM80" s="341"/>
      <c r="AN80" s="322"/>
      <c r="AO80" s="341"/>
      <c r="AP80" s="322"/>
      <c r="AQ80" s="341"/>
      <c r="AR80" s="322"/>
      <c r="AS80" s="341"/>
      <c r="AT80" s="322"/>
      <c r="AU80" s="341"/>
      <c r="AV80" s="322"/>
      <c r="AW80" s="341"/>
      <c r="AX80" s="322"/>
      <c r="AY80" s="341"/>
      <c r="AZ80" s="322"/>
      <c r="BA80" s="341"/>
      <c r="BB80" s="322"/>
      <c r="BC80" s="341"/>
      <c r="BD80" s="322"/>
      <c r="BE80" s="341"/>
      <c r="BF80" s="322"/>
      <c r="BG80" s="341"/>
      <c r="BH80" s="322"/>
      <c r="BI80" s="341"/>
      <c r="BJ80" s="322"/>
      <c r="BK80" s="338"/>
      <c r="BL80" s="336"/>
      <c r="BN80" s="340"/>
      <c r="BO80" s="340"/>
      <c r="BP80" s="340"/>
      <c r="BQ80" s="340"/>
      <c r="BR80" s="340">
        <f t="shared" si="65"/>
        <v>0</v>
      </c>
      <c r="BS80" s="340">
        <f>G80</f>
        <v>0</v>
      </c>
      <c r="BT80" s="340"/>
      <c r="BU80" s="652">
        <f t="shared" si="67"/>
        <v>0</v>
      </c>
      <c r="BV80" s="341">
        <f t="shared" si="68"/>
        <v>0</v>
      </c>
    </row>
    <row r="81" spans="1:74" x14ac:dyDescent="0.25">
      <c r="A81" s="428"/>
      <c r="B81" s="269" t="s">
        <v>1063</v>
      </c>
      <c r="C81" s="342" t="s">
        <v>386</v>
      </c>
      <c r="D81" s="336" t="s">
        <v>65</v>
      </c>
      <c r="E81" s="343">
        <v>100000</v>
      </c>
      <c r="F81" s="322">
        <f>BJ81</f>
        <v>12</v>
      </c>
      <c r="G81" s="673">
        <f>F81*E81</f>
        <v>1200000</v>
      </c>
      <c r="H81" s="673">
        <f t="shared" ref="H81:H87" si="69">G81*0.5</f>
        <v>600000</v>
      </c>
      <c r="I81" s="673">
        <f>G81*0.5</f>
        <v>600000</v>
      </c>
      <c r="J81" s="673"/>
      <c r="K81" s="673"/>
      <c r="L81" s="673"/>
      <c r="M81" s="673"/>
      <c r="N81" s="673"/>
      <c r="O81" s="338"/>
      <c r="P81" s="338"/>
      <c r="Q81" s="338"/>
      <c r="R81" s="322">
        <f>F81*0.25</f>
        <v>3</v>
      </c>
      <c r="S81" s="322">
        <f>F81*0.25</f>
        <v>3</v>
      </c>
      <c r="T81" s="322">
        <f>F81*0.25</f>
        <v>3</v>
      </c>
      <c r="U81" s="322">
        <f>F81*0.25</f>
        <v>3</v>
      </c>
      <c r="V81" s="341">
        <f>R81*E81</f>
        <v>300000</v>
      </c>
      <c r="W81" s="341">
        <f>S81*E81</f>
        <v>300000</v>
      </c>
      <c r="X81" s="341">
        <f>T81*E81</f>
        <v>300000</v>
      </c>
      <c r="Y81" s="341">
        <f>U81*E81</f>
        <v>300000</v>
      </c>
      <c r="Z81" s="322"/>
      <c r="AA81" s="341"/>
      <c r="AB81" s="322"/>
      <c r="AC81" s="341"/>
      <c r="AD81" s="322"/>
      <c r="AE81" s="341"/>
      <c r="AF81" s="322"/>
      <c r="AG81" s="341"/>
      <c r="AH81" s="322"/>
      <c r="AI81" s="341"/>
      <c r="AJ81" s="322"/>
      <c r="AK81" s="341"/>
      <c r="AL81" s="322"/>
      <c r="AM81" s="341"/>
      <c r="AN81" s="322"/>
      <c r="AO81" s="341"/>
      <c r="AP81" s="322"/>
      <c r="AQ81" s="341"/>
      <c r="AR81" s="322"/>
      <c r="AS81" s="341"/>
      <c r="AT81" s="322"/>
      <c r="AU81" s="341"/>
      <c r="AV81" s="322"/>
      <c r="AW81" s="341"/>
      <c r="AX81" s="322"/>
      <c r="AY81" s="341"/>
      <c r="AZ81" s="322"/>
      <c r="BA81" s="341"/>
      <c r="BB81" s="322"/>
      <c r="BC81" s="341"/>
      <c r="BD81" s="322"/>
      <c r="BE81" s="341"/>
      <c r="BF81" s="322"/>
      <c r="BG81" s="341"/>
      <c r="BH81" s="322">
        <v>12</v>
      </c>
      <c r="BI81" s="341">
        <f t="shared" ref="BI81:BI87" si="70">BH81*E81</f>
        <v>1200000</v>
      </c>
      <c r="BJ81" s="322">
        <f t="shared" si="20"/>
        <v>12</v>
      </c>
      <c r="BK81" s="338">
        <f t="shared" si="21"/>
        <v>1200000</v>
      </c>
      <c r="BL81" s="336" t="s">
        <v>211</v>
      </c>
      <c r="BN81" s="340"/>
      <c r="BO81" s="340"/>
      <c r="BP81" s="340"/>
      <c r="BQ81" s="340"/>
      <c r="BR81" s="340">
        <f t="shared" si="65"/>
        <v>0</v>
      </c>
      <c r="BS81" s="340"/>
      <c r="BT81" s="340">
        <f>BK81</f>
        <v>1200000</v>
      </c>
      <c r="BU81" s="652">
        <f t="shared" si="67"/>
        <v>1200000</v>
      </c>
      <c r="BV81" s="341">
        <f t="shared" si="68"/>
        <v>1200000</v>
      </c>
    </row>
    <row r="82" spans="1:74" x14ac:dyDescent="0.25">
      <c r="A82" s="428"/>
      <c r="B82" s="269" t="s">
        <v>1064</v>
      </c>
      <c r="C82" s="342" t="s">
        <v>133</v>
      </c>
      <c r="D82" s="336" t="s">
        <v>16</v>
      </c>
      <c r="E82" s="654">
        <v>1800000</v>
      </c>
      <c r="F82" s="322">
        <f t="shared" ref="F82:F87" si="71">BJ82</f>
        <v>1</v>
      </c>
      <c r="G82" s="673">
        <f t="shared" ref="G82:G87" si="72">F82*E82</f>
        <v>1800000</v>
      </c>
      <c r="H82" s="673">
        <f t="shared" si="69"/>
        <v>900000</v>
      </c>
      <c r="I82" s="673">
        <f t="shared" ref="I82:I87" si="73">G82*0.5</f>
        <v>900000</v>
      </c>
      <c r="J82" s="673"/>
      <c r="K82" s="673"/>
      <c r="L82" s="673"/>
      <c r="M82" s="673"/>
      <c r="N82" s="673"/>
      <c r="O82" s="338"/>
      <c r="P82" s="338"/>
      <c r="Q82" s="338"/>
      <c r="R82" s="322">
        <f t="shared" ref="R82:R87" si="74">F82*0.25</f>
        <v>0.25</v>
      </c>
      <c r="S82" s="322">
        <f t="shared" ref="S82:S87" si="75">F82*0.25</f>
        <v>0.25</v>
      </c>
      <c r="T82" s="322">
        <f t="shared" ref="T82:T87" si="76">F82*0.25</f>
        <v>0.25</v>
      </c>
      <c r="U82" s="322">
        <f t="shared" ref="U82:U87" si="77">F82*0.25</f>
        <v>0.25</v>
      </c>
      <c r="V82" s="341">
        <f t="shared" ref="V82:V87" si="78">R82*E82</f>
        <v>450000</v>
      </c>
      <c r="W82" s="341">
        <f t="shared" ref="W82:W87" si="79">S82*E82</f>
        <v>450000</v>
      </c>
      <c r="X82" s="341">
        <f t="shared" ref="X82:X87" si="80">T82*E82</f>
        <v>450000</v>
      </c>
      <c r="Y82" s="341">
        <f t="shared" ref="Y82:Y87" si="81">U82*E82</f>
        <v>450000</v>
      </c>
      <c r="Z82" s="322"/>
      <c r="AA82" s="341"/>
      <c r="AB82" s="322"/>
      <c r="AC82" s="341"/>
      <c r="AD82" s="322"/>
      <c r="AE82" s="341"/>
      <c r="AF82" s="322"/>
      <c r="AG82" s="341"/>
      <c r="AH82" s="322"/>
      <c r="AI82" s="341"/>
      <c r="AJ82" s="322"/>
      <c r="AK82" s="341"/>
      <c r="AL82" s="322"/>
      <c r="AM82" s="341"/>
      <c r="AN82" s="322"/>
      <c r="AO82" s="341"/>
      <c r="AP82" s="322"/>
      <c r="AQ82" s="341"/>
      <c r="AR82" s="322"/>
      <c r="AS82" s="341"/>
      <c r="AT82" s="322"/>
      <c r="AU82" s="341"/>
      <c r="AV82" s="322"/>
      <c r="AW82" s="341"/>
      <c r="AX82" s="322"/>
      <c r="AY82" s="341"/>
      <c r="AZ82" s="322"/>
      <c r="BA82" s="341"/>
      <c r="BB82" s="322"/>
      <c r="BC82" s="341"/>
      <c r="BD82" s="322"/>
      <c r="BE82" s="341"/>
      <c r="BF82" s="322"/>
      <c r="BG82" s="341"/>
      <c r="BH82" s="322">
        <v>1</v>
      </c>
      <c r="BI82" s="341">
        <f t="shared" si="70"/>
        <v>1800000</v>
      </c>
      <c r="BJ82" s="322">
        <f t="shared" si="20"/>
        <v>1</v>
      </c>
      <c r="BK82" s="338">
        <f t="shared" si="21"/>
        <v>1800000</v>
      </c>
      <c r="BL82" s="336" t="s">
        <v>211</v>
      </c>
      <c r="BN82" s="340"/>
      <c r="BO82" s="340"/>
      <c r="BP82" s="340"/>
      <c r="BQ82" s="340"/>
      <c r="BR82" s="340">
        <f t="shared" si="65"/>
        <v>0</v>
      </c>
      <c r="BS82" s="340"/>
      <c r="BT82" s="340">
        <f t="shared" ref="BT82:BT87" si="82">BK82</f>
        <v>1800000</v>
      </c>
      <c r="BU82" s="652">
        <f t="shared" si="67"/>
        <v>1800000</v>
      </c>
      <c r="BV82" s="341">
        <f t="shared" si="68"/>
        <v>1800000</v>
      </c>
    </row>
    <row r="83" spans="1:74" x14ac:dyDescent="0.25">
      <c r="A83" s="428"/>
      <c r="B83" s="269" t="s">
        <v>1065</v>
      </c>
      <c r="C83" s="342" t="s">
        <v>130</v>
      </c>
      <c r="D83" s="336" t="s">
        <v>65</v>
      </c>
      <c r="E83" s="343">
        <v>700000</v>
      </c>
      <c r="F83" s="322">
        <f t="shared" si="71"/>
        <v>12</v>
      </c>
      <c r="G83" s="673">
        <f>F83*E83</f>
        <v>8400000</v>
      </c>
      <c r="H83" s="673">
        <f t="shared" si="69"/>
        <v>4200000</v>
      </c>
      <c r="I83" s="673">
        <f t="shared" si="73"/>
        <v>4200000</v>
      </c>
      <c r="J83" s="673"/>
      <c r="K83" s="673"/>
      <c r="L83" s="673"/>
      <c r="M83" s="673"/>
      <c r="N83" s="673"/>
      <c r="O83" s="338"/>
      <c r="P83" s="338"/>
      <c r="Q83" s="338"/>
      <c r="R83" s="322">
        <f t="shared" si="74"/>
        <v>3</v>
      </c>
      <c r="S83" s="322">
        <f t="shared" si="75"/>
        <v>3</v>
      </c>
      <c r="T83" s="322">
        <f t="shared" si="76"/>
        <v>3</v>
      </c>
      <c r="U83" s="322">
        <f t="shared" si="77"/>
        <v>3</v>
      </c>
      <c r="V83" s="341">
        <f t="shared" si="78"/>
        <v>2100000</v>
      </c>
      <c r="W83" s="341">
        <f t="shared" si="79"/>
        <v>2100000</v>
      </c>
      <c r="X83" s="341">
        <f t="shared" si="80"/>
        <v>2100000</v>
      </c>
      <c r="Y83" s="341">
        <f t="shared" si="81"/>
        <v>2100000</v>
      </c>
      <c r="Z83" s="322"/>
      <c r="AA83" s="341"/>
      <c r="AB83" s="322"/>
      <c r="AC83" s="341"/>
      <c r="AD83" s="322"/>
      <c r="AE83" s="341"/>
      <c r="AF83" s="322"/>
      <c r="AG83" s="341"/>
      <c r="AH83" s="322"/>
      <c r="AI83" s="341"/>
      <c r="AJ83" s="322"/>
      <c r="AK83" s="341"/>
      <c r="AL83" s="322"/>
      <c r="AM83" s="341"/>
      <c r="AN83" s="322"/>
      <c r="AO83" s="341"/>
      <c r="AP83" s="322"/>
      <c r="AQ83" s="341"/>
      <c r="AR83" s="322"/>
      <c r="AS83" s="341"/>
      <c r="AT83" s="322"/>
      <c r="AU83" s="341"/>
      <c r="AV83" s="322"/>
      <c r="AW83" s="341"/>
      <c r="AX83" s="322"/>
      <c r="AY83" s="341"/>
      <c r="AZ83" s="322"/>
      <c r="BA83" s="341"/>
      <c r="BB83" s="322"/>
      <c r="BC83" s="341"/>
      <c r="BD83" s="322"/>
      <c r="BE83" s="341"/>
      <c r="BF83" s="322"/>
      <c r="BG83" s="341"/>
      <c r="BH83" s="322">
        <v>12</v>
      </c>
      <c r="BI83" s="341">
        <f t="shared" si="70"/>
        <v>8400000</v>
      </c>
      <c r="BJ83" s="322">
        <f t="shared" si="20"/>
        <v>12</v>
      </c>
      <c r="BK83" s="338">
        <f t="shared" si="21"/>
        <v>8400000</v>
      </c>
      <c r="BL83" s="336" t="s">
        <v>211</v>
      </c>
      <c r="BN83" s="340"/>
      <c r="BO83" s="340"/>
      <c r="BP83" s="340"/>
      <c r="BQ83" s="340"/>
      <c r="BR83" s="340">
        <f t="shared" si="65"/>
        <v>0</v>
      </c>
      <c r="BS83" s="340"/>
      <c r="BT83" s="340">
        <f t="shared" si="82"/>
        <v>8400000</v>
      </c>
      <c r="BU83" s="652">
        <f t="shared" si="67"/>
        <v>8400000</v>
      </c>
      <c r="BV83" s="341">
        <f t="shared" si="68"/>
        <v>8400000</v>
      </c>
    </row>
    <row r="84" spans="1:74" ht="63" x14ac:dyDescent="0.25">
      <c r="A84" s="428"/>
      <c r="B84" s="269" t="s">
        <v>1066</v>
      </c>
      <c r="C84" s="344" t="s">
        <v>886</v>
      </c>
      <c r="D84" s="336" t="s">
        <v>16</v>
      </c>
      <c r="E84" s="343">
        <f>6000000</f>
        <v>6000000</v>
      </c>
      <c r="F84" s="322">
        <f t="shared" si="71"/>
        <v>1</v>
      </c>
      <c r="G84" s="673">
        <f t="shared" si="72"/>
        <v>6000000</v>
      </c>
      <c r="H84" s="673">
        <f t="shared" si="69"/>
        <v>3000000</v>
      </c>
      <c r="I84" s="673">
        <f t="shared" si="73"/>
        <v>3000000</v>
      </c>
      <c r="J84" s="673"/>
      <c r="K84" s="673"/>
      <c r="L84" s="673"/>
      <c r="M84" s="673"/>
      <c r="N84" s="673"/>
      <c r="O84" s="338"/>
      <c r="P84" s="338"/>
      <c r="Q84" s="338"/>
      <c r="R84" s="322">
        <f>F84*0.35</f>
        <v>0.35</v>
      </c>
      <c r="S84" s="322">
        <f>F84*0.4</f>
        <v>0.4</v>
      </c>
      <c r="T84" s="322">
        <f>F84*0.15</f>
        <v>0.15</v>
      </c>
      <c r="U84" s="322">
        <f>F84*0.1</f>
        <v>0.1</v>
      </c>
      <c r="V84" s="341">
        <f t="shared" si="78"/>
        <v>2100000</v>
      </c>
      <c r="W84" s="341">
        <f t="shared" si="79"/>
        <v>2400000</v>
      </c>
      <c r="X84" s="341">
        <f t="shared" si="80"/>
        <v>900000</v>
      </c>
      <c r="Y84" s="341">
        <f t="shared" si="81"/>
        <v>600000</v>
      </c>
      <c r="Z84" s="322"/>
      <c r="AA84" s="341"/>
      <c r="AB84" s="322"/>
      <c r="AC84" s="341"/>
      <c r="AD84" s="322"/>
      <c r="AE84" s="341"/>
      <c r="AF84" s="322"/>
      <c r="AG84" s="341"/>
      <c r="AH84" s="322"/>
      <c r="AI84" s="341"/>
      <c r="AJ84" s="322"/>
      <c r="AK84" s="341"/>
      <c r="AL84" s="322"/>
      <c r="AM84" s="341"/>
      <c r="AN84" s="322"/>
      <c r="AO84" s="341"/>
      <c r="AP84" s="322"/>
      <c r="AQ84" s="341"/>
      <c r="AR84" s="322"/>
      <c r="AS84" s="341"/>
      <c r="AT84" s="322"/>
      <c r="AU84" s="341"/>
      <c r="AV84" s="322"/>
      <c r="AW84" s="341"/>
      <c r="AX84" s="322"/>
      <c r="AY84" s="341"/>
      <c r="AZ84" s="322"/>
      <c r="BA84" s="341"/>
      <c r="BB84" s="322"/>
      <c r="BC84" s="341"/>
      <c r="BD84" s="322"/>
      <c r="BE84" s="341"/>
      <c r="BF84" s="322"/>
      <c r="BG84" s="341"/>
      <c r="BH84" s="322">
        <v>1</v>
      </c>
      <c r="BI84" s="341">
        <f t="shared" si="70"/>
        <v>6000000</v>
      </c>
      <c r="BJ84" s="322">
        <f t="shared" si="20"/>
        <v>1</v>
      </c>
      <c r="BK84" s="338">
        <f t="shared" si="21"/>
        <v>6000000</v>
      </c>
      <c r="BL84" s="336" t="s">
        <v>211</v>
      </c>
      <c r="BN84" s="340"/>
      <c r="BO84" s="340"/>
      <c r="BP84" s="340"/>
      <c r="BQ84" s="340"/>
      <c r="BR84" s="340">
        <f t="shared" si="65"/>
        <v>0</v>
      </c>
      <c r="BS84" s="340"/>
      <c r="BT84" s="340">
        <f t="shared" si="82"/>
        <v>6000000</v>
      </c>
      <c r="BU84" s="652">
        <f t="shared" si="67"/>
        <v>6000000</v>
      </c>
      <c r="BV84" s="341">
        <f t="shared" si="68"/>
        <v>6000000</v>
      </c>
    </row>
    <row r="85" spans="1:74" x14ac:dyDescent="0.25">
      <c r="A85" s="428"/>
      <c r="B85" s="269" t="s">
        <v>1067</v>
      </c>
      <c r="C85" s="342" t="s">
        <v>870</v>
      </c>
      <c r="D85" s="336" t="s">
        <v>16</v>
      </c>
      <c r="E85" s="343">
        <v>500000</v>
      </c>
      <c r="F85" s="322">
        <f t="shared" si="71"/>
        <v>0</v>
      </c>
      <c r="G85" s="673">
        <f t="shared" si="72"/>
        <v>0</v>
      </c>
      <c r="H85" s="673">
        <f t="shared" si="69"/>
        <v>0</v>
      </c>
      <c r="I85" s="673">
        <f t="shared" si="73"/>
        <v>0</v>
      </c>
      <c r="J85" s="673"/>
      <c r="K85" s="673"/>
      <c r="L85" s="673"/>
      <c r="M85" s="673"/>
      <c r="N85" s="673"/>
      <c r="O85" s="338"/>
      <c r="P85" s="338"/>
      <c r="Q85" s="338"/>
      <c r="R85" s="322">
        <f t="shared" si="74"/>
        <v>0</v>
      </c>
      <c r="S85" s="322">
        <f t="shared" si="75"/>
        <v>0</v>
      </c>
      <c r="T85" s="322">
        <f t="shared" si="76"/>
        <v>0</v>
      </c>
      <c r="U85" s="322">
        <f t="shared" si="77"/>
        <v>0</v>
      </c>
      <c r="V85" s="341">
        <f t="shared" si="78"/>
        <v>0</v>
      </c>
      <c r="W85" s="341">
        <f t="shared" si="79"/>
        <v>0</v>
      </c>
      <c r="X85" s="341">
        <f t="shared" si="80"/>
        <v>0</v>
      </c>
      <c r="Y85" s="341">
        <f t="shared" si="81"/>
        <v>0</v>
      </c>
      <c r="Z85" s="322"/>
      <c r="AA85" s="341"/>
      <c r="AB85" s="322"/>
      <c r="AC85" s="341"/>
      <c r="AD85" s="322"/>
      <c r="AE85" s="341"/>
      <c r="AF85" s="322"/>
      <c r="AG85" s="341"/>
      <c r="AH85" s="322"/>
      <c r="AI85" s="341"/>
      <c r="AJ85" s="322"/>
      <c r="AK85" s="341"/>
      <c r="AL85" s="322"/>
      <c r="AM85" s="341"/>
      <c r="AN85" s="322"/>
      <c r="AO85" s="341"/>
      <c r="AP85" s="322"/>
      <c r="AQ85" s="341"/>
      <c r="AR85" s="322"/>
      <c r="AS85" s="341"/>
      <c r="AT85" s="322"/>
      <c r="AU85" s="341"/>
      <c r="AV85" s="322"/>
      <c r="AW85" s="341"/>
      <c r="AX85" s="322"/>
      <c r="AY85" s="341"/>
      <c r="AZ85" s="322"/>
      <c r="BA85" s="341"/>
      <c r="BB85" s="322"/>
      <c r="BC85" s="341"/>
      <c r="BD85" s="322"/>
      <c r="BE85" s="341"/>
      <c r="BF85" s="322"/>
      <c r="BG85" s="341"/>
      <c r="BH85" s="322">
        <v>0</v>
      </c>
      <c r="BI85" s="341">
        <f t="shared" si="70"/>
        <v>0</v>
      </c>
      <c r="BJ85" s="322">
        <f t="shared" si="20"/>
        <v>0</v>
      </c>
      <c r="BK85" s="338">
        <f t="shared" si="21"/>
        <v>0</v>
      </c>
      <c r="BL85" s="336" t="s">
        <v>211</v>
      </c>
      <c r="BN85" s="340"/>
      <c r="BO85" s="340"/>
      <c r="BP85" s="340"/>
      <c r="BQ85" s="340"/>
      <c r="BR85" s="340">
        <f t="shared" si="65"/>
        <v>0</v>
      </c>
      <c r="BS85" s="340"/>
      <c r="BT85" s="340">
        <f t="shared" si="82"/>
        <v>0</v>
      </c>
      <c r="BU85" s="652">
        <f t="shared" si="67"/>
        <v>0</v>
      </c>
      <c r="BV85" s="341">
        <f t="shared" si="68"/>
        <v>0</v>
      </c>
    </row>
    <row r="86" spans="1:74" x14ac:dyDescent="0.25">
      <c r="A86" s="428"/>
      <c r="B86" s="269" t="s">
        <v>1068</v>
      </c>
      <c r="C86" s="342" t="s">
        <v>128</v>
      </c>
      <c r="D86" s="336" t="s">
        <v>65</v>
      </c>
      <c r="E86" s="343">
        <v>10000</v>
      </c>
      <c r="F86" s="322">
        <f t="shared" si="71"/>
        <v>12</v>
      </c>
      <c r="G86" s="673">
        <f t="shared" si="72"/>
        <v>120000</v>
      </c>
      <c r="H86" s="673">
        <f t="shared" si="69"/>
        <v>60000</v>
      </c>
      <c r="I86" s="673">
        <f t="shared" si="73"/>
        <v>60000</v>
      </c>
      <c r="J86" s="673"/>
      <c r="K86" s="673"/>
      <c r="L86" s="673"/>
      <c r="M86" s="673"/>
      <c r="N86" s="673"/>
      <c r="O86" s="338"/>
      <c r="P86" s="338"/>
      <c r="Q86" s="338"/>
      <c r="R86" s="322">
        <f t="shared" si="74"/>
        <v>3</v>
      </c>
      <c r="S86" s="322">
        <f t="shared" si="75"/>
        <v>3</v>
      </c>
      <c r="T86" s="322">
        <f t="shared" si="76"/>
        <v>3</v>
      </c>
      <c r="U86" s="322">
        <f t="shared" si="77"/>
        <v>3</v>
      </c>
      <c r="V86" s="341">
        <f t="shared" si="78"/>
        <v>30000</v>
      </c>
      <c r="W86" s="341">
        <f t="shared" si="79"/>
        <v>30000</v>
      </c>
      <c r="X86" s="341">
        <f t="shared" si="80"/>
        <v>30000</v>
      </c>
      <c r="Y86" s="341">
        <f t="shared" si="81"/>
        <v>30000</v>
      </c>
      <c r="Z86" s="322"/>
      <c r="AA86" s="341"/>
      <c r="AB86" s="322"/>
      <c r="AC86" s="341"/>
      <c r="AD86" s="322"/>
      <c r="AE86" s="341"/>
      <c r="AF86" s="322"/>
      <c r="AG86" s="341"/>
      <c r="AH86" s="322"/>
      <c r="AI86" s="341"/>
      <c r="AJ86" s="322"/>
      <c r="AK86" s="341"/>
      <c r="AL86" s="322"/>
      <c r="AM86" s="341"/>
      <c r="AN86" s="322"/>
      <c r="AO86" s="341"/>
      <c r="AP86" s="322"/>
      <c r="AQ86" s="341"/>
      <c r="AR86" s="322"/>
      <c r="AS86" s="341"/>
      <c r="AT86" s="322"/>
      <c r="AU86" s="341"/>
      <c r="AV86" s="322"/>
      <c r="AW86" s="341"/>
      <c r="AX86" s="322"/>
      <c r="AY86" s="341"/>
      <c r="AZ86" s="322"/>
      <c r="BA86" s="341"/>
      <c r="BB86" s="322"/>
      <c r="BC86" s="341"/>
      <c r="BD86" s="322"/>
      <c r="BE86" s="341"/>
      <c r="BF86" s="322"/>
      <c r="BG86" s="341"/>
      <c r="BH86" s="322">
        <v>12</v>
      </c>
      <c r="BI86" s="341">
        <f t="shared" si="70"/>
        <v>120000</v>
      </c>
      <c r="BJ86" s="322">
        <f t="shared" si="20"/>
        <v>12</v>
      </c>
      <c r="BK86" s="338">
        <f t="shared" si="21"/>
        <v>120000</v>
      </c>
      <c r="BL86" s="336" t="s">
        <v>211</v>
      </c>
      <c r="BN86" s="340"/>
      <c r="BO86" s="340"/>
      <c r="BP86" s="340"/>
      <c r="BQ86" s="340"/>
      <c r="BR86" s="340">
        <f t="shared" si="65"/>
        <v>0</v>
      </c>
      <c r="BS86" s="340"/>
      <c r="BT86" s="340">
        <f t="shared" si="82"/>
        <v>120000</v>
      </c>
      <c r="BU86" s="652">
        <f t="shared" si="67"/>
        <v>120000</v>
      </c>
      <c r="BV86" s="341">
        <f t="shared" si="68"/>
        <v>120000</v>
      </c>
    </row>
    <row r="87" spans="1:74" x14ac:dyDescent="0.25">
      <c r="A87" s="428"/>
      <c r="B87" s="269" t="s">
        <v>1069</v>
      </c>
      <c r="C87" s="342" t="s">
        <v>129</v>
      </c>
      <c r="D87" s="336" t="s">
        <v>65</v>
      </c>
      <c r="E87" s="343" t="s">
        <v>389</v>
      </c>
      <c r="F87" s="322">
        <f t="shared" si="71"/>
        <v>0</v>
      </c>
      <c r="G87" s="673">
        <f t="shared" si="72"/>
        <v>0</v>
      </c>
      <c r="H87" s="673">
        <f t="shared" si="69"/>
        <v>0</v>
      </c>
      <c r="I87" s="673">
        <f t="shared" si="73"/>
        <v>0</v>
      </c>
      <c r="J87" s="673"/>
      <c r="K87" s="673"/>
      <c r="L87" s="673"/>
      <c r="M87" s="673"/>
      <c r="N87" s="673"/>
      <c r="O87" s="338"/>
      <c r="P87" s="338"/>
      <c r="Q87" s="338"/>
      <c r="R87" s="322">
        <f t="shared" si="74"/>
        <v>0</v>
      </c>
      <c r="S87" s="322">
        <f t="shared" si="75"/>
        <v>0</v>
      </c>
      <c r="T87" s="322">
        <f t="shared" si="76"/>
        <v>0</v>
      </c>
      <c r="U87" s="322">
        <f t="shared" si="77"/>
        <v>0</v>
      </c>
      <c r="V87" s="341">
        <f t="shared" si="78"/>
        <v>0</v>
      </c>
      <c r="W87" s="341">
        <f t="shared" si="79"/>
        <v>0</v>
      </c>
      <c r="X87" s="341">
        <f t="shared" si="80"/>
        <v>0</v>
      </c>
      <c r="Y87" s="341">
        <f t="shared" si="81"/>
        <v>0</v>
      </c>
      <c r="Z87" s="322"/>
      <c r="AA87" s="341"/>
      <c r="AB87" s="322"/>
      <c r="AC87" s="341"/>
      <c r="AD87" s="322"/>
      <c r="AE87" s="341"/>
      <c r="AF87" s="322"/>
      <c r="AG87" s="341"/>
      <c r="AH87" s="322"/>
      <c r="AI87" s="341"/>
      <c r="AJ87" s="322"/>
      <c r="AK87" s="341"/>
      <c r="AL87" s="322"/>
      <c r="AM87" s="341"/>
      <c r="AN87" s="322"/>
      <c r="AO87" s="341"/>
      <c r="AP87" s="322"/>
      <c r="AQ87" s="341"/>
      <c r="AR87" s="322"/>
      <c r="AS87" s="341"/>
      <c r="AT87" s="322"/>
      <c r="AU87" s="341"/>
      <c r="AV87" s="322"/>
      <c r="AW87" s="341"/>
      <c r="AX87" s="322"/>
      <c r="AY87" s="341"/>
      <c r="AZ87" s="322"/>
      <c r="BA87" s="341"/>
      <c r="BB87" s="322"/>
      <c r="BC87" s="341"/>
      <c r="BD87" s="322"/>
      <c r="BE87" s="341"/>
      <c r="BF87" s="322"/>
      <c r="BG87" s="341"/>
      <c r="BH87" s="322">
        <v>0</v>
      </c>
      <c r="BI87" s="341">
        <f t="shared" si="70"/>
        <v>0</v>
      </c>
      <c r="BJ87" s="322">
        <f t="shared" si="20"/>
        <v>0</v>
      </c>
      <c r="BK87" s="338">
        <f t="shared" si="21"/>
        <v>0</v>
      </c>
      <c r="BL87" s="336" t="s">
        <v>211</v>
      </c>
      <c r="BN87" s="340"/>
      <c r="BO87" s="340"/>
      <c r="BP87" s="340"/>
      <c r="BQ87" s="340"/>
      <c r="BR87" s="340">
        <f t="shared" si="65"/>
        <v>0</v>
      </c>
      <c r="BS87" s="340"/>
      <c r="BT87" s="340">
        <f t="shared" si="82"/>
        <v>0</v>
      </c>
      <c r="BU87" s="652">
        <f t="shared" si="67"/>
        <v>0</v>
      </c>
      <c r="BV87" s="341">
        <f t="shared" si="68"/>
        <v>0</v>
      </c>
    </row>
    <row r="88" spans="1:74" s="317" customFormat="1" x14ac:dyDescent="0.25">
      <c r="A88" s="428"/>
      <c r="B88" s="382"/>
      <c r="C88" s="335" t="s">
        <v>494</v>
      </c>
      <c r="D88" s="346" t="s">
        <v>111</v>
      </c>
      <c r="E88" s="354"/>
      <c r="F88" s="332">
        <f>SUM(F81:F87)</f>
        <v>38</v>
      </c>
      <c r="G88" s="332">
        <f t="shared" ref="G88:BR88" si="83">SUM(G81:G87)</f>
        <v>17520000</v>
      </c>
      <c r="H88" s="332">
        <f t="shared" si="83"/>
        <v>8760000</v>
      </c>
      <c r="I88" s="332">
        <f t="shared" si="83"/>
        <v>8760000</v>
      </c>
      <c r="J88" s="332">
        <f t="shared" si="83"/>
        <v>0</v>
      </c>
      <c r="K88" s="332">
        <f t="shared" si="83"/>
        <v>0</v>
      </c>
      <c r="L88" s="332">
        <f t="shared" si="83"/>
        <v>0</v>
      </c>
      <c r="M88" s="332">
        <f t="shared" si="83"/>
        <v>0</v>
      </c>
      <c r="N88" s="332">
        <f t="shared" si="83"/>
        <v>0</v>
      </c>
      <c r="O88" s="332">
        <f t="shared" si="83"/>
        <v>0</v>
      </c>
      <c r="P88" s="332">
        <f t="shared" si="83"/>
        <v>0</v>
      </c>
      <c r="Q88" s="332">
        <f t="shared" si="83"/>
        <v>0</v>
      </c>
      <c r="R88" s="332">
        <f t="shared" si="83"/>
        <v>9.6</v>
      </c>
      <c r="S88" s="332">
        <f t="shared" si="83"/>
        <v>9.65</v>
      </c>
      <c r="T88" s="332">
        <f t="shared" si="83"/>
        <v>9.4</v>
      </c>
      <c r="U88" s="332">
        <f t="shared" si="83"/>
        <v>9.35</v>
      </c>
      <c r="V88" s="332">
        <f t="shared" si="83"/>
        <v>4980000</v>
      </c>
      <c r="W88" s="332">
        <f t="shared" si="83"/>
        <v>5280000</v>
      </c>
      <c r="X88" s="332">
        <f t="shared" si="83"/>
        <v>3780000</v>
      </c>
      <c r="Y88" s="332">
        <f t="shared" si="83"/>
        <v>3480000</v>
      </c>
      <c r="Z88" s="332">
        <f t="shared" si="83"/>
        <v>0</v>
      </c>
      <c r="AA88" s="332">
        <f t="shared" si="83"/>
        <v>0</v>
      </c>
      <c r="AB88" s="332">
        <f t="shared" si="83"/>
        <v>0</v>
      </c>
      <c r="AC88" s="332">
        <f t="shared" si="83"/>
        <v>0</v>
      </c>
      <c r="AD88" s="332">
        <f t="shared" si="83"/>
        <v>0</v>
      </c>
      <c r="AE88" s="332">
        <f t="shared" si="83"/>
        <v>0</v>
      </c>
      <c r="AF88" s="332">
        <f t="shared" si="83"/>
        <v>0</v>
      </c>
      <c r="AG88" s="332">
        <f t="shared" si="83"/>
        <v>0</v>
      </c>
      <c r="AH88" s="332">
        <f t="shared" si="83"/>
        <v>0</v>
      </c>
      <c r="AI88" s="332">
        <f t="shared" si="83"/>
        <v>0</v>
      </c>
      <c r="AJ88" s="332">
        <f t="shared" si="83"/>
        <v>0</v>
      </c>
      <c r="AK88" s="332">
        <f t="shared" si="83"/>
        <v>0</v>
      </c>
      <c r="AL88" s="332">
        <f t="shared" si="83"/>
        <v>0</v>
      </c>
      <c r="AM88" s="332">
        <f t="shared" si="83"/>
        <v>0</v>
      </c>
      <c r="AN88" s="332">
        <f t="shared" si="83"/>
        <v>0</v>
      </c>
      <c r="AO88" s="332">
        <f t="shared" si="83"/>
        <v>0</v>
      </c>
      <c r="AP88" s="332">
        <f t="shared" si="83"/>
        <v>0</v>
      </c>
      <c r="AQ88" s="332">
        <f t="shared" si="83"/>
        <v>0</v>
      </c>
      <c r="AR88" s="332">
        <f t="shared" si="83"/>
        <v>0</v>
      </c>
      <c r="AS88" s="332">
        <f t="shared" si="83"/>
        <v>0</v>
      </c>
      <c r="AT88" s="332">
        <f t="shared" si="83"/>
        <v>0</v>
      </c>
      <c r="AU88" s="332">
        <f t="shared" si="83"/>
        <v>0</v>
      </c>
      <c r="AV88" s="332">
        <f t="shared" si="83"/>
        <v>0</v>
      </c>
      <c r="AW88" s="332">
        <f t="shared" si="83"/>
        <v>0</v>
      </c>
      <c r="AX88" s="332">
        <f t="shared" si="83"/>
        <v>0</v>
      </c>
      <c r="AY88" s="332">
        <f t="shared" si="83"/>
        <v>0</v>
      </c>
      <c r="AZ88" s="332">
        <f t="shared" si="83"/>
        <v>0</v>
      </c>
      <c r="BA88" s="332">
        <f t="shared" si="83"/>
        <v>0</v>
      </c>
      <c r="BB88" s="332">
        <f t="shared" si="83"/>
        <v>0</v>
      </c>
      <c r="BC88" s="332">
        <f t="shared" si="83"/>
        <v>0</v>
      </c>
      <c r="BD88" s="332">
        <f t="shared" si="83"/>
        <v>0</v>
      </c>
      <c r="BE88" s="332">
        <f t="shared" si="83"/>
        <v>0</v>
      </c>
      <c r="BF88" s="332">
        <f t="shared" si="83"/>
        <v>0</v>
      </c>
      <c r="BG88" s="332">
        <f t="shared" si="83"/>
        <v>0</v>
      </c>
      <c r="BH88" s="332">
        <f t="shared" si="83"/>
        <v>38</v>
      </c>
      <c r="BI88" s="332">
        <f t="shared" si="83"/>
        <v>17520000</v>
      </c>
      <c r="BJ88" s="332">
        <f t="shared" si="83"/>
        <v>38</v>
      </c>
      <c r="BK88" s="332">
        <f t="shared" si="83"/>
        <v>17520000</v>
      </c>
      <c r="BL88" s="332">
        <f t="shared" si="83"/>
        <v>0</v>
      </c>
      <c r="BM88" s="332">
        <f t="shared" si="83"/>
        <v>0</v>
      </c>
      <c r="BN88" s="332">
        <f t="shared" si="83"/>
        <v>0</v>
      </c>
      <c r="BO88" s="332">
        <f t="shared" si="83"/>
        <v>0</v>
      </c>
      <c r="BP88" s="332">
        <f t="shared" si="83"/>
        <v>0</v>
      </c>
      <c r="BQ88" s="332">
        <f t="shared" si="83"/>
        <v>0</v>
      </c>
      <c r="BR88" s="332">
        <f t="shared" si="83"/>
        <v>0</v>
      </c>
      <c r="BS88" s="332">
        <f>SUM(BS81:BS87)</f>
        <v>0</v>
      </c>
      <c r="BT88" s="332">
        <f>SUM(BT81:BT87)</f>
        <v>17520000</v>
      </c>
      <c r="BU88" s="332">
        <f>SUM(BU81:BU87)</f>
        <v>17520000</v>
      </c>
      <c r="BV88" s="332">
        <f>SUM(BV81:BV87)</f>
        <v>17520000</v>
      </c>
    </row>
    <row r="89" spans="1:74" x14ac:dyDescent="0.25">
      <c r="A89" s="680"/>
      <c r="B89" s="378"/>
      <c r="C89" s="335" t="s">
        <v>333</v>
      </c>
      <c r="D89" s="336"/>
      <c r="E89" s="343"/>
      <c r="F89" s="332">
        <f>F88+F79+F48+F33+F25</f>
        <v>320</v>
      </c>
      <c r="G89" s="332">
        <f t="shared" ref="G89:BR89" si="84">G88+G79+G48+G33+G25</f>
        <v>86675000</v>
      </c>
      <c r="H89" s="332">
        <f t="shared" si="84"/>
        <v>38351500</v>
      </c>
      <c r="I89" s="332">
        <f t="shared" si="84"/>
        <v>48323500</v>
      </c>
      <c r="J89" s="332">
        <f t="shared" si="84"/>
        <v>0</v>
      </c>
      <c r="K89" s="332">
        <f t="shared" si="84"/>
        <v>0</v>
      </c>
      <c r="L89" s="332">
        <f t="shared" si="84"/>
        <v>0</v>
      </c>
      <c r="M89" s="332">
        <f t="shared" si="84"/>
        <v>0</v>
      </c>
      <c r="N89" s="332">
        <f t="shared" si="84"/>
        <v>0</v>
      </c>
      <c r="O89" s="332">
        <f t="shared" si="84"/>
        <v>0</v>
      </c>
      <c r="P89" s="332">
        <f>P88+P79+P48+P33+P25</f>
        <v>0</v>
      </c>
      <c r="Q89" s="332">
        <f t="shared" si="84"/>
        <v>0</v>
      </c>
      <c r="R89" s="332">
        <f t="shared" si="84"/>
        <v>75.599999999999994</v>
      </c>
      <c r="S89" s="332">
        <f t="shared" si="84"/>
        <v>88.65</v>
      </c>
      <c r="T89" s="332">
        <f t="shared" si="84"/>
        <v>81.400000000000006</v>
      </c>
      <c r="U89" s="332">
        <f t="shared" si="84"/>
        <v>74.349999999999994</v>
      </c>
      <c r="V89" s="332">
        <f t="shared" si="84"/>
        <v>21263750</v>
      </c>
      <c r="W89" s="332">
        <f t="shared" si="84"/>
        <v>26033750</v>
      </c>
      <c r="X89" s="332">
        <f t="shared" si="84"/>
        <v>22313750</v>
      </c>
      <c r="Y89" s="332">
        <f t="shared" si="84"/>
        <v>17063750</v>
      </c>
      <c r="Z89" s="332">
        <f t="shared" si="84"/>
        <v>0</v>
      </c>
      <c r="AA89" s="332">
        <f t="shared" si="84"/>
        <v>0</v>
      </c>
      <c r="AB89" s="332">
        <f t="shared" si="84"/>
        <v>0</v>
      </c>
      <c r="AC89" s="332">
        <f t="shared" si="84"/>
        <v>0</v>
      </c>
      <c r="AD89" s="332">
        <f t="shared" si="84"/>
        <v>0</v>
      </c>
      <c r="AE89" s="332">
        <f t="shared" si="84"/>
        <v>0</v>
      </c>
      <c r="AF89" s="332">
        <f t="shared" si="84"/>
        <v>0</v>
      </c>
      <c r="AG89" s="332">
        <f t="shared" si="84"/>
        <v>0</v>
      </c>
      <c r="AH89" s="332">
        <f t="shared" si="84"/>
        <v>0</v>
      </c>
      <c r="AI89" s="332">
        <f t="shared" si="84"/>
        <v>0</v>
      </c>
      <c r="AJ89" s="332">
        <f t="shared" si="84"/>
        <v>0</v>
      </c>
      <c r="AK89" s="332">
        <f t="shared" si="84"/>
        <v>0</v>
      </c>
      <c r="AL89" s="332">
        <f t="shared" si="84"/>
        <v>0</v>
      </c>
      <c r="AM89" s="332">
        <f t="shared" si="84"/>
        <v>0</v>
      </c>
      <c r="AN89" s="332">
        <f t="shared" si="84"/>
        <v>0</v>
      </c>
      <c r="AO89" s="332">
        <f t="shared" si="84"/>
        <v>0</v>
      </c>
      <c r="AP89" s="332">
        <f t="shared" si="84"/>
        <v>0</v>
      </c>
      <c r="AQ89" s="332">
        <f t="shared" si="84"/>
        <v>0</v>
      </c>
      <c r="AR89" s="332">
        <f t="shared" si="84"/>
        <v>0</v>
      </c>
      <c r="AS89" s="332">
        <f t="shared" si="84"/>
        <v>0</v>
      </c>
      <c r="AT89" s="332">
        <f t="shared" si="84"/>
        <v>0</v>
      </c>
      <c r="AU89" s="332">
        <f t="shared" si="84"/>
        <v>0</v>
      </c>
      <c r="AV89" s="332">
        <f t="shared" si="84"/>
        <v>0</v>
      </c>
      <c r="AW89" s="332">
        <f t="shared" si="84"/>
        <v>0</v>
      </c>
      <c r="AX89" s="332">
        <f t="shared" si="84"/>
        <v>0</v>
      </c>
      <c r="AY89" s="332">
        <f t="shared" si="84"/>
        <v>0</v>
      </c>
      <c r="AZ89" s="332">
        <f t="shared" si="84"/>
        <v>0</v>
      </c>
      <c r="BA89" s="332">
        <f t="shared" si="84"/>
        <v>0</v>
      </c>
      <c r="BB89" s="332">
        <f t="shared" si="84"/>
        <v>0</v>
      </c>
      <c r="BC89" s="332">
        <f t="shared" si="84"/>
        <v>0</v>
      </c>
      <c r="BD89" s="332">
        <f t="shared" si="84"/>
        <v>0</v>
      </c>
      <c r="BE89" s="332">
        <f t="shared" si="84"/>
        <v>0</v>
      </c>
      <c r="BF89" s="332">
        <f t="shared" si="84"/>
        <v>0</v>
      </c>
      <c r="BG89" s="332">
        <f t="shared" si="84"/>
        <v>0</v>
      </c>
      <c r="BH89" s="332">
        <f t="shared" si="84"/>
        <v>320</v>
      </c>
      <c r="BI89" s="332">
        <f t="shared" si="84"/>
        <v>86675000</v>
      </c>
      <c r="BJ89" s="332">
        <f t="shared" si="84"/>
        <v>320</v>
      </c>
      <c r="BK89" s="332">
        <f t="shared" si="84"/>
        <v>86675000</v>
      </c>
      <c r="BL89" s="332"/>
      <c r="BM89" s="332">
        <f t="shared" si="84"/>
        <v>0</v>
      </c>
      <c r="BN89" s="332">
        <f t="shared" si="84"/>
        <v>0</v>
      </c>
      <c r="BO89" s="332">
        <f t="shared" si="84"/>
        <v>2000000</v>
      </c>
      <c r="BP89" s="332">
        <f t="shared" si="84"/>
        <v>32970000</v>
      </c>
      <c r="BQ89" s="332">
        <f t="shared" si="84"/>
        <v>0</v>
      </c>
      <c r="BR89" s="332">
        <f t="shared" si="84"/>
        <v>34970000</v>
      </c>
      <c r="BS89" s="332">
        <f>BS88+BS79+BS48+BS33+BS25</f>
        <v>33535000</v>
      </c>
      <c r="BT89" s="332">
        <f>BT88+BT79+BT48+BT33+BT25</f>
        <v>18170000</v>
      </c>
      <c r="BU89" s="332">
        <f>BU88+BU79+BU48+BU33+BU25</f>
        <v>51705000</v>
      </c>
      <c r="BV89" s="332">
        <f>BV88+BV79+BV48+BV33+BV25</f>
        <v>86675000</v>
      </c>
    </row>
    <row r="90" spans="1:74" x14ac:dyDescent="0.25">
      <c r="C90" s="318" t="s">
        <v>230</v>
      </c>
    </row>
    <row r="91" spans="1:74" x14ac:dyDescent="0.25">
      <c r="G91" s="318">
        <f>G89-BK89</f>
        <v>0</v>
      </c>
    </row>
    <row r="93" spans="1:74" x14ac:dyDescent="0.25">
      <c r="V93" s="318">
        <f>SUM(V89:Y89)</f>
        <v>86675000</v>
      </c>
    </row>
    <row r="94" spans="1:74" x14ac:dyDescent="0.25">
      <c r="V94" s="318">
        <f>G89-V93</f>
        <v>0</v>
      </c>
    </row>
  </sheetData>
  <mergeCells count="38">
    <mergeCell ref="A2:B2"/>
    <mergeCell ref="A3:B3"/>
    <mergeCell ref="A4:B4"/>
    <mergeCell ref="A6:B6"/>
    <mergeCell ref="A7:D7"/>
    <mergeCell ref="D8:D9"/>
    <mergeCell ref="E8:E9"/>
    <mergeCell ref="AR7:AS8"/>
    <mergeCell ref="BF7:BG8"/>
    <mergeCell ref="F8:F9"/>
    <mergeCell ref="G8:G9"/>
    <mergeCell ref="AT7:AU8"/>
    <mergeCell ref="AH7:AI8"/>
    <mergeCell ref="AV7:AW8"/>
    <mergeCell ref="AL7:AM8"/>
    <mergeCell ref="V7:Y8"/>
    <mergeCell ref="AJ7:AK8"/>
    <mergeCell ref="BV8:BV9"/>
    <mergeCell ref="E7:G7"/>
    <mergeCell ref="BH7:BI8"/>
    <mergeCell ref="BJ7:BK8"/>
    <mergeCell ref="AF7:AG8"/>
    <mergeCell ref="A8:A9"/>
    <mergeCell ref="BL7:BL9"/>
    <mergeCell ref="BN8:BR8"/>
    <mergeCell ref="BS8:BU8"/>
    <mergeCell ref="BB7:BC8"/>
    <mergeCell ref="BD7:BE8"/>
    <mergeCell ref="AX7:AY8"/>
    <mergeCell ref="AZ7:BA8"/>
    <mergeCell ref="H7:Q7"/>
    <mergeCell ref="R7:U8"/>
    <mergeCell ref="AD7:AE8"/>
    <mergeCell ref="AN7:AO8"/>
    <mergeCell ref="AP7:AQ8"/>
    <mergeCell ref="Z7:AA8"/>
    <mergeCell ref="AB7:AC8"/>
    <mergeCell ref="C8:C9"/>
  </mergeCells>
  <phoneticPr fontId="28" type="noConversion"/>
  <pageMargins left="0.4" right="0.7" top="0.32" bottom="0.17" header="0.3" footer="0.17"/>
  <pageSetup paperSize="9" scale="10" fitToHeight="2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00B0F0"/>
    <pageSetUpPr fitToPage="1"/>
  </sheetPr>
  <dimension ref="A2:BV60"/>
  <sheetViews>
    <sheetView zoomScale="80" zoomScaleNormal="80" workbookViewId="0">
      <pane xSplit="7" ySplit="9" topLeftCell="BO52" activePane="bottomRight" state="frozen"/>
      <selection pane="topRight" activeCell="H1" sqref="H1"/>
      <selection pane="bottomLeft" activeCell="A10" sqref="A10"/>
      <selection pane="bottomRight" activeCell="G62" sqref="G62"/>
    </sheetView>
  </sheetViews>
  <sheetFormatPr defaultColWidth="9.140625" defaultRowHeight="15.75" x14ac:dyDescent="0.25"/>
  <cols>
    <col min="1" max="1" width="11.42578125" style="318" bestFit="1" customWidth="1"/>
    <col min="2" max="2" width="12.140625" style="318" customWidth="1"/>
    <col min="3" max="3" width="39.85546875" style="318" customWidth="1"/>
    <col min="4" max="4" width="10.28515625" style="318" customWidth="1"/>
    <col min="5" max="5" width="17.28515625" style="9" customWidth="1"/>
    <col min="6" max="6" width="8" style="318" customWidth="1"/>
    <col min="7" max="7" width="17.28515625" style="361" customWidth="1"/>
    <col min="8" max="8" width="17" style="361" customWidth="1"/>
    <col min="9" max="9" width="17.42578125" style="361" customWidth="1"/>
    <col min="10" max="10" width="7.7109375" style="361" customWidth="1"/>
    <col min="11" max="11" width="6.28515625" style="361" customWidth="1"/>
    <col min="12" max="12" width="11.28515625" style="361" customWidth="1"/>
    <col min="13" max="13" width="5.85546875" style="361" customWidth="1"/>
    <col min="14" max="14" width="8.85546875" style="361" customWidth="1"/>
    <col min="15" max="15" width="7.140625" style="318" customWidth="1"/>
    <col min="16" max="16" width="9.28515625" style="318" customWidth="1"/>
    <col min="17" max="17" width="13.140625" style="318" customWidth="1"/>
    <col min="18" max="21" width="7.85546875" style="318" customWidth="1"/>
    <col min="22" max="24" width="15.28515625" style="318" customWidth="1"/>
    <col min="25" max="25" width="15" style="318" customWidth="1"/>
    <col min="26" max="26" width="9.140625" style="318" customWidth="1"/>
    <col min="27" max="27" width="17.28515625" style="318" customWidth="1"/>
    <col min="28" max="28" width="9.140625" style="318" customWidth="1"/>
    <col min="29" max="29" width="14.7109375" style="318" customWidth="1"/>
    <col min="30" max="30" width="9.140625" style="318" customWidth="1"/>
    <col min="31" max="31" width="16.42578125" style="318" customWidth="1"/>
    <col min="32" max="32" width="9.140625" style="318" customWidth="1"/>
    <col min="33" max="33" width="16.28515625" style="318" customWidth="1"/>
    <col min="34" max="34" width="9.140625" style="318" customWidth="1"/>
    <col min="35" max="35" width="16.28515625" style="318" customWidth="1"/>
    <col min="36" max="36" width="9.140625" style="318" customWidth="1"/>
    <col min="37" max="37" width="16.42578125" style="318" customWidth="1"/>
    <col min="38" max="38" width="9.140625" style="318" customWidth="1"/>
    <col min="39" max="39" width="16.28515625" style="318" customWidth="1"/>
    <col min="40" max="40" width="9.140625" style="318" customWidth="1"/>
    <col min="41" max="41" width="14.28515625" style="318" customWidth="1"/>
    <col min="42" max="42" width="5" style="318" customWidth="1"/>
    <col min="43" max="43" width="15.85546875" style="318" customWidth="1"/>
    <col min="44" max="44" width="5" style="318" customWidth="1"/>
    <col min="45" max="45" width="16.7109375" style="318" customWidth="1"/>
    <col min="46" max="46" width="5" style="318" customWidth="1"/>
    <col min="47" max="47" width="17.5703125" style="318" customWidth="1"/>
    <col min="48" max="48" width="6.5703125" style="318" customWidth="1"/>
    <col min="49" max="49" width="15.42578125" style="318" customWidth="1"/>
    <col min="50" max="50" width="5" style="318" customWidth="1"/>
    <col min="51" max="51" width="14" style="318" customWidth="1"/>
    <col min="52" max="52" width="5" style="318" customWidth="1"/>
    <col min="53" max="53" width="14.85546875" style="318" customWidth="1"/>
    <col min="54" max="54" width="5.85546875" style="318" customWidth="1"/>
    <col min="55" max="55" width="17.5703125" style="318" customWidth="1"/>
    <col min="56" max="56" width="5" style="318" customWidth="1"/>
    <col min="57" max="57" width="14.7109375" style="318" customWidth="1"/>
    <col min="58" max="58" width="6.85546875" style="318" customWidth="1"/>
    <col min="59" max="59" width="14.28515625" style="318" customWidth="1"/>
    <col min="60" max="60" width="5" style="318" customWidth="1"/>
    <col min="61" max="61" width="16" style="318" customWidth="1"/>
    <col min="62" max="62" width="7.5703125" style="318" customWidth="1"/>
    <col min="63" max="63" width="19.42578125" style="318" customWidth="1"/>
    <col min="64" max="64" width="18.5703125" style="318" customWidth="1"/>
    <col min="65" max="65" width="9.140625" style="318" customWidth="1"/>
    <col min="66" max="66" width="15.7109375" style="318" bestFit="1" customWidth="1"/>
    <col min="67" max="67" width="10.7109375" style="318" customWidth="1"/>
    <col min="68" max="68" width="21.5703125" style="318" bestFit="1" customWidth="1"/>
    <col min="69" max="69" width="9.140625" style="318"/>
    <col min="70" max="70" width="23.140625" style="318" bestFit="1" customWidth="1"/>
    <col min="71" max="71" width="21" style="318" bestFit="1" customWidth="1"/>
    <col min="72" max="72" width="16.85546875" style="318" customWidth="1"/>
    <col min="73" max="73" width="19.140625" style="318" customWidth="1"/>
    <col min="74" max="74" width="19" style="318" customWidth="1"/>
    <col min="75" max="16384" width="9.140625" style="318"/>
  </cols>
  <sheetData>
    <row r="2" spans="1:74" x14ac:dyDescent="0.25">
      <c r="A2" s="959" t="s">
        <v>158</v>
      </c>
      <c r="B2" s="959"/>
      <c r="C2" s="812" t="s">
        <v>152</v>
      </c>
      <c r="D2" s="812"/>
      <c r="E2" s="812"/>
      <c r="F2" s="812"/>
      <c r="G2" s="812"/>
      <c r="H2" s="812"/>
      <c r="I2" s="812"/>
      <c r="J2" s="812"/>
      <c r="K2" s="812"/>
      <c r="L2" s="812"/>
      <c r="M2" s="812"/>
      <c r="N2" s="812"/>
      <c r="O2" s="812"/>
      <c r="P2" s="812"/>
      <c r="Q2" s="812"/>
      <c r="R2" s="317"/>
      <c r="S2" s="317"/>
      <c r="T2" s="317"/>
      <c r="U2" s="317"/>
      <c r="V2" s="317"/>
      <c r="W2" s="317"/>
      <c r="X2" s="317"/>
      <c r="Y2" s="317"/>
    </row>
    <row r="3" spans="1:74" x14ac:dyDescent="0.25">
      <c r="A3" s="959" t="s">
        <v>154</v>
      </c>
      <c r="B3" s="959"/>
      <c r="C3" s="812" t="s">
        <v>153</v>
      </c>
      <c r="D3" s="812"/>
      <c r="E3" s="812"/>
      <c r="F3" s="812"/>
      <c r="G3" s="812"/>
      <c r="H3" s="812"/>
      <c r="I3" s="812"/>
      <c r="J3" s="812"/>
      <c r="K3" s="812"/>
      <c r="L3" s="812"/>
      <c r="M3" s="812"/>
      <c r="N3" s="812"/>
      <c r="O3" s="812"/>
      <c r="P3" s="812"/>
      <c r="Q3" s="812"/>
      <c r="R3" s="317"/>
      <c r="S3" s="317"/>
      <c r="T3" s="317"/>
      <c r="U3" s="317"/>
      <c r="V3" s="317"/>
      <c r="W3" s="317"/>
      <c r="X3" s="317"/>
      <c r="Y3" s="317"/>
    </row>
    <row r="4" spans="1:74" x14ac:dyDescent="0.25">
      <c r="A4" s="317" t="s">
        <v>155</v>
      </c>
      <c r="B4" s="317"/>
      <c r="C4" s="317" t="s">
        <v>1174</v>
      </c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</row>
    <row r="5" spans="1:74" x14ac:dyDescent="0.25">
      <c r="A5" s="317" t="s">
        <v>161</v>
      </c>
      <c r="B5" s="317"/>
      <c r="C5" s="317" t="s">
        <v>159</v>
      </c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</row>
    <row r="6" spans="1:74" x14ac:dyDescent="0.25">
      <c r="A6" s="317" t="s">
        <v>865</v>
      </c>
      <c r="B6" s="317"/>
      <c r="C6" s="317" t="s">
        <v>866</v>
      </c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</row>
    <row r="7" spans="1:74" ht="17.25" customHeight="1" x14ac:dyDescent="0.25">
      <c r="A7" s="960"/>
      <c r="B7" s="960"/>
      <c r="C7" s="960"/>
      <c r="D7" s="960"/>
      <c r="E7" s="960"/>
      <c r="F7" s="960"/>
      <c r="G7" s="960"/>
      <c r="H7" s="837" t="s">
        <v>151</v>
      </c>
      <c r="I7" s="838"/>
      <c r="J7" s="838"/>
      <c r="K7" s="838"/>
      <c r="L7" s="838"/>
      <c r="M7" s="838"/>
      <c r="N7" s="838"/>
      <c r="O7" s="838"/>
      <c r="P7" s="838"/>
      <c r="Q7" s="839"/>
      <c r="R7" s="940" t="s">
        <v>62</v>
      </c>
      <c r="S7" s="941"/>
      <c r="T7" s="941"/>
      <c r="U7" s="942"/>
      <c r="V7" s="953" t="s">
        <v>6</v>
      </c>
      <c r="W7" s="954"/>
      <c r="X7" s="954"/>
      <c r="Y7" s="955"/>
      <c r="Z7" s="961" t="s">
        <v>179</v>
      </c>
      <c r="AA7" s="961"/>
      <c r="AB7" s="961" t="s">
        <v>180</v>
      </c>
      <c r="AC7" s="961"/>
      <c r="AD7" s="961" t="s">
        <v>181</v>
      </c>
      <c r="AE7" s="961"/>
      <c r="AF7" s="961" t="s">
        <v>182</v>
      </c>
      <c r="AG7" s="961"/>
      <c r="AH7" s="961" t="s">
        <v>183</v>
      </c>
      <c r="AI7" s="961"/>
      <c r="AJ7" s="961" t="s">
        <v>184</v>
      </c>
      <c r="AK7" s="961"/>
      <c r="AL7" s="961" t="s">
        <v>185</v>
      </c>
      <c r="AM7" s="961"/>
      <c r="AN7" s="961" t="s">
        <v>186</v>
      </c>
      <c r="AO7" s="961"/>
      <c r="AP7" s="961" t="s">
        <v>187</v>
      </c>
      <c r="AQ7" s="961"/>
      <c r="AR7" s="961" t="s">
        <v>188</v>
      </c>
      <c r="AS7" s="961"/>
      <c r="AT7" s="961" t="s">
        <v>189</v>
      </c>
      <c r="AU7" s="961"/>
      <c r="AV7" s="961" t="s">
        <v>190</v>
      </c>
      <c r="AW7" s="961"/>
      <c r="AX7" s="961" t="s">
        <v>191</v>
      </c>
      <c r="AY7" s="961"/>
      <c r="AZ7" s="961" t="s">
        <v>192</v>
      </c>
      <c r="BA7" s="961"/>
      <c r="BB7" s="961" t="s">
        <v>193</v>
      </c>
      <c r="BC7" s="961"/>
      <c r="BD7" s="961" t="s">
        <v>194</v>
      </c>
      <c r="BE7" s="961"/>
      <c r="BF7" s="961" t="s">
        <v>195</v>
      </c>
      <c r="BG7" s="961"/>
      <c r="BH7" s="961" t="s">
        <v>196</v>
      </c>
      <c r="BI7" s="961"/>
      <c r="BJ7" s="961" t="s">
        <v>17</v>
      </c>
      <c r="BK7" s="963"/>
      <c r="BL7" s="825" t="s">
        <v>229</v>
      </c>
    </row>
    <row r="8" spans="1:74" x14ac:dyDescent="0.25">
      <c r="A8" s="668" t="s">
        <v>13</v>
      </c>
      <c r="B8" s="668" t="s">
        <v>1</v>
      </c>
      <c r="C8" s="960" t="s">
        <v>12</v>
      </c>
      <c r="D8" s="668" t="s">
        <v>14</v>
      </c>
      <c r="E8" s="847" t="s">
        <v>22</v>
      </c>
      <c r="F8" s="847" t="s">
        <v>137</v>
      </c>
      <c r="G8" s="964" t="s">
        <v>27</v>
      </c>
      <c r="H8" s="332" t="s">
        <v>199</v>
      </c>
      <c r="I8" s="332" t="s">
        <v>200</v>
      </c>
      <c r="J8" s="332" t="s">
        <v>201</v>
      </c>
      <c r="K8" s="332" t="s">
        <v>202</v>
      </c>
      <c r="L8" s="332" t="s">
        <v>203</v>
      </c>
      <c r="M8" s="332" t="s">
        <v>204</v>
      </c>
      <c r="N8" s="332" t="s">
        <v>889</v>
      </c>
      <c r="O8" s="332" t="s">
        <v>205</v>
      </c>
      <c r="P8" s="332" t="s">
        <v>206</v>
      </c>
      <c r="Q8" s="332" t="s">
        <v>740</v>
      </c>
      <c r="R8" s="943"/>
      <c r="S8" s="944"/>
      <c r="T8" s="944"/>
      <c r="U8" s="945"/>
      <c r="V8" s="956"/>
      <c r="W8" s="957"/>
      <c r="X8" s="957"/>
      <c r="Y8" s="958"/>
      <c r="Z8" s="961"/>
      <c r="AA8" s="961"/>
      <c r="AB8" s="961" t="s">
        <v>43</v>
      </c>
      <c r="AC8" s="961"/>
      <c r="AD8" s="961" t="s">
        <v>44</v>
      </c>
      <c r="AE8" s="961"/>
      <c r="AF8" s="961" t="s">
        <v>45</v>
      </c>
      <c r="AG8" s="961"/>
      <c r="AH8" s="961" t="s">
        <v>46</v>
      </c>
      <c r="AI8" s="961"/>
      <c r="AJ8" s="961" t="s">
        <v>47</v>
      </c>
      <c r="AK8" s="961"/>
      <c r="AL8" s="961" t="s">
        <v>48</v>
      </c>
      <c r="AM8" s="961"/>
      <c r="AN8" s="961" t="s">
        <v>49</v>
      </c>
      <c r="AO8" s="961"/>
      <c r="AP8" s="961" t="s">
        <v>50</v>
      </c>
      <c r="AQ8" s="961"/>
      <c r="AR8" s="961" t="s">
        <v>51</v>
      </c>
      <c r="AS8" s="961"/>
      <c r="AT8" s="961" t="s">
        <v>52</v>
      </c>
      <c r="AU8" s="961"/>
      <c r="AV8" s="961" t="s">
        <v>53</v>
      </c>
      <c r="AW8" s="961"/>
      <c r="AX8" s="961" t="s">
        <v>54</v>
      </c>
      <c r="AY8" s="961"/>
      <c r="AZ8" s="961" t="s">
        <v>55</v>
      </c>
      <c r="BA8" s="961"/>
      <c r="BB8" s="961" t="s">
        <v>40</v>
      </c>
      <c r="BC8" s="961"/>
      <c r="BD8" s="961" t="s">
        <v>37</v>
      </c>
      <c r="BE8" s="961"/>
      <c r="BF8" s="961"/>
      <c r="BG8" s="961"/>
      <c r="BH8" s="961"/>
      <c r="BI8" s="961"/>
      <c r="BJ8" s="961"/>
      <c r="BK8" s="963"/>
      <c r="BL8" s="825"/>
      <c r="BN8" s="830" t="s">
        <v>227</v>
      </c>
      <c r="BO8" s="830"/>
      <c r="BP8" s="830"/>
      <c r="BQ8" s="830"/>
      <c r="BR8" s="830"/>
      <c r="BS8" s="830" t="s">
        <v>228</v>
      </c>
      <c r="BT8" s="830"/>
      <c r="BU8" s="831"/>
      <c r="BV8" s="825" t="s">
        <v>17</v>
      </c>
    </row>
    <row r="9" spans="1:74" ht="27" customHeight="1" x14ac:dyDescent="0.25">
      <c r="A9" s="668"/>
      <c r="B9" s="668" t="s">
        <v>2</v>
      </c>
      <c r="C9" s="960"/>
      <c r="D9" s="668"/>
      <c r="E9" s="847"/>
      <c r="F9" s="847"/>
      <c r="G9" s="965"/>
      <c r="H9" s="681"/>
      <c r="I9" s="681"/>
      <c r="J9" s="681"/>
      <c r="K9" s="681"/>
      <c r="L9" s="681"/>
      <c r="M9" s="681"/>
      <c r="N9" s="681"/>
      <c r="O9" s="681"/>
      <c r="P9" s="681"/>
      <c r="Q9" s="681"/>
      <c r="R9" s="668" t="s">
        <v>7</v>
      </c>
      <c r="S9" s="668" t="s">
        <v>8</v>
      </c>
      <c r="T9" s="668" t="s">
        <v>9</v>
      </c>
      <c r="U9" s="668" t="s">
        <v>10</v>
      </c>
      <c r="V9" s="668" t="s">
        <v>7</v>
      </c>
      <c r="W9" s="668" t="s">
        <v>8</v>
      </c>
      <c r="X9" s="668" t="s">
        <v>9</v>
      </c>
      <c r="Y9" s="668" t="s">
        <v>10</v>
      </c>
      <c r="Z9" s="633" t="s">
        <v>14</v>
      </c>
      <c r="AA9" s="634" t="s">
        <v>15</v>
      </c>
      <c r="AB9" s="635" t="s">
        <v>14</v>
      </c>
      <c r="AC9" s="635" t="s">
        <v>15</v>
      </c>
      <c r="AD9" s="635" t="s">
        <v>14</v>
      </c>
      <c r="AE9" s="635" t="s">
        <v>15</v>
      </c>
      <c r="AF9" s="635" t="s">
        <v>14</v>
      </c>
      <c r="AG9" s="635" t="s">
        <v>15</v>
      </c>
      <c r="AH9" s="635" t="s">
        <v>14</v>
      </c>
      <c r="AI9" s="635" t="s">
        <v>15</v>
      </c>
      <c r="AJ9" s="635" t="s">
        <v>14</v>
      </c>
      <c r="AK9" s="635" t="s">
        <v>15</v>
      </c>
      <c r="AL9" s="635" t="s">
        <v>14</v>
      </c>
      <c r="AM9" s="635" t="s">
        <v>15</v>
      </c>
      <c r="AN9" s="635" t="s">
        <v>14</v>
      </c>
      <c r="AO9" s="635" t="s">
        <v>15</v>
      </c>
      <c r="AP9" s="635" t="s">
        <v>14</v>
      </c>
      <c r="AQ9" s="635" t="s">
        <v>15</v>
      </c>
      <c r="AR9" s="635" t="s">
        <v>14</v>
      </c>
      <c r="AS9" s="635" t="s">
        <v>15</v>
      </c>
      <c r="AT9" s="635" t="s">
        <v>14</v>
      </c>
      <c r="AU9" s="635" t="s">
        <v>15</v>
      </c>
      <c r="AV9" s="635" t="s">
        <v>14</v>
      </c>
      <c r="AW9" s="635" t="s">
        <v>15</v>
      </c>
      <c r="AX9" s="635" t="s">
        <v>14</v>
      </c>
      <c r="AY9" s="635" t="s">
        <v>15</v>
      </c>
      <c r="AZ9" s="635" t="s">
        <v>14</v>
      </c>
      <c r="BA9" s="635" t="s">
        <v>15</v>
      </c>
      <c r="BB9" s="635" t="s">
        <v>14</v>
      </c>
      <c r="BC9" s="635" t="s">
        <v>15</v>
      </c>
      <c r="BD9" s="635" t="s">
        <v>14</v>
      </c>
      <c r="BE9" s="635" t="s">
        <v>15</v>
      </c>
      <c r="BF9" s="635" t="s">
        <v>14</v>
      </c>
      <c r="BG9" s="635" t="s">
        <v>15</v>
      </c>
      <c r="BH9" s="635" t="s">
        <v>14</v>
      </c>
      <c r="BI9" s="635" t="s">
        <v>15</v>
      </c>
      <c r="BJ9" s="635" t="s">
        <v>14</v>
      </c>
      <c r="BK9" s="636" t="s">
        <v>15</v>
      </c>
      <c r="BL9" s="825"/>
      <c r="BN9" s="332" t="s">
        <v>218</v>
      </c>
      <c r="BO9" s="333" t="s">
        <v>219</v>
      </c>
      <c r="BP9" s="333" t="s">
        <v>220</v>
      </c>
      <c r="BQ9" s="334" t="s">
        <v>221</v>
      </c>
      <c r="BR9" s="333" t="s">
        <v>222</v>
      </c>
      <c r="BS9" s="333" t="s">
        <v>223</v>
      </c>
      <c r="BT9" s="333" t="s">
        <v>224</v>
      </c>
      <c r="BU9" s="670" t="s">
        <v>225</v>
      </c>
      <c r="BV9" s="825"/>
    </row>
    <row r="10" spans="1:74" x14ac:dyDescent="0.25">
      <c r="A10" s="962"/>
      <c r="B10" s="408"/>
      <c r="C10" s="668" t="s">
        <v>262</v>
      </c>
      <c r="D10" s="639"/>
      <c r="E10" s="682"/>
      <c r="F10" s="683"/>
      <c r="G10" s="684"/>
      <c r="H10" s="684"/>
      <c r="I10" s="684"/>
      <c r="J10" s="684"/>
      <c r="K10" s="684"/>
      <c r="L10" s="684"/>
      <c r="M10" s="684"/>
      <c r="N10" s="684"/>
      <c r="O10" s="671"/>
      <c r="P10" s="671"/>
      <c r="Q10" s="671"/>
      <c r="R10" s="672"/>
      <c r="S10" s="655"/>
      <c r="T10" s="672"/>
      <c r="U10" s="672"/>
      <c r="V10" s="672"/>
      <c r="W10" s="322"/>
      <c r="X10" s="668"/>
      <c r="Y10" s="668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2"/>
      <c r="AO10" s="322"/>
      <c r="AP10" s="322"/>
      <c r="AQ10" s="322"/>
      <c r="AR10" s="322"/>
      <c r="AS10" s="322"/>
      <c r="AT10" s="322"/>
      <c r="AU10" s="322"/>
      <c r="AV10" s="322"/>
      <c r="AW10" s="322"/>
      <c r="AX10" s="322"/>
      <c r="AY10" s="322"/>
      <c r="AZ10" s="322"/>
      <c r="BA10" s="322"/>
      <c r="BB10" s="322"/>
      <c r="BC10" s="322"/>
      <c r="BD10" s="322"/>
      <c r="BE10" s="322"/>
      <c r="BF10" s="322"/>
      <c r="BG10" s="322"/>
      <c r="BH10" s="322"/>
      <c r="BI10" s="322"/>
      <c r="BJ10" s="322"/>
      <c r="BK10" s="651"/>
      <c r="BL10" s="322"/>
      <c r="BN10" s="340"/>
      <c r="BO10" s="340"/>
      <c r="BP10" s="340"/>
      <c r="BQ10" s="340"/>
      <c r="BR10" s="340"/>
      <c r="BS10" s="340"/>
      <c r="BT10" s="340"/>
      <c r="BU10" s="652"/>
      <c r="BV10" s="341">
        <f>BR10+BU10</f>
        <v>0</v>
      </c>
    </row>
    <row r="11" spans="1:74" x14ac:dyDescent="0.25">
      <c r="A11" s="962"/>
      <c r="B11" s="408"/>
      <c r="C11" s="668" t="s">
        <v>315</v>
      </c>
      <c r="D11" s="639"/>
      <c r="E11" s="682"/>
      <c r="F11" s="683"/>
      <c r="G11" s="684"/>
      <c r="H11" s="684"/>
      <c r="I11" s="684"/>
      <c r="J11" s="684"/>
      <c r="K11" s="684"/>
      <c r="L11" s="684"/>
      <c r="M11" s="684"/>
      <c r="N11" s="684"/>
      <c r="O11" s="671"/>
      <c r="P11" s="671"/>
      <c r="Q11" s="671"/>
      <c r="R11" s="672"/>
      <c r="S11" s="655"/>
      <c r="T11" s="672"/>
      <c r="U11" s="672"/>
      <c r="V11" s="672"/>
      <c r="W11" s="322"/>
      <c r="X11" s="668"/>
      <c r="Y11" s="668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/>
      <c r="BE11" s="322"/>
      <c r="BF11" s="322"/>
      <c r="BG11" s="322"/>
      <c r="BH11" s="322"/>
      <c r="BI11" s="322"/>
      <c r="BJ11" s="322"/>
      <c r="BK11" s="651"/>
      <c r="BL11" s="322"/>
      <c r="BN11" s="340"/>
      <c r="BO11" s="340"/>
      <c r="BP11" s="340"/>
      <c r="BQ11" s="340"/>
      <c r="BR11" s="340"/>
      <c r="BS11" s="340"/>
      <c r="BT11" s="340"/>
      <c r="BU11" s="652"/>
      <c r="BV11" s="341"/>
    </row>
    <row r="12" spans="1:74" x14ac:dyDescent="0.25">
      <c r="A12" s="962"/>
      <c r="B12" s="269" t="s">
        <v>1070</v>
      </c>
      <c r="C12" s="342" t="s">
        <v>134</v>
      </c>
      <c r="D12" s="430" t="s">
        <v>100</v>
      </c>
      <c r="E12" s="343" t="s">
        <v>335</v>
      </c>
      <c r="F12" s="685">
        <f>BJ12</f>
        <v>0</v>
      </c>
      <c r="G12" s="338">
        <f>BK12</f>
        <v>0</v>
      </c>
      <c r="H12" s="338">
        <f>G12*0.2</f>
        <v>0</v>
      </c>
      <c r="I12" s="338">
        <f>G12*0.8</f>
        <v>0</v>
      </c>
      <c r="J12" s="338"/>
      <c r="K12" s="338"/>
      <c r="L12" s="338"/>
      <c r="M12" s="338"/>
      <c r="N12" s="338"/>
      <c r="O12" s="322"/>
      <c r="P12" s="322"/>
      <c r="Q12" s="322"/>
      <c r="R12" s="322">
        <v>0</v>
      </c>
      <c r="S12" s="322"/>
      <c r="T12" s="322"/>
      <c r="U12" s="322">
        <f>F12*0.25</f>
        <v>0</v>
      </c>
      <c r="V12" s="673">
        <f>R12*E12</f>
        <v>0</v>
      </c>
      <c r="W12" s="673">
        <f>S12*E12</f>
        <v>0</v>
      </c>
      <c r="X12" s="673">
        <f>T12*E12</f>
        <v>0</v>
      </c>
      <c r="Y12" s="673">
        <f>G12</f>
        <v>0</v>
      </c>
      <c r="Z12" s="322">
        <v>0</v>
      </c>
      <c r="AA12" s="322">
        <f t="shared" ref="AA12:AA29" si="0">Z12*E12</f>
        <v>0</v>
      </c>
      <c r="AB12" s="322">
        <v>0</v>
      </c>
      <c r="AC12" s="322">
        <f>AB12*E12</f>
        <v>0</v>
      </c>
      <c r="AD12" s="322"/>
      <c r="AE12" s="322">
        <f>AD12*E12</f>
        <v>0</v>
      </c>
      <c r="AF12" s="322">
        <v>0</v>
      </c>
      <c r="AG12" s="322">
        <f>AF12*E12</f>
        <v>0</v>
      </c>
      <c r="AH12" s="322"/>
      <c r="AI12" s="322">
        <f>AH12*E12</f>
        <v>0</v>
      </c>
      <c r="AJ12" s="322">
        <v>0</v>
      </c>
      <c r="AK12" s="322"/>
      <c r="AL12" s="322">
        <v>0</v>
      </c>
      <c r="AM12" s="322">
        <f>AL12*E12</f>
        <v>0</v>
      </c>
      <c r="AN12" s="322"/>
      <c r="AO12" s="322"/>
      <c r="AP12" s="322"/>
      <c r="AQ12" s="322">
        <f>AP12*E12</f>
        <v>0</v>
      </c>
      <c r="AR12" s="322"/>
      <c r="AS12" s="322">
        <f>AR12*E12</f>
        <v>0</v>
      </c>
      <c r="AT12" s="322"/>
      <c r="AU12" s="322"/>
      <c r="AV12" s="322">
        <v>0</v>
      </c>
      <c r="AW12" s="322">
        <v>0</v>
      </c>
      <c r="AX12" s="322"/>
      <c r="AY12" s="322"/>
      <c r="AZ12" s="322"/>
      <c r="BA12" s="322">
        <f>AZ12*E12</f>
        <v>0</v>
      </c>
      <c r="BB12" s="322"/>
      <c r="BC12" s="322">
        <f>BB12*E12</f>
        <v>0</v>
      </c>
      <c r="BD12" s="322"/>
      <c r="BE12" s="322">
        <f>BD12*E12</f>
        <v>0</v>
      </c>
      <c r="BF12" s="322"/>
      <c r="BG12" s="322">
        <f>BF12*E12</f>
        <v>0</v>
      </c>
      <c r="BH12" s="322"/>
      <c r="BI12" s="322">
        <f>BH12*E12</f>
        <v>0</v>
      </c>
      <c r="BJ12" s="322">
        <f t="shared" ref="BJ12:BK14" si="1">BH12+BF12+BD12+BB12+AZ12+AX12+AV12+AT12+AR12+AP12+AN12+AL12+AJ12+AH12+AF12+AD12+AB12+Z12</f>
        <v>0</v>
      </c>
      <c r="BK12" s="322">
        <f t="shared" si="1"/>
        <v>0</v>
      </c>
      <c r="BL12" s="686" t="s">
        <v>209</v>
      </c>
      <c r="BN12" s="340">
        <f>G12</f>
        <v>0</v>
      </c>
      <c r="BO12" s="340"/>
      <c r="BP12" s="340"/>
      <c r="BQ12" s="340"/>
      <c r="BR12" s="340">
        <f t="shared" ref="BR12:BR29" si="2">BN12+BO12+BP12+BQ12</f>
        <v>0</v>
      </c>
      <c r="BS12" s="340"/>
      <c r="BT12" s="340"/>
      <c r="BU12" s="652"/>
      <c r="BV12" s="341">
        <f t="shared" ref="BV12:BV54" si="3">BR12+BU12</f>
        <v>0</v>
      </c>
    </row>
    <row r="13" spans="1:74" x14ac:dyDescent="0.25">
      <c r="A13" s="962"/>
      <c r="B13" s="269" t="s">
        <v>1071</v>
      </c>
      <c r="C13" s="342" t="s">
        <v>135</v>
      </c>
      <c r="D13" s="430" t="s">
        <v>100</v>
      </c>
      <c r="E13" s="343" t="s">
        <v>336</v>
      </c>
      <c r="F13" s="685">
        <f>BJ13</f>
        <v>0</v>
      </c>
      <c r="G13" s="687">
        <f>BK13</f>
        <v>0</v>
      </c>
      <c r="H13" s="338">
        <f>G13*0.2</f>
        <v>0</v>
      </c>
      <c r="I13" s="338">
        <f>G13*0.8</f>
        <v>0</v>
      </c>
      <c r="J13" s="338"/>
      <c r="K13" s="338"/>
      <c r="L13" s="338"/>
      <c r="M13" s="338"/>
      <c r="N13" s="338"/>
      <c r="O13" s="338"/>
      <c r="P13" s="338"/>
      <c r="Q13" s="338"/>
      <c r="R13" s="322"/>
      <c r="S13" s="322"/>
      <c r="T13" s="322"/>
      <c r="U13" s="322"/>
      <c r="V13" s="673">
        <f>R13*E13</f>
        <v>0</v>
      </c>
      <c r="W13" s="673">
        <f>S13*E13</f>
        <v>0</v>
      </c>
      <c r="X13" s="673">
        <f>T13*E13</f>
        <v>0</v>
      </c>
      <c r="Y13" s="673">
        <f>U13*E13</f>
        <v>0</v>
      </c>
      <c r="Z13" s="322"/>
      <c r="AA13" s="322">
        <f t="shared" si="0"/>
        <v>0</v>
      </c>
      <c r="AB13" s="322"/>
      <c r="AC13" s="322">
        <f>AB13*E13</f>
        <v>0</v>
      </c>
      <c r="AD13" s="322"/>
      <c r="AE13" s="322">
        <f>AD13*E13</f>
        <v>0</v>
      </c>
      <c r="AF13" s="322"/>
      <c r="AG13" s="322">
        <f>AF13*E13</f>
        <v>0</v>
      </c>
      <c r="AH13" s="322"/>
      <c r="AI13" s="322">
        <f>AH13*E13</f>
        <v>0</v>
      </c>
      <c r="AJ13" s="322">
        <v>0</v>
      </c>
      <c r="AK13" s="341"/>
      <c r="AL13" s="322"/>
      <c r="AM13" s="322">
        <f>AL13*E13</f>
        <v>0</v>
      </c>
      <c r="AN13" s="322"/>
      <c r="AO13" s="341"/>
      <c r="AP13" s="322"/>
      <c r="AQ13" s="322">
        <f>AP13*E13</f>
        <v>0</v>
      </c>
      <c r="AR13" s="322"/>
      <c r="AS13" s="322">
        <f>AR13*E13</f>
        <v>0</v>
      </c>
      <c r="AT13" s="322">
        <v>0</v>
      </c>
      <c r="AU13" s="341">
        <f t="shared" ref="AU13" si="4">AT13*E13</f>
        <v>0</v>
      </c>
      <c r="AV13" s="322">
        <v>0</v>
      </c>
      <c r="AW13" s="341"/>
      <c r="AX13" s="322"/>
      <c r="AY13" s="341"/>
      <c r="AZ13" s="322"/>
      <c r="BA13" s="322">
        <f>AZ13*E13</f>
        <v>0</v>
      </c>
      <c r="BB13" s="322"/>
      <c r="BC13" s="322">
        <f>BB13*E13</f>
        <v>0</v>
      </c>
      <c r="BD13" s="322"/>
      <c r="BE13" s="322">
        <f>BD13*E13</f>
        <v>0</v>
      </c>
      <c r="BF13" s="322"/>
      <c r="BG13" s="322">
        <f>BF13*E13</f>
        <v>0</v>
      </c>
      <c r="BH13" s="322"/>
      <c r="BI13" s="322">
        <f>BH13*E13</f>
        <v>0</v>
      </c>
      <c r="BJ13" s="322">
        <f t="shared" si="1"/>
        <v>0</v>
      </c>
      <c r="BK13" s="322">
        <f t="shared" si="1"/>
        <v>0</v>
      </c>
      <c r="BL13" s="686" t="s">
        <v>209</v>
      </c>
      <c r="BN13" s="340">
        <f>G13</f>
        <v>0</v>
      </c>
      <c r="BO13" s="688"/>
      <c r="BP13" s="688"/>
      <c r="BQ13" s="688"/>
      <c r="BR13" s="340">
        <f t="shared" si="2"/>
        <v>0</v>
      </c>
      <c r="BS13" s="688"/>
      <c r="BT13" s="688">
        <f t="shared" ref="BT13:BT19" si="5">G13</f>
        <v>0</v>
      </c>
      <c r="BU13" s="689">
        <f t="shared" ref="BU13:BU29" si="6">BS13+BT13</f>
        <v>0</v>
      </c>
      <c r="BV13" s="341">
        <f t="shared" si="3"/>
        <v>0</v>
      </c>
    </row>
    <row r="14" spans="1:74" x14ac:dyDescent="0.25">
      <c r="A14" s="962"/>
      <c r="B14" s="269" t="s">
        <v>1072</v>
      </c>
      <c r="C14" s="342" t="s">
        <v>136</v>
      </c>
      <c r="D14" s="430" t="s">
        <v>100</v>
      </c>
      <c r="E14" s="343" t="s">
        <v>337</v>
      </c>
      <c r="F14" s="685">
        <f>BJ14</f>
        <v>0</v>
      </c>
      <c r="G14" s="338">
        <f>F14*E14</f>
        <v>0</v>
      </c>
      <c r="H14" s="338">
        <f>G14*0.2</f>
        <v>0</v>
      </c>
      <c r="I14" s="338">
        <f>G14*0.8</f>
        <v>0</v>
      </c>
      <c r="J14" s="338"/>
      <c r="K14" s="338"/>
      <c r="L14" s="338"/>
      <c r="M14" s="338"/>
      <c r="N14" s="338"/>
      <c r="O14" s="338"/>
      <c r="P14" s="338"/>
      <c r="Q14" s="338"/>
      <c r="R14" s="322">
        <f>F14*0.25</f>
        <v>0</v>
      </c>
      <c r="S14" s="322">
        <f>F14*0.25</f>
        <v>0</v>
      </c>
      <c r="T14" s="322">
        <f>F14*0.25</f>
        <v>0</v>
      </c>
      <c r="U14" s="322">
        <f>F14*0.25</f>
        <v>0</v>
      </c>
      <c r="V14" s="673">
        <f>R14*E14</f>
        <v>0</v>
      </c>
      <c r="W14" s="673">
        <f>S14*E14</f>
        <v>0</v>
      </c>
      <c r="X14" s="673">
        <f>T14*E14</f>
        <v>0</v>
      </c>
      <c r="Y14" s="673">
        <f>U14*E14</f>
        <v>0</v>
      </c>
      <c r="Z14" s="322">
        <v>0</v>
      </c>
      <c r="AA14" s="322">
        <f t="shared" si="0"/>
        <v>0</v>
      </c>
      <c r="AB14" s="322"/>
      <c r="AC14" s="322">
        <f>AB14*E14</f>
        <v>0</v>
      </c>
      <c r="AD14" s="322">
        <v>0</v>
      </c>
      <c r="AE14" s="322">
        <f>AD14*E14</f>
        <v>0</v>
      </c>
      <c r="AF14" s="322"/>
      <c r="AG14" s="322">
        <f>AF14*E14</f>
        <v>0</v>
      </c>
      <c r="AH14" s="322">
        <v>0</v>
      </c>
      <c r="AI14" s="322">
        <f>AH14*E14</f>
        <v>0</v>
      </c>
      <c r="AJ14" s="322">
        <v>0</v>
      </c>
      <c r="AK14" s="341">
        <f>AJ14*E14</f>
        <v>0</v>
      </c>
      <c r="AL14" s="322">
        <v>0</v>
      </c>
      <c r="AM14" s="322">
        <f>AL14*E14</f>
        <v>0</v>
      </c>
      <c r="AN14" s="322"/>
      <c r="AO14" s="341"/>
      <c r="AP14" s="322">
        <v>0</v>
      </c>
      <c r="AQ14" s="322">
        <f>AP14*E14</f>
        <v>0</v>
      </c>
      <c r="AR14" s="322">
        <v>0</v>
      </c>
      <c r="AS14" s="322">
        <f>AR14*E14</f>
        <v>0</v>
      </c>
      <c r="AT14" s="322"/>
      <c r="AU14" s="341"/>
      <c r="AV14" s="322">
        <v>0</v>
      </c>
      <c r="AW14" s="341"/>
      <c r="AX14" s="322"/>
      <c r="AY14" s="341"/>
      <c r="AZ14" s="322">
        <v>0</v>
      </c>
      <c r="BA14" s="322">
        <f>AZ14*E14</f>
        <v>0</v>
      </c>
      <c r="BB14" s="322"/>
      <c r="BC14" s="322">
        <f>BB14*E14</f>
        <v>0</v>
      </c>
      <c r="BD14" s="322"/>
      <c r="BE14" s="322">
        <f>BD14*E14</f>
        <v>0</v>
      </c>
      <c r="BF14" s="322"/>
      <c r="BG14" s="322">
        <f>BF14*E14</f>
        <v>0</v>
      </c>
      <c r="BH14" s="322"/>
      <c r="BI14" s="322">
        <f>BH14*E14</f>
        <v>0</v>
      </c>
      <c r="BJ14" s="322">
        <f t="shared" si="1"/>
        <v>0</v>
      </c>
      <c r="BK14" s="322">
        <f t="shared" si="1"/>
        <v>0</v>
      </c>
      <c r="BL14" s="686" t="s">
        <v>209</v>
      </c>
      <c r="BN14" s="340">
        <f>G14</f>
        <v>0</v>
      </c>
      <c r="BO14" s="340"/>
      <c r="BP14" s="340"/>
      <c r="BQ14" s="340"/>
      <c r="BR14" s="340">
        <f t="shared" si="2"/>
        <v>0</v>
      </c>
      <c r="BS14" s="340"/>
      <c r="BT14" s="340">
        <f t="shared" si="5"/>
        <v>0</v>
      </c>
      <c r="BU14" s="652">
        <f t="shared" si="6"/>
        <v>0</v>
      </c>
      <c r="BV14" s="341">
        <f t="shared" si="3"/>
        <v>0</v>
      </c>
    </row>
    <row r="15" spans="1:74" x14ac:dyDescent="0.25">
      <c r="A15" s="962"/>
      <c r="B15" s="269" t="s">
        <v>1073</v>
      </c>
      <c r="C15" s="342" t="s">
        <v>904</v>
      </c>
      <c r="D15" s="430" t="s">
        <v>900</v>
      </c>
      <c r="E15" s="343" t="s">
        <v>16</v>
      </c>
      <c r="F15" s="685">
        <f>BJ15</f>
        <v>0</v>
      </c>
      <c r="G15" s="690">
        <f>BK15</f>
        <v>0</v>
      </c>
      <c r="H15" s="690"/>
      <c r="I15" s="690"/>
      <c r="J15" s="690"/>
      <c r="K15" s="690"/>
      <c r="L15" s="690"/>
      <c r="M15" s="690"/>
      <c r="N15" s="690"/>
      <c r="O15" s="690"/>
      <c r="P15" s="690"/>
      <c r="Q15" s="690"/>
      <c r="R15" s="691"/>
      <c r="S15" s="691"/>
      <c r="T15" s="691"/>
      <c r="U15" s="691"/>
      <c r="V15" s="692"/>
      <c r="W15" s="692"/>
      <c r="X15" s="692"/>
      <c r="Y15" s="692"/>
      <c r="Z15" s="691"/>
      <c r="AA15" s="691"/>
      <c r="AB15" s="691"/>
      <c r="AC15" s="691"/>
      <c r="AD15" s="691"/>
      <c r="AE15" s="691"/>
      <c r="AF15" s="691"/>
      <c r="AG15" s="691"/>
      <c r="AH15" s="691"/>
      <c r="AI15" s="691"/>
      <c r="AJ15" s="691"/>
      <c r="AK15" s="693"/>
      <c r="AL15" s="691">
        <v>0</v>
      </c>
      <c r="AM15" s="691">
        <v>0</v>
      </c>
      <c r="AN15" s="691"/>
      <c r="AO15" s="693"/>
      <c r="AP15" s="691"/>
      <c r="AQ15" s="691"/>
      <c r="AR15" s="691"/>
      <c r="AS15" s="691"/>
      <c r="AT15" s="691"/>
      <c r="AU15" s="693"/>
      <c r="AV15" s="691"/>
      <c r="AW15" s="693"/>
      <c r="AX15" s="691"/>
      <c r="AY15" s="693"/>
      <c r="AZ15" s="691"/>
      <c r="BA15" s="691"/>
      <c r="BB15" s="691"/>
      <c r="BC15" s="691"/>
      <c r="BD15" s="691"/>
      <c r="BE15" s="691"/>
      <c r="BF15" s="691"/>
      <c r="BG15" s="691"/>
      <c r="BH15" s="691"/>
      <c r="BI15" s="691"/>
      <c r="BJ15" s="322">
        <f t="shared" ref="BJ15" si="7">BH15+BF15+BD15+BB15+AZ15+AX15+AV15+AT15+AR15+AP15+AN15+AL15+AJ15+AH15+AF15+AD15+AB15+Z15</f>
        <v>0</v>
      </c>
      <c r="BK15" s="322">
        <f t="shared" ref="BK15" si="8">BI15+BG15+BE15+BC15+BA15+AY15+AW15+AU15+AS15+AQ15+AO15+AM15+AK15+AI15+AG15+AE15+AC15+AA15</f>
        <v>0</v>
      </c>
      <c r="BL15" s="694" t="s">
        <v>901</v>
      </c>
      <c r="BN15" s="695"/>
      <c r="BO15" s="695"/>
      <c r="BP15" s="695"/>
      <c r="BQ15" s="695"/>
      <c r="BR15" s="695"/>
      <c r="BS15" s="695"/>
      <c r="BT15" s="695"/>
      <c r="BU15" s="696"/>
      <c r="BV15" s="693"/>
    </row>
    <row r="16" spans="1:74" s="317" customFormat="1" x14ac:dyDescent="0.25">
      <c r="A16" s="962"/>
      <c r="B16" s="382"/>
      <c r="C16" s="335" t="s">
        <v>316</v>
      </c>
      <c r="D16" s="358" t="s">
        <v>100</v>
      </c>
      <c r="E16" s="697"/>
      <c r="F16" s="698">
        <f>SUM(F12:F14)</f>
        <v>0</v>
      </c>
      <c r="G16" s="698">
        <f t="shared" ref="G16:BR16" si="9">SUM(G12:G14)</f>
        <v>0</v>
      </c>
      <c r="H16" s="698">
        <f t="shared" si="9"/>
        <v>0</v>
      </c>
      <c r="I16" s="698">
        <f t="shared" si="9"/>
        <v>0</v>
      </c>
      <c r="J16" s="698">
        <f t="shared" si="9"/>
        <v>0</v>
      </c>
      <c r="K16" s="698">
        <f t="shared" si="9"/>
        <v>0</v>
      </c>
      <c r="L16" s="698">
        <f t="shared" si="9"/>
        <v>0</v>
      </c>
      <c r="M16" s="698">
        <f t="shared" si="9"/>
        <v>0</v>
      </c>
      <c r="N16" s="698">
        <f t="shared" si="9"/>
        <v>0</v>
      </c>
      <c r="O16" s="698">
        <f t="shared" si="9"/>
        <v>0</v>
      </c>
      <c r="P16" s="698">
        <f t="shared" si="9"/>
        <v>0</v>
      </c>
      <c r="Q16" s="698">
        <f t="shared" si="9"/>
        <v>0</v>
      </c>
      <c r="R16" s="698">
        <f t="shared" si="9"/>
        <v>0</v>
      </c>
      <c r="S16" s="698">
        <f t="shared" si="9"/>
        <v>0</v>
      </c>
      <c r="T16" s="698">
        <f t="shared" si="9"/>
        <v>0</v>
      </c>
      <c r="U16" s="698">
        <f t="shared" si="9"/>
        <v>0</v>
      </c>
      <c r="V16" s="698">
        <f t="shared" si="9"/>
        <v>0</v>
      </c>
      <c r="W16" s="698">
        <f t="shared" si="9"/>
        <v>0</v>
      </c>
      <c r="X16" s="698">
        <f t="shared" si="9"/>
        <v>0</v>
      </c>
      <c r="Y16" s="698">
        <f t="shared" si="9"/>
        <v>0</v>
      </c>
      <c r="Z16" s="698">
        <f t="shared" si="9"/>
        <v>0</v>
      </c>
      <c r="AA16" s="698">
        <f t="shared" si="9"/>
        <v>0</v>
      </c>
      <c r="AB16" s="698">
        <f t="shared" si="9"/>
        <v>0</v>
      </c>
      <c r="AC16" s="698">
        <f t="shared" si="9"/>
        <v>0</v>
      </c>
      <c r="AD16" s="698">
        <f t="shared" si="9"/>
        <v>0</v>
      </c>
      <c r="AE16" s="698">
        <f t="shared" si="9"/>
        <v>0</v>
      </c>
      <c r="AF16" s="698">
        <f t="shared" si="9"/>
        <v>0</v>
      </c>
      <c r="AG16" s="698">
        <f t="shared" si="9"/>
        <v>0</v>
      </c>
      <c r="AH16" s="698">
        <f t="shared" si="9"/>
        <v>0</v>
      </c>
      <c r="AI16" s="698">
        <f t="shared" si="9"/>
        <v>0</v>
      </c>
      <c r="AJ16" s="698">
        <f t="shared" si="9"/>
        <v>0</v>
      </c>
      <c r="AK16" s="698">
        <f t="shared" si="9"/>
        <v>0</v>
      </c>
      <c r="AL16" s="698">
        <f t="shared" si="9"/>
        <v>0</v>
      </c>
      <c r="AM16" s="698">
        <f t="shared" si="9"/>
        <v>0</v>
      </c>
      <c r="AN16" s="698">
        <f t="shared" si="9"/>
        <v>0</v>
      </c>
      <c r="AO16" s="698">
        <f t="shared" si="9"/>
        <v>0</v>
      </c>
      <c r="AP16" s="698">
        <f t="shared" si="9"/>
        <v>0</v>
      </c>
      <c r="AQ16" s="698">
        <f t="shared" si="9"/>
        <v>0</v>
      </c>
      <c r="AR16" s="698">
        <f t="shared" si="9"/>
        <v>0</v>
      </c>
      <c r="AS16" s="698">
        <f t="shared" si="9"/>
        <v>0</v>
      </c>
      <c r="AT16" s="698">
        <v>0</v>
      </c>
      <c r="AU16" s="698">
        <f t="shared" ref="AU16:AW16" si="10">SUM(AU12:AU14)</f>
        <v>0</v>
      </c>
      <c r="AV16" s="698">
        <f t="shared" si="10"/>
        <v>0</v>
      </c>
      <c r="AW16" s="698">
        <f t="shared" si="10"/>
        <v>0</v>
      </c>
      <c r="AX16" s="698">
        <f t="shared" si="9"/>
        <v>0</v>
      </c>
      <c r="AY16" s="698">
        <f t="shared" si="9"/>
        <v>0</v>
      </c>
      <c r="AZ16" s="698">
        <f t="shared" si="9"/>
        <v>0</v>
      </c>
      <c r="BA16" s="698">
        <f t="shared" si="9"/>
        <v>0</v>
      </c>
      <c r="BB16" s="698">
        <f t="shared" si="9"/>
        <v>0</v>
      </c>
      <c r="BC16" s="698">
        <f t="shared" si="9"/>
        <v>0</v>
      </c>
      <c r="BD16" s="698">
        <f t="shared" si="9"/>
        <v>0</v>
      </c>
      <c r="BE16" s="698">
        <f t="shared" si="9"/>
        <v>0</v>
      </c>
      <c r="BF16" s="698">
        <f t="shared" si="9"/>
        <v>0</v>
      </c>
      <c r="BG16" s="698">
        <f t="shared" si="9"/>
        <v>0</v>
      </c>
      <c r="BH16" s="698">
        <f t="shared" si="9"/>
        <v>0</v>
      </c>
      <c r="BI16" s="698">
        <f t="shared" si="9"/>
        <v>0</v>
      </c>
      <c r="BJ16" s="698">
        <f t="shared" si="9"/>
        <v>0</v>
      </c>
      <c r="BK16" s="698">
        <f t="shared" si="9"/>
        <v>0</v>
      </c>
      <c r="BL16" s="698">
        <f>SUM(BL12:BL15)</f>
        <v>0</v>
      </c>
      <c r="BM16" s="698">
        <f t="shared" si="9"/>
        <v>0</v>
      </c>
      <c r="BN16" s="698">
        <f t="shared" si="9"/>
        <v>0</v>
      </c>
      <c r="BO16" s="698">
        <f t="shared" si="9"/>
        <v>0</v>
      </c>
      <c r="BP16" s="698">
        <f t="shared" si="9"/>
        <v>0</v>
      </c>
      <c r="BQ16" s="698">
        <f t="shared" si="9"/>
        <v>0</v>
      </c>
      <c r="BR16" s="698">
        <f t="shared" si="9"/>
        <v>0</v>
      </c>
      <c r="BS16" s="698">
        <f>SUM(BS12:BS14)</f>
        <v>0</v>
      </c>
      <c r="BT16" s="698">
        <f>SUM(BT12:BT14)</f>
        <v>0</v>
      </c>
      <c r="BU16" s="698">
        <f>SUM(BU12:BU14)</f>
        <v>0</v>
      </c>
      <c r="BV16" s="698">
        <f>SUM(BV12:BV14)</f>
        <v>0</v>
      </c>
    </row>
    <row r="17" spans="1:74" x14ac:dyDescent="0.25">
      <c r="A17" s="962"/>
      <c r="B17" s="408"/>
      <c r="C17" s="335" t="s">
        <v>332</v>
      </c>
      <c r="D17" s="430" t="s">
        <v>100</v>
      </c>
      <c r="E17" s="699"/>
      <c r="F17" s="685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22">
        <f>F17*0.25</f>
        <v>0</v>
      </c>
      <c r="S17" s="322">
        <f>F17*0.25</f>
        <v>0</v>
      </c>
      <c r="T17" s="322">
        <f>F17*0.25</f>
        <v>0</v>
      </c>
      <c r="U17" s="322">
        <f>F17*0.25</f>
        <v>0</v>
      </c>
      <c r="V17" s="673">
        <f>R17*E17</f>
        <v>0</v>
      </c>
      <c r="W17" s="673">
        <f>S17*E17</f>
        <v>0</v>
      </c>
      <c r="X17" s="673">
        <f t="shared" ref="X17:X23" si="11">T17*E17</f>
        <v>0</v>
      </c>
      <c r="Y17" s="673">
        <f t="shared" ref="Y17:Y23" si="12">U17*E17</f>
        <v>0</v>
      </c>
      <c r="Z17" s="322"/>
      <c r="AA17" s="322">
        <f t="shared" si="0"/>
        <v>0</v>
      </c>
      <c r="AB17" s="322"/>
      <c r="AC17" s="341">
        <f>AB17*E17</f>
        <v>0</v>
      </c>
      <c r="AD17" s="322"/>
      <c r="AE17" s="341">
        <f>AD17*E17</f>
        <v>0</v>
      </c>
      <c r="AF17" s="322"/>
      <c r="AG17" s="341">
        <f>AF17*E17</f>
        <v>0</v>
      </c>
      <c r="AH17" s="322"/>
      <c r="AI17" s="341">
        <f>AH17*E17</f>
        <v>0</v>
      </c>
      <c r="AJ17" s="322"/>
      <c r="AK17" s="341"/>
      <c r="AL17" s="322"/>
      <c r="AM17" s="341">
        <f>AL17*E17</f>
        <v>0</v>
      </c>
      <c r="AN17" s="322"/>
      <c r="AO17" s="341"/>
      <c r="AP17" s="322"/>
      <c r="AQ17" s="341">
        <f>AP17*E17</f>
        <v>0</v>
      </c>
      <c r="AR17" s="322"/>
      <c r="AS17" s="341">
        <f>AR17*E17</f>
        <v>0</v>
      </c>
      <c r="AT17" s="322"/>
      <c r="AU17" s="341"/>
      <c r="AV17" s="322"/>
      <c r="AW17" s="341"/>
      <c r="AX17" s="322"/>
      <c r="AY17" s="341"/>
      <c r="AZ17" s="322"/>
      <c r="BA17" s="341">
        <f>AZ17*E17</f>
        <v>0</v>
      </c>
      <c r="BB17" s="322"/>
      <c r="BC17" s="341">
        <f>BB17*E17</f>
        <v>0</v>
      </c>
      <c r="BD17" s="322"/>
      <c r="BE17" s="341">
        <f>BD17*E17</f>
        <v>0</v>
      </c>
      <c r="BF17" s="322"/>
      <c r="BG17" s="341">
        <f>BF17*E17</f>
        <v>0</v>
      </c>
      <c r="BH17" s="322"/>
      <c r="BI17" s="341">
        <f>BH17*E17</f>
        <v>0</v>
      </c>
      <c r="BJ17" s="322">
        <f>Z17+AB17+AD17+AH17+AL17+AP17+AR17+AZ17+BB17+BD17+BF17+BH17</f>
        <v>0</v>
      </c>
      <c r="BK17" s="651">
        <f>AA17+AC17+AE17+AG17+AI17+AM17+AQ17+AS17+BA17+BC17+BE17+BG17+BI17</f>
        <v>0</v>
      </c>
      <c r="BL17" s="686"/>
      <c r="BN17" s="340"/>
      <c r="BO17" s="340"/>
      <c r="BP17" s="340"/>
      <c r="BQ17" s="340"/>
      <c r="BR17" s="340">
        <f t="shared" si="2"/>
        <v>0</v>
      </c>
      <c r="BS17" s="340"/>
      <c r="BT17" s="340">
        <f t="shared" si="5"/>
        <v>0</v>
      </c>
      <c r="BU17" s="652">
        <f t="shared" si="6"/>
        <v>0</v>
      </c>
      <c r="BV17" s="341">
        <f t="shared" si="3"/>
        <v>0</v>
      </c>
    </row>
    <row r="18" spans="1:74" x14ac:dyDescent="0.25">
      <c r="A18" s="962"/>
      <c r="B18" s="269" t="s">
        <v>1074</v>
      </c>
      <c r="C18" s="342" t="s">
        <v>284</v>
      </c>
      <c r="D18" s="430" t="s">
        <v>100</v>
      </c>
      <c r="E18" s="343">
        <v>55000</v>
      </c>
      <c r="F18" s="685">
        <f>BJ18</f>
        <v>204</v>
      </c>
      <c r="G18" s="338">
        <f>BK18</f>
        <v>10600000</v>
      </c>
      <c r="H18" s="338">
        <f>G18*0.5</f>
        <v>5300000</v>
      </c>
      <c r="I18" s="338">
        <f>G18*0.5</f>
        <v>5300000</v>
      </c>
      <c r="J18" s="338"/>
      <c r="K18" s="338"/>
      <c r="L18" s="338"/>
      <c r="M18" s="338"/>
      <c r="N18" s="338"/>
      <c r="O18" s="338"/>
      <c r="P18" s="338"/>
      <c r="Q18" s="338"/>
      <c r="R18" s="322">
        <f>F18*0.25</f>
        <v>51</v>
      </c>
      <c r="S18" s="322">
        <f>F18*0.25</f>
        <v>51</v>
      </c>
      <c r="T18" s="322">
        <f>F18*0.25</f>
        <v>51</v>
      </c>
      <c r="U18" s="322">
        <f>F18*0.25</f>
        <v>51</v>
      </c>
      <c r="V18" s="673">
        <f>G18*0.25</f>
        <v>2650000</v>
      </c>
      <c r="W18" s="673">
        <f>G18*0.25</f>
        <v>2650000</v>
      </c>
      <c r="X18" s="673">
        <f>G18*0.25</f>
        <v>2650000</v>
      </c>
      <c r="Y18" s="673">
        <f>G18*0.25</f>
        <v>2650000</v>
      </c>
      <c r="Z18" s="322">
        <v>12</v>
      </c>
      <c r="AA18" s="322">
        <f t="shared" si="0"/>
        <v>660000</v>
      </c>
      <c r="AB18" s="322">
        <v>12</v>
      </c>
      <c r="AC18" s="341">
        <f t="shared" ref="AC18:AC29" si="13">AB18*E18</f>
        <v>660000</v>
      </c>
      <c r="AD18" s="322">
        <v>12</v>
      </c>
      <c r="AE18" s="341">
        <f t="shared" ref="AE18:AE29" si="14">AD18*E18</f>
        <v>660000</v>
      </c>
      <c r="AF18" s="322">
        <v>12</v>
      </c>
      <c r="AG18" s="341">
        <f t="shared" ref="AG18:AG29" si="15">AF18*E18</f>
        <v>660000</v>
      </c>
      <c r="AH18" s="322">
        <v>12</v>
      </c>
      <c r="AI18" s="341">
        <f t="shared" ref="AI18:AI29" si="16">AH18*E18</f>
        <v>660000</v>
      </c>
      <c r="AJ18" s="322">
        <v>12</v>
      </c>
      <c r="AK18" s="341">
        <f>AJ18*E18</f>
        <v>660000</v>
      </c>
      <c r="AL18" s="322">
        <v>12</v>
      </c>
      <c r="AM18" s="341">
        <v>540000</v>
      </c>
      <c r="AN18" s="322">
        <v>12</v>
      </c>
      <c r="AO18" s="341">
        <v>540000</v>
      </c>
      <c r="AP18" s="322">
        <v>12</v>
      </c>
      <c r="AQ18" s="341">
        <f t="shared" ref="AQ18:AQ29" si="17">AP18*E18</f>
        <v>660000</v>
      </c>
      <c r="AR18" s="322">
        <v>12</v>
      </c>
      <c r="AS18" s="341">
        <v>540000</v>
      </c>
      <c r="AT18" s="322">
        <v>12</v>
      </c>
      <c r="AU18" s="341">
        <v>540000</v>
      </c>
      <c r="AV18" s="322">
        <v>12</v>
      </c>
      <c r="AW18" s="341">
        <v>720000</v>
      </c>
      <c r="AX18" s="322">
        <v>12</v>
      </c>
      <c r="AY18" s="341">
        <f>AX18*E18</f>
        <v>660000</v>
      </c>
      <c r="AZ18" s="322">
        <v>12</v>
      </c>
      <c r="BA18" s="341">
        <f>AZ18*E18-200000</f>
        <v>460000</v>
      </c>
      <c r="BB18" s="322">
        <v>12</v>
      </c>
      <c r="BC18" s="341">
        <f t="shared" ref="BC18:BC29" si="18">BB18*E18</f>
        <v>660000</v>
      </c>
      <c r="BD18" s="322">
        <v>12</v>
      </c>
      <c r="BE18" s="341">
        <f t="shared" ref="BE18:BE29" si="19">BD18*E18</f>
        <v>660000</v>
      </c>
      <c r="BF18" s="322">
        <v>12</v>
      </c>
      <c r="BG18" s="341">
        <f t="shared" ref="BG18:BG29" si="20">BF18*E18</f>
        <v>660000</v>
      </c>
      <c r="BH18" s="322">
        <v>0</v>
      </c>
      <c r="BI18" s="341">
        <f t="shared" ref="BI18:BI29" si="21">BH18*E18</f>
        <v>0</v>
      </c>
      <c r="BJ18" s="322">
        <f>BH18+BF18+BD18+BB18+AZ18+AX18+AV18+AT18+AR18+AP18+AN18+AL18+AJ18+AH18+AF18+AD18+AB18+Z18</f>
        <v>204</v>
      </c>
      <c r="BK18" s="322">
        <f>BI18+BG18+BE18+BC18+BA18+AY18+AW18+AU18+AS18+AQ18+AO18+AM18+AK18+AI18+AG18+AE18+AC18+AA18</f>
        <v>10600000</v>
      </c>
      <c r="BL18" s="686" t="s">
        <v>211</v>
      </c>
      <c r="BN18" s="340"/>
      <c r="BO18" s="340"/>
      <c r="BP18" s="340"/>
      <c r="BQ18" s="340"/>
      <c r="BR18" s="340">
        <f t="shared" si="2"/>
        <v>0</v>
      </c>
      <c r="BS18" s="340"/>
      <c r="BT18" s="340">
        <f t="shared" si="5"/>
        <v>10600000</v>
      </c>
      <c r="BU18" s="652">
        <f t="shared" si="6"/>
        <v>10600000</v>
      </c>
      <c r="BV18" s="341">
        <f t="shared" si="3"/>
        <v>10600000</v>
      </c>
    </row>
    <row r="19" spans="1:74" ht="31.5" x14ac:dyDescent="0.25">
      <c r="A19" s="962"/>
      <c r="B19" s="269" t="s">
        <v>1075</v>
      </c>
      <c r="C19" s="344" t="s">
        <v>615</v>
      </c>
      <c r="D19" s="430" t="s">
        <v>100</v>
      </c>
      <c r="E19" s="343">
        <f>2500*4</f>
        <v>10000</v>
      </c>
      <c r="F19" s="685">
        <f t="shared" ref="F19:G29" si="22">BJ19</f>
        <v>204</v>
      </c>
      <c r="G19" s="338">
        <f t="shared" ref="G19:G29" si="23">F19*E19</f>
        <v>2040000</v>
      </c>
      <c r="H19" s="338">
        <f>G19*0.5</f>
        <v>1020000</v>
      </c>
      <c r="I19" s="338">
        <f>G19*0.5</f>
        <v>1020000</v>
      </c>
      <c r="J19" s="338"/>
      <c r="K19" s="338"/>
      <c r="L19" s="338"/>
      <c r="M19" s="338"/>
      <c r="N19" s="338"/>
      <c r="O19" s="338"/>
      <c r="P19" s="338"/>
      <c r="Q19" s="338"/>
      <c r="R19" s="322">
        <f>F19*0.25</f>
        <v>51</v>
      </c>
      <c r="S19" s="322">
        <f>F19*0.25</f>
        <v>51</v>
      </c>
      <c r="T19" s="322">
        <f>F19*0.25</f>
        <v>51</v>
      </c>
      <c r="U19" s="322">
        <f>F19*0.25</f>
        <v>51</v>
      </c>
      <c r="V19" s="673">
        <f>R19*E19</f>
        <v>510000</v>
      </c>
      <c r="W19" s="673">
        <f>S19*E19</f>
        <v>510000</v>
      </c>
      <c r="X19" s="673">
        <f t="shared" si="11"/>
        <v>510000</v>
      </c>
      <c r="Y19" s="673">
        <f t="shared" si="12"/>
        <v>510000</v>
      </c>
      <c r="Z19" s="322">
        <v>12</v>
      </c>
      <c r="AA19" s="322">
        <f t="shared" si="0"/>
        <v>120000</v>
      </c>
      <c r="AB19" s="322">
        <v>12</v>
      </c>
      <c r="AC19" s="341">
        <f t="shared" si="13"/>
        <v>120000</v>
      </c>
      <c r="AD19" s="322">
        <v>12</v>
      </c>
      <c r="AE19" s="341">
        <f t="shared" si="14"/>
        <v>120000</v>
      </c>
      <c r="AF19" s="322">
        <v>12</v>
      </c>
      <c r="AG19" s="341">
        <f t="shared" si="15"/>
        <v>120000</v>
      </c>
      <c r="AH19" s="322">
        <v>12</v>
      </c>
      <c r="AI19" s="341">
        <f t="shared" si="16"/>
        <v>120000</v>
      </c>
      <c r="AJ19" s="322">
        <v>12</v>
      </c>
      <c r="AK19" s="341">
        <f t="shared" ref="AK19:AK29" si="24">AJ19*E19</f>
        <v>120000</v>
      </c>
      <c r="AL19" s="322">
        <v>12</v>
      </c>
      <c r="AM19" s="341">
        <f t="shared" ref="AM19:AM29" si="25">AL19*E19</f>
        <v>120000</v>
      </c>
      <c r="AN19" s="322">
        <v>12</v>
      </c>
      <c r="AO19" s="341">
        <f t="shared" ref="AO19:AO29" si="26">AN19*E19</f>
        <v>120000</v>
      </c>
      <c r="AP19" s="322">
        <v>12</v>
      </c>
      <c r="AQ19" s="341">
        <f t="shared" si="17"/>
        <v>120000</v>
      </c>
      <c r="AR19" s="322">
        <v>12</v>
      </c>
      <c r="AS19" s="341">
        <f t="shared" ref="AS19:AS29" si="27">AR19*E19</f>
        <v>120000</v>
      </c>
      <c r="AT19" s="322">
        <v>12</v>
      </c>
      <c r="AU19" s="341">
        <f t="shared" ref="AU19:AU29" si="28">AT19*E19</f>
        <v>120000</v>
      </c>
      <c r="AV19" s="322">
        <v>12</v>
      </c>
      <c r="AW19" s="341">
        <f t="shared" ref="AW19:AW29" si="29">AV19*E19</f>
        <v>120000</v>
      </c>
      <c r="AX19" s="322">
        <v>12</v>
      </c>
      <c r="AY19" s="341">
        <f t="shared" ref="AY19:AY29" si="30">AX19*E19</f>
        <v>120000</v>
      </c>
      <c r="AZ19" s="322">
        <v>12</v>
      </c>
      <c r="BA19" s="341">
        <f t="shared" ref="BA19:BA29" si="31">AZ19*E19</f>
        <v>120000</v>
      </c>
      <c r="BB19" s="322">
        <v>12</v>
      </c>
      <c r="BC19" s="341">
        <f t="shared" si="18"/>
        <v>120000</v>
      </c>
      <c r="BD19" s="322">
        <v>12</v>
      </c>
      <c r="BE19" s="341">
        <f t="shared" si="19"/>
        <v>120000</v>
      </c>
      <c r="BF19" s="322">
        <v>12</v>
      </c>
      <c r="BG19" s="341">
        <f t="shared" si="20"/>
        <v>120000</v>
      </c>
      <c r="BH19" s="322">
        <v>0</v>
      </c>
      <c r="BI19" s="341">
        <f t="shared" si="21"/>
        <v>0</v>
      </c>
      <c r="BJ19" s="322">
        <f t="shared" ref="BJ19:BK29" si="32">BH19+BF19+BD19+BB19+AZ19+AX19+AV19+AT19+AR19+AP19+AN19+AL19+AJ19+AH19+AF19+AD19+AB19+Z19</f>
        <v>204</v>
      </c>
      <c r="BK19" s="322">
        <f t="shared" si="32"/>
        <v>2040000</v>
      </c>
      <c r="BL19" s="686" t="s">
        <v>211</v>
      </c>
      <c r="BN19" s="340"/>
      <c r="BO19" s="340"/>
      <c r="BP19" s="340"/>
      <c r="BQ19" s="340"/>
      <c r="BR19" s="340">
        <f t="shared" si="2"/>
        <v>0</v>
      </c>
      <c r="BS19" s="340"/>
      <c r="BT19" s="340">
        <f t="shared" si="5"/>
        <v>2040000</v>
      </c>
      <c r="BU19" s="652">
        <f t="shared" si="6"/>
        <v>2040000</v>
      </c>
      <c r="BV19" s="341">
        <f t="shared" si="3"/>
        <v>2040000</v>
      </c>
    </row>
    <row r="20" spans="1:74" x14ac:dyDescent="0.25">
      <c r="A20" s="962"/>
      <c r="B20" s="269" t="s">
        <v>1076</v>
      </c>
      <c r="C20" s="344" t="s">
        <v>957</v>
      </c>
      <c r="D20" s="430" t="s">
        <v>100</v>
      </c>
      <c r="E20" s="343">
        <v>50000</v>
      </c>
      <c r="F20" s="685">
        <f t="shared" si="22"/>
        <v>1</v>
      </c>
      <c r="G20" s="685">
        <f t="shared" si="22"/>
        <v>70000</v>
      </c>
      <c r="H20" s="338">
        <f>G20*0.2</f>
        <v>14000</v>
      </c>
      <c r="I20" s="338">
        <f>G20*0.8</f>
        <v>56000</v>
      </c>
      <c r="J20" s="338"/>
      <c r="K20" s="338"/>
      <c r="L20" s="338"/>
      <c r="M20" s="338"/>
      <c r="N20" s="338"/>
      <c r="O20" s="338"/>
      <c r="P20" s="338"/>
      <c r="Q20" s="338"/>
      <c r="R20" s="322">
        <f>F20*1</f>
        <v>1</v>
      </c>
      <c r="S20" s="322"/>
      <c r="T20" s="322"/>
      <c r="U20" s="322"/>
      <c r="V20" s="673">
        <f>G20</f>
        <v>70000</v>
      </c>
      <c r="W20" s="673">
        <f>S20*E20</f>
        <v>0</v>
      </c>
      <c r="X20" s="673">
        <f t="shared" si="11"/>
        <v>0</v>
      </c>
      <c r="Y20" s="673">
        <f t="shared" si="12"/>
        <v>0</v>
      </c>
      <c r="Z20" s="322">
        <v>0</v>
      </c>
      <c r="AA20" s="322">
        <f t="shared" si="0"/>
        <v>0</v>
      </c>
      <c r="AB20" s="322">
        <v>0</v>
      </c>
      <c r="AC20" s="341">
        <f t="shared" si="13"/>
        <v>0</v>
      </c>
      <c r="AD20" s="322">
        <v>0</v>
      </c>
      <c r="AE20" s="341">
        <f t="shared" si="14"/>
        <v>0</v>
      </c>
      <c r="AF20" s="322">
        <v>0</v>
      </c>
      <c r="AG20" s="341">
        <f t="shared" si="15"/>
        <v>0</v>
      </c>
      <c r="AH20" s="322">
        <v>0</v>
      </c>
      <c r="AI20" s="341">
        <f t="shared" si="16"/>
        <v>0</v>
      </c>
      <c r="AJ20" s="322">
        <v>0</v>
      </c>
      <c r="AK20" s="341">
        <f t="shared" si="24"/>
        <v>0</v>
      </c>
      <c r="AL20" s="322">
        <v>0</v>
      </c>
      <c r="AM20" s="341">
        <f t="shared" si="25"/>
        <v>0</v>
      </c>
      <c r="AN20" s="322">
        <v>0</v>
      </c>
      <c r="AO20" s="341">
        <f t="shared" si="26"/>
        <v>0</v>
      </c>
      <c r="AP20" s="322">
        <v>0</v>
      </c>
      <c r="AQ20" s="341">
        <f t="shared" si="17"/>
        <v>0</v>
      </c>
      <c r="AR20" s="322">
        <v>0</v>
      </c>
      <c r="AS20" s="341">
        <f t="shared" si="27"/>
        <v>0</v>
      </c>
      <c r="AT20" s="322">
        <v>0</v>
      </c>
      <c r="AU20" s="341">
        <f t="shared" si="28"/>
        <v>0</v>
      </c>
      <c r="AV20" s="322">
        <v>0</v>
      </c>
      <c r="AW20" s="341">
        <f t="shared" si="29"/>
        <v>0</v>
      </c>
      <c r="AX20" s="322">
        <v>1</v>
      </c>
      <c r="AY20" s="341">
        <f>AX20*E20+20000</f>
        <v>70000</v>
      </c>
      <c r="AZ20" s="322">
        <v>0</v>
      </c>
      <c r="BA20" s="341">
        <f t="shared" si="31"/>
        <v>0</v>
      </c>
      <c r="BB20" s="322">
        <v>0</v>
      </c>
      <c r="BC20" s="341">
        <f t="shared" si="18"/>
        <v>0</v>
      </c>
      <c r="BD20" s="322">
        <v>0</v>
      </c>
      <c r="BE20" s="341">
        <f t="shared" si="19"/>
        <v>0</v>
      </c>
      <c r="BF20" s="322">
        <v>0</v>
      </c>
      <c r="BG20" s="341">
        <f t="shared" si="20"/>
        <v>0</v>
      </c>
      <c r="BH20" s="322">
        <v>0</v>
      </c>
      <c r="BI20" s="341"/>
      <c r="BJ20" s="322">
        <f>BH20+BF20+BD20+BB20+AZ20+AX20+AV20+AT20+AR20+AP20+AN20+AL20+AJ20+AH20+AF20+AD20+AB20+Z20</f>
        <v>1</v>
      </c>
      <c r="BK20" s="322">
        <f>BI20+BG20+BE20+BC20+BA20+AY20+AW20+AU20+AS20+AQ20+AO20+AM20+AK20+AI20+AG20+AE20+AC20+AA20</f>
        <v>70000</v>
      </c>
      <c r="BL20" s="686" t="s">
        <v>209</v>
      </c>
      <c r="BN20" s="652"/>
      <c r="BO20" s="652"/>
      <c r="BP20" s="340">
        <f>BK20</f>
        <v>70000</v>
      </c>
      <c r="BQ20" s="652"/>
      <c r="BR20" s="340">
        <f t="shared" si="2"/>
        <v>70000</v>
      </c>
      <c r="BS20" s="652">
        <f>SUM(BS12:BS18)</f>
        <v>0</v>
      </c>
      <c r="BT20" s="652"/>
      <c r="BU20" s="652">
        <f t="shared" si="6"/>
        <v>0</v>
      </c>
      <c r="BV20" s="341">
        <f t="shared" si="3"/>
        <v>70000</v>
      </c>
    </row>
    <row r="21" spans="1:74" s="317" customFormat="1" x14ac:dyDescent="0.25">
      <c r="A21" s="962"/>
      <c r="B21" s="269" t="s">
        <v>1077</v>
      </c>
      <c r="C21" s="342" t="s">
        <v>101</v>
      </c>
      <c r="D21" s="430" t="s">
        <v>100</v>
      </c>
      <c r="E21" s="343">
        <v>5000</v>
      </c>
      <c r="F21" s="685">
        <f t="shared" si="22"/>
        <v>68</v>
      </c>
      <c r="G21" s="338">
        <f t="shared" si="23"/>
        <v>340000</v>
      </c>
      <c r="H21" s="338">
        <f t="shared" ref="H21:H29" si="33">G21*0.2</f>
        <v>68000</v>
      </c>
      <c r="I21" s="338">
        <f t="shared" ref="I21:I29" si="34">G21*0.8</f>
        <v>272000</v>
      </c>
      <c r="J21" s="338"/>
      <c r="K21" s="338"/>
      <c r="L21" s="338"/>
      <c r="M21" s="338"/>
      <c r="N21" s="338"/>
      <c r="O21" s="338"/>
      <c r="P21" s="338"/>
      <c r="Q21" s="338"/>
      <c r="R21" s="429">
        <f>F21/4</f>
        <v>17</v>
      </c>
      <c r="S21" s="429">
        <f>F21*0.25</f>
        <v>17</v>
      </c>
      <c r="T21" s="429">
        <f>F21*0.25</f>
        <v>17</v>
      </c>
      <c r="U21" s="429">
        <f>F21*0.25</f>
        <v>17</v>
      </c>
      <c r="V21" s="673">
        <f>R21*E21</f>
        <v>85000</v>
      </c>
      <c r="W21" s="673">
        <f>S21*E21</f>
        <v>85000</v>
      </c>
      <c r="X21" s="673">
        <f t="shared" si="11"/>
        <v>85000</v>
      </c>
      <c r="Y21" s="673">
        <f t="shared" si="12"/>
        <v>85000</v>
      </c>
      <c r="Z21" s="424">
        <v>4</v>
      </c>
      <c r="AA21" s="322">
        <f t="shared" si="0"/>
        <v>20000</v>
      </c>
      <c r="AB21" s="424">
        <v>4</v>
      </c>
      <c r="AC21" s="341">
        <f t="shared" si="13"/>
        <v>20000</v>
      </c>
      <c r="AD21" s="424">
        <v>4</v>
      </c>
      <c r="AE21" s="341">
        <f t="shared" si="14"/>
        <v>20000</v>
      </c>
      <c r="AF21" s="424">
        <v>4</v>
      </c>
      <c r="AG21" s="341">
        <f t="shared" si="15"/>
        <v>20000</v>
      </c>
      <c r="AH21" s="424">
        <v>4</v>
      </c>
      <c r="AI21" s="341">
        <f t="shared" si="16"/>
        <v>20000</v>
      </c>
      <c r="AJ21" s="429">
        <v>4</v>
      </c>
      <c r="AK21" s="341">
        <f t="shared" si="24"/>
        <v>20000</v>
      </c>
      <c r="AL21" s="424">
        <v>4</v>
      </c>
      <c r="AM21" s="341">
        <f t="shared" si="25"/>
        <v>20000</v>
      </c>
      <c r="AN21" s="424">
        <v>4</v>
      </c>
      <c r="AO21" s="341">
        <f t="shared" si="26"/>
        <v>20000</v>
      </c>
      <c r="AP21" s="424">
        <v>4</v>
      </c>
      <c r="AQ21" s="341">
        <f t="shared" si="17"/>
        <v>20000</v>
      </c>
      <c r="AR21" s="424">
        <v>4</v>
      </c>
      <c r="AS21" s="341">
        <f t="shared" si="27"/>
        <v>20000</v>
      </c>
      <c r="AT21" s="424">
        <v>4</v>
      </c>
      <c r="AU21" s="341">
        <f t="shared" si="28"/>
        <v>20000</v>
      </c>
      <c r="AV21" s="424">
        <v>4</v>
      </c>
      <c r="AW21" s="341">
        <f t="shared" si="29"/>
        <v>20000</v>
      </c>
      <c r="AX21" s="424">
        <v>4</v>
      </c>
      <c r="AY21" s="341">
        <f t="shared" si="30"/>
        <v>20000</v>
      </c>
      <c r="AZ21" s="424">
        <v>4</v>
      </c>
      <c r="BA21" s="341">
        <f t="shared" si="31"/>
        <v>20000</v>
      </c>
      <c r="BB21" s="424">
        <v>4</v>
      </c>
      <c r="BC21" s="341">
        <f t="shared" si="18"/>
        <v>20000</v>
      </c>
      <c r="BD21" s="424">
        <v>4</v>
      </c>
      <c r="BE21" s="341">
        <f t="shared" si="19"/>
        <v>20000</v>
      </c>
      <c r="BF21" s="424">
        <v>4</v>
      </c>
      <c r="BG21" s="341">
        <f t="shared" si="20"/>
        <v>20000</v>
      </c>
      <c r="BH21" s="424">
        <v>0</v>
      </c>
      <c r="BI21" s="341">
        <f t="shared" si="21"/>
        <v>0</v>
      </c>
      <c r="BJ21" s="322">
        <f t="shared" si="32"/>
        <v>68</v>
      </c>
      <c r="BK21" s="322">
        <f t="shared" si="32"/>
        <v>340000</v>
      </c>
      <c r="BL21" s="686" t="s">
        <v>209</v>
      </c>
      <c r="BN21" s="652"/>
      <c r="BO21" s="652"/>
      <c r="BP21" s="340"/>
      <c r="BQ21" s="652">
        <f>SUM(BQ13:BQ19)</f>
        <v>0</v>
      </c>
      <c r="BR21" s="340">
        <f t="shared" si="2"/>
        <v>0</v>
      </c>
      <c r="BS21" s="652">
        <f>SUM(BS13:BS19)</f>
        <v>0</v>
      </c>
      <c r="BT21" s="652">
        <f>G21</f>
        <v>340000</v>
      </c>
      <c r="BU21" s="652">
        <f t="shared" si="6"/>
        <v>340000</v>
      </c>
      <c r="BV21" s="341">
        <f t="shared" si="3"/>
        <v>340000</v>
      </c>
    </row>
    <row r="22" spans="1:74" x14ac:dyDescent="0.25">
      <c r="A22" s="962"/>
      <c r="B22" s="269" t="s">
        <v>1078</v>
      </c>
      <c r="C22" s="342" t="s">
        <v>869</v>
      </c>
      <c r="D22" s="430" t="s">
        <v>16</v>
      </c>
      <c r="E22" s="343">
        <v>30000</v>
      </c>
      <c r="F22" s="685">
        <f t="shared" si="22"/>
        <v>17</v>
      </c>
      <c r="G22" s="338">
        <f t="shared" si="23"/>
        <v>510000</v>
      </c>
      <c r="H22" s="338">
        <f t="shared" si="33"/>
        <v>102000</v>
      </c>
      <c r="I22" s="338">
        <f t="shared" si="34"/>
        <v>408000</v>
      </c>
      <c r="J22" s="338"/>
      <c r="K22" s="338"/>
      <c r="L22" s="338"/>
      <c r="M22" s="338"/>
      <c r="N22" s="338"/>
      <c r="O22" s="322"/>
      <c r="P22" s="322"/>
      <c r="Q22" s="322"/>
      <c r="R22" s="322"/>
      <c r="S22" s="322">
        <v>16</v>
      </c>
      <c r="T22" s="322">
        <v>1</v>
      </c>
      <c r="U22" s="322"/>
      <c r="V22" s="673">
        <f>R22*E22</f>
        <v>0</v>
      </c>
      <c r="W22" s="673">
        <f>S22*E22</f>
        <v>480000</v>
      </c>
      <c r="X22" s="673">
        <f t="shared" si="11"/>
        <v>30000</v>
      </c>
      <c r="Y22" s="673">
        <f t="shared" si="12"/>
        <v>0</v>
      </c>
      <c r="Z22" s="322">
        <v>1</v>
      </c>
      <c r="AA22" s="322">
        <f t="shared" si="0"/>
        <v>30000</v>
      </c>
      <c r="AB22" s="322">
        <v>1</v>
      </c>
      <c r="AC22" s="341">
        <f t="shared" si="13"/>
        <v>30000</v>
      </c>
      <c r="AD22" s="322">
        <v>1</v>
      </c>
      <c r="AE22" s="341">
        <f t="shared" si="14"/>
        <v>30000</v>
      </c>
      <c r="AF22" s="322">
        <v>1</v>
      </c>
      <c r="AG22" s="341">
        <f t="shared" si="15"/>
        <v>30000</v>
      </c>
      <c r="AH22" s="322">
        <v>1</v>
      </c>
      <c r="AI22" s="341">
        <f t="shared" si="16"/>
        <v>30000</v>
      </c>
      <c r="AJ22" s="322">
        <v>1</v>
      </c>
      <c r="AK22" s="341">
        <f t="shared" si="24"/>
        <v>30000</v>
      </c>
      <c r="AL22" s="322">
        <v>1</v>
      </c>
      <c r="AM22" s="341">
        <f t="shared" si="25"/>
        <v>30000</v>
      </c>
      <c r="AN22" s="322">
        <v>1</v>
      </c>
      <c r="AO22" s="341">
        <f t="shared" si="26"/>
        <v>30000</v>
      </c>
      <c r="AP22" s="322">
        <v>1</v>
      </c>
      <c r="AQ22" s="341">
        <f t="shared" si="17"/>
        <v>30000</v>
      </c>
      <c r="AR22" s="322">
        <v>1</v>
      </c>
      <c r="AS22" s="341">
        <f t="shared" si="27"/>
        <v>30000</v>
      </c>
      <c r="AT22" s="322">
        <v>1</v>
      </c>
      <c r="AU22" s="341">
        <f t="shared" si="28"/>
        <v>30000</v>
      </c>
      <c r="AV22" s="322">
        <v>1</v>
      </c>
      <c r="AW22" s="341">
        <f t="shared" si="29"/>
        <v>30000</v>
      </c>
      <c r="AX22" s="322">
        <v>1</v>
      </c>
      <c r="AY22" s="341">
        <f t="shared" si="30"/>
        <v>30000</v>
      </c>
      <c r="AZ22" s="322">
        <v>1</v>
      </c>
      <c r="BA22" s="341">
        <f t="shared" si="31"/>
        <v>30000</v>
      </c>
      <c r="BB22" s="322">
        <v>1</v>
      </c>
      <c r="BC22" s="341">
        <f t="shared" si="18"/>
        <v>30000</v>
      </c>
      <c r="BD22" s="322">
        <v>1</v>
      </c>
      <c r="BE22" s="341">
        <f t="shared" si="19"/>
        <v>30000</v>
      </c>
      <c r="BF22" s="322">
        <v>1</v>
      </c>
      <c r="BG22" s="341">
        <f t="shared" si="20"/>
        <v>30000</v>
      </c>
      <c r="BH22" s="322">
        <v>0</v>
      </c>
      <c r="BI22" s="341">
        <f t="shared" si="21"/>
        <v>0</v>
      </c>
      <c r="BJ22" s="322">
        <f t="shared" si="32"/>
        <v>17</v>
      </c>
      <c r="BK22" s="322">
        <f t="shared" si="32"/>
        <v>510000</v>
      </c>
      <c r="BL22" s="686" t="s">
        <v>209</v>
      </c>
      <c r="BN22" s="340"/>
      <c r="BO22" s="340"/>
      <c r="BP22" s="340">
        <f t="shared" ref="BP22:BP29" si="35">G22</f>
        <v>510000</v>
      </c>
      <c r="BQ22" s="340"/>
      <c r="BR22" s="340">
        <f t="shared" si="2"/>
        <v>510000</v>
      </c>
      <c r="BS22" s="340"/>
      <c r="BT22" s="340"/>
      <c r="BU22" s="652">
        <f t="shared" si="6"/>
        <v>0</v>
      </c>
      <c r="BV22" s="341">
        <f t="shared" si="3"/>
        <v>510000</v>
      </c>
    </row>
    <row r="23" spans="1:74" x14ac:dyDescent="0.25">
      <c r="A23" s="962"/>
      <c r="B23" s="269" t="s">
        <v>1079</v>
      </c>
      <c r="C23" s="344" t="s">
        <v>616</v>
      </c>
      <c r="D23" s="430" t="s">
        <v>100</v>
      </c>
      <c r="E23" s="343">
        <v>50000</v>
      </c>
      <c r="F23" s="685">
        <f t="shared" si="22"/>
        <v>0</v>
      </c>
      <c r="G23" s="338">
        <f t="shared" si="23"/>
        <v>0</v>
      </c>
      <c r="H23" s="338">
        <f t="shared" si="33"/>
        <v>0</v>
      </c>
      <c r="I23" s="338">
        <f t="shared" si="34"/>
        <v>0</v>
      </c>
      <c r="J23" s="338"/>
      <c r="K23" s="338"/>
      <c r="L23" s="338"/>
      <c r="M23" s="338"/>
      <c r="N23" s="338"/>
      <c r="O23" s="338"/>
      <c r="P23" s="338"/>
      <c r="Q23" s="338"/>
      <c r="R23" s="322"/>
      <c r="S23" s="322">
        <f>F23</f>
        <v>0</v>
      </c>
      <c r="T23" s="322"/>
      <c r="U23" s="322"/>
      <c r="V23" s="673">
        <f>R23*E23</f>
        <v>0</v>
      </c>
      <c r="W23" s="673">
        <f>S23*E23</f>
        <v>0</v>
      </c>
      <c r="X23" s="673">
        <f t="shared" si="11"/>
        <v>0</v>
      </c>
      <c r="Y23" s="673">
        <f t="shared" si="12"/>
        <v>0</v>
      </c>
      <c r="Z23" s="322">
        <v>0</v>
      </c>
      <c r="AA23" s="322">
        <f t="shared" si="0"/>
        <v>0</v>
      </c>
      <c r="AB23" s="322"/>
      <c r="AC23" s="341">
        <f t="shared" si="13"/>
        <v>0</v>
      </c>
      <c r="AD23" s="322"/>
      <c r="AE23" s="341">
        <f t="shared" si="14"/>
        <v>0</v>
      </c>
      <c r="AF23" s="322">
        <v>0</v>
      </c>
      <c r="AG23" s="341">
        <f t="shared" si="15"/>
        <v>0</v>
      </c>
      <c r="AH23" s="322"/>
      <c r="AI23" s="341">
        <f t="shared" si="16"/>
        <v>0</v>
      </c>
      <c r="AJ23" s="322">
        <v>0</v>
      </c>
      <c r="AK23" s="341">
        <f t="shared" si="24"/>
        <v>0</v>
      </c>
      <c r="AL23" s="322"/>
      <c r="AM23" s="341">
        <f t="shared" si="25"/>
        <v>0</v>
      </c>
      <c r="AN23" s="322"/>
      <c r="AO23" s="341">
        <f t="shared" si="26"/>
        <v>0</v>
      </c>
      <c r="AP23" s="322"/>
      <c r="AQ23" s="341">
        <f t="shared" si="17"/>
        <v>0</v>
      </c>
      <c r="AR23" s="322"/>
      <c r="AS23" s="341">
        <f t="shared" si="27"/>
        <v>0</v>
      </c>
      <c r="AT23" s="322"/>
      <c r="AU23" s="341">
        <f t="shared" si="28"/>
        <v>0</v>
      </c>
      <c r="AV23" s="322">
        <v>0</v>
      </c>
      <c r="AW23" s="341">
        <f t="shared" si="29"/>
        <v>0</v>
      </c>
      <c r="AX23" s="322"/>
      <c r="AY23" s="341">
        <f t="shared" si="30"/>
        <v>0</v>
      </c>
      <c r="AZ23" s="322"/>
      <c r="BA23" s="341">
        <f t="shared" si="31"/>
        <v>0</v>
      </c>
      <c r="BB23" s="322"/>
      <c r="BC23" s="341">
        <f t="shared" si="18"/>
        <v>0</v>
      </c>
      <c r="BD23" s="322"/>
      <c r="BE23" s="341">
        <f t="shared" si="19"/>
        <v>0</v>
      </c>
      <c r="BF23" s="322"/>
      <c r="BG23" s="341">
        <f t="shared" si="20"/>
        <v>0</v>
      </c>
      <c r="BH23" s="322"/>
      <c r="BI23" s="341">
        <f t="shared" si="21"/>
        <v>0</v>
      </c>
      <c r="BJ23" s="322">
        <f t="shared" si="32"/>
        <v>0</v>
      </c>
      <c r="BK23" s="322">
        <f t="shared" si="32"/>
        <v>0</v>
      </c>
      <c r="BL23" s="686" t="s">
        <v>209</v>
      </c>
      <c r="BN23" s="340"/>
      <c r="BO23" s="340"/>
      <c r="BP23" s="340">
        <f t="shared" si="35"/>
        <v>0</v>
      </c>
      <c r="BQ23" s="340"/>
      <c r="BR23" s="340">
        <f t="shared" si="2"/>
        <v>0</v>
      </c>
      <c r="BS23" s="340"/>
      <c r="BT23" s="340"/>
      <c r="BU23" s="652">
        <f t="shared" si="6"/>
        <v>0</v>
      </c>
      <c r="BV23" s="341">
        <f t="shared" si="3"/>
        <v>0</v>
      </c>
    </row>
    <row r="24" spans="1:74" x14ac:dyDescent="0.25">
      <c r="A24" s="962"/>
      <c r="B24" s="269" t="s">
        <v>1080</v>
      </c>
      <c r="C24" s="342" t="s">
        <v>560</v>
      </c>
      <c r="D24" s="430" t="s">
        <v>100</v>
      </c>
      <c r="E24" s="343">
        <v>30000</v>
      </c>
      <c r="F24" s="685">
        <f t="shared" si="22"/>
        <v>0</v>
      </c>
      <c r="G24" s="338">
        <f t="shared" si="23"/>
        <v>0</v>
      </c>
      <c r="H24" s="338">
        <f t="shared" si="33"/>
        <v>0</v>
      </c>
      <c r="I24" s="338">
        <f t="shared" si="34"/>
        <v>0</v>
      </c>
      <c r="J24" s="338"/>
      <c r="K24" s="338"/>
      <c r="L24" s="338"/>
      <c r="M24" s="338"/>
      <c r="N24" s="338"/>
      <c r="O24" s="338"/>
      <c r="P24" s="338"/>
      <c r="Q24" s="338"/>
      <c r="R24" s="322"/>
      <c r="S24" s="322">
        <f t="shared" ref="S24:S29" si="36">F24</f>
        <v>0</v>
      </c>
      <c r="T24" s="322"/>
      <c r="U24" s="322"/>
      <c r="V24" s="673">
        <f t="shared" ref="V24:V47" si="37">R24*E24</f>
        <v>0</v>
      </c>
      <c r="W24" s="673">
        <f t="shared" ref="W24:W47" si="38">S24*E24</f>
        <v>0</v>
      </c>
      <c r="X24" s="673">
        <f t="shared" ref="X24:X47" si="39">T24*E24</f>
        <v>0</v>
      </c>
      <c r="Y24" s="673">
        <f t="shared" ref="Y24:Y47" si="40">U24*E24</f>
        <v>0</v>
      </c>
      <c r="Z24" s="322">
        <v>0</v>
      </c>
      <c r="AA24" s="322">
        <f t="shared" si="0"/>
        <v>0</v>
      </c>
      <c r="AB24" s="322">
        <v>0</v>
      </c>
      <c r="AC24" s="341">
        <f t="shared" si="13"/>
        <v>0</v>
      </c>
      <c r="AD24" s="322">
        <v>0</v>
      </c>
      <c r="AE24" s="341">
        <f t="shared" si="14"/>
        <v>0</v>
      </c>
      <c r="AF24" s="322">
        <v>0</v>
      </c>
      <c r="AG24" s="341">
        <f t="shared" si="15"/>
        <v>0</v>
      </c>
      <c r="AH24" s="322">
        <v>0</v>
      </c>
      <c r="AI24" s="341">
        <f t="shared" si="16"/>
        <v>0</v>
      </c>
      <c r="AJ24" s="322">
        <v>0</v>
      </c>
      <c r="AK24" s="341">
        <f t="shared" si="24"/>
        <v>0</v>
      </c>
      <c r="AL24" s="322">
        <v>0</v>
      </c>
      <c r="AM24" s="341">
        <f t="shared" si="25"/>
        <v>0</v>
      </c>
      <c r="AN24" s="322">
        <v>0</v>
      </c>
      <c r="AO24" s="341">
        <f t="shared" si="26"/>
        <v>0</v>
      </c>
      <c r="AP24" s="322">
        <v>0</v>
      </c>
      <c r="AQ24" s="341">
        <f t="shared" si="17"/>
        <v>0</v>
      </c>
      <c r="AR24" s="322">
        <v>0</v>
      </c>
      <c r="AS24" s="341">
        <f t="shared" si="27"/>
        <v>0</v>
      </c>
      <c r="AT24" s="322">
        <v>0</v>
      </c>
      <c r="AU24" s="341">
        <f t="shared" si="28"/>
        <v>0</v>
      </c>
      <c r="AV24" s="322">
        <v>0</v>
      </c>
      <c r="AW24" s="341">
        <f t="shared" si="29"/>
        <v>0</v>
      </c>
      <c r="AX24" s="322">
        <v>0</v>
      </c>
      <c r="AY24" s="341">
        <f t="shared" si="30"/>
        <v>0</v>
      </c>
      <c r="AZ24" s="322">
        <v>0</v>
      </c>
      <c r="BA24" s="341">
        <f t="shared" si="31"/>
        <v>0</v>
      </c>
      <c r="BB24" s="322">
        <v>0</v>
      </c>
      <c r="BC24" s="341">
        <f t="shared" si="18"/>
        <v>0</v>
      </c>
      <c r="BD24" s="322">
        <v>0</v>
      </c>
      <c r="BE24" s="341">
        <f t="shared" si="19"/>
        <v>0</v>
      </c>
      <c r="BF24" s="322">
        <v>0</v>
      </c>
      <c r="BG24" s="341">
        <f t="shared" si="20"/>
        <v>0</v>
      </c>
      <c r="BH24" s="322">
        <v>0</v>
      </c>
      <c r="BI24" s="341">
        <f t="shared" si="21"/>
        <v>0</v>
      </c>
      <c r="BJ24" s="322">
        <f t="shared" si="32"/>
        <v>0</v>
      </c>
      <c r="BK24" s="322">
        <f t="shared" si="32"/>
        <v>0</v>
      </c>
      <c r="BL24" s="686" t="s">
        <v>209</v>
      </c>
      <c r="BN24" s="340"/>
      <c r="BO24" s="340"/>
      <c r="BP24" s="340">
        <f t="shared" si="35"/>
        <v>0</v>
      </c>
      <c r="BQ24" s="340"/>
      <c r="BR24" s="340">
        <f t="shared" si="2"/>
        <v>0</v>
      </c>
      <c r="BS24" s="340"/>
      <c r="BT24" s="340"/>
      <c r="BU24" s="652">
        <f t="shared" si="6"/>
        <v>0</v>
      </c>
      <c r="BV24" s="341">
        <f t="shared" si="3"/>
        <v>0</v>
      </c>
    </row>
    <row r="25" spans="1:74" s="359" customFormat="1" x14ac:dyDescent="0.25">
      <c r="A25" s="962"/>
      <c r="B25" s="269" t="s">
        <v>1081</v>
      </c>
      <c r="C25" s="342" t="s">
        <v>105</v>
      </c>
      <c r="D25" s="430" t="s">
        <v>100</v>
      </c>
      <c r="E25" s="343">
        <v>50000</v>
      </c>
      <c r="F25" s="685">
        <f t="shared" si="22"/>
        <v>0</v>
      </c>
      <c r="G25" s="338">
        <f t="shared" si="23"/>
        <v>0</v>
      </c>
      <c r="H25" s="338">
        <f t="shared" si="33"/>
        <v>0</v>
      </c>
      <c r="I25" s="338">
        <f t="shared" si="34"/>
        <v>0</v>
      </c>
      <c r="J25" s="435"/>
      <c r="K25" s="435"/>
      <c r="L25" s="435"/>
      <c r="M25" s="435"/>
      <c r="N25" s="435"/>
      <c r="O25" s="435"/>
      <c r="P25" s="435"/>
      <c r="Q25" s="435"/>
      <c r="R25" s="410"/>
      <c r="S25" s="410">
        <f t="shared" si="36"/>
        <v>0</v>
      </c>
      <c r="T25" s="410"/>
      <c r="U25" s="410"/>
      <c r="V25" s="673">
        <f t="shared" si="37"/>
        <v>0</v>
      </c>
      <c r="W25" s="673">
        <f t="shared" si="38"/>
        <v>0</v>
      </c>
      <c r="X25" s="673">
        <f t="shared" si="39"/>
        <v>0</v>
      </c>
      <c r="Y25" s="673">
        <f t="shared" si="40"/>
        <v>0</v>
      </c>
      <c r="Z25" s="410">
        <v>0</v>
      </c>
      <c r="AA25" s="322">
        <f t="shared" si="0"/>
        <v>0</v>
      </c>
      <c r="AB25" s="410"/>
      <c r="AC25" s="341">
        <f t="shared" si="13"/>
        <v>0</v>
      </c>
      <c r="AD25" s="410"/>
      <c r="AE25" s="341">
        <f t="shared" si="14"/>
        <v>0</v>
      </c>
      <c r="AF25" s="410">
        <v>0</v>
      </c>
      <c r="AG25" s="341">
        <f t="shared" si="15"/>
        <v>0</v>
      </c>
      <c r="AH25" s="410"/>
      <c r="AI25" s="341">
        <f t="shared" si="16"/>
        <v>0</v>
      </c>
      <c r="AJ25" s="322">
        <v>0</v>
      </c>
      <c r="AK25" s="341">
        <f t="shared" si="24"/>
        <v>0</v>
      </c>
      <c r="AL25" s="410"/>
      <c r="AM25" s="341">
        <f t="shared" si="25"/>
        <v>0</v>
      </c>
      <c r="AN25" s="410"/>
      <c r="AO25" s="341">
        <f t="shared" si="26"/>
        <v>0</v>
      </c>
      <c r="AP25" s="410"/>
      <c r="AQ25" s="341">
        <f t="shared" si="17"/>
        <v>0</v>
      </c>
      <c r="AR25" s="410"/>
      <c r="AS25" s="341">
        <f t="shared" si="27"/>
        <v>0</v>
      </c>
      <c r="AT25" s="410"/>
      <c r="AU25" s="341">
        <f t="shared" si="28"/>
        <v>0</v>
      </c>
      <c r="AV25" s="410"/>
      <c r="AW25" s="341">
        <f t="shared" si="29"/>
        <v>0</v>
      </c>
      <c r="AX25" s="410"/>
      <c r="AY25" s="341">
        <f t="shared" si="30"/>
        <v>0</v>
      </c>
      <c r="AZ25" s="410"/>
      <c r="BA25" s="341">
        <f t="shared" si="31"/>
        <v>0</v>
      </c>
      <c r="BB25" s="410"/>
      <c r="BC25" s="341">
        <f t="shared" si="18"/>
        <v>0</v>
      </c>
      <c r="BD25" s="410">
        <v>0</v>
      </c>
      <c r="BE25" s="341">
        <f t="shared" si="19"/>
        <v>0</v>
      </c>
      <c r="BF25" s="410"/>
      <c r="BG25" s="341">
        <f t="shared" si="20"/>
        <v>0</v>
      </c>
      <c r="BH25" s="410"/>
      <c r="BI25" s="341">
        <f t="shared" si="21"/>
        <v>0</v>
      </c>
      <c r="BJ25" s="322">
        <f t="shared" si="32"/>
        <v>0</v>
      </c>
      <c r="BK25" s="322">
        <f t="shared" si="32"/>
        <v>0</v>
      </c>
      <c r="BL25" s="686" t="s">
        <v>209</v>
      </c>
      <c r="BN25" s="251"/>
      <c r="BO25" s="251"/>
      <c r="BP25" s="340">
        <f t="shared" si="35"/>
        <v>0</v>
      </c>
      <c r="BQ25" s="251"/>
      <c r="BR25" s="340">
        <f t="shared" si="2"/>
        <v>0</v>
      </c>
      <c r="BS25" s="251"/>
      <c r="BT25" s="251"/>
      <c r="BU25" s="652">
        <f t="shared" si="6"/>
        <v>0</v>
      </c>
      <c r="BV25" s="341">
        <f t="shared" si="3"/>
        <v>0</v>
      </c>
    </row>
    <row r="26" spans="1:74" x14ac:dyDescent="0.25">
      <c r="A26" s="962"/>
      <c r="B26" s="269" t="s">
        <v>1082</v>
      </c>
      <c r="C26" s="342" t="s">
        <v>131</v>
      </c>
      <c r="D26" s="430" t="s">
        <v>100</v>
      </c>
      <c r="E26" s="343">
        <v>2500</v>
      </c>
      <c r="F26" s="685">
        <f t="shared" si="22"/>
        <v>0</v>
      </c>
      <c r="G26" s="338">
        <f t="shared" si="23"/>
        <v>0</v>
      </c>
      <c r="H26" s="338">
        <f t="shared" si="33"/>
        <v>0</v>
      </c>
      <c r="I26" s="338">
        <f t="shared" si="34"/>
        <v>0</v>
      </c>
      <c r="J26" s="338"/>
      <c r="K26" s="338"/>
      <c r="L26" s="338"/>
      <c r="M26" s="338"/>
      <c r="N26" s="338"/>
      <c r="O26" s="338"/>
      <c r="P26" s="338"/>
      <c r="Q26" s="338"/>
      <c r="R26" s="322"/>
      <c r="S26" s="322">
        <f t="shared" si="36"/>
        <v>0</v>
      </c>
      <c r="T26" s="322"/>
      <c r="U26" s="322"/>
      <c r="V26" s="673">
        <f t="shared" si="37"/>
        <v>0</v>
      </c>
      <c r="W26" s="673">
        <f t="shared" si="38"/>
        <v>0</v>
      </c>
      <c r="X26" s="673">
        <f t="shared" si="39"/>
        <v>0</v>
      </c>
      <c r="Y26" s="673">
        <f t="shared" si="40"/>
        <v>0</v>
      </c>
      <c r="Z26" s="322">
        <v>0</v>
      </c>
      <c r="AA26" s="322">
        <f t="shared" si="0"/>
        <v>0</v>
      </c>
      <c r="AB26" s="322">
        <v>0</v>
      </c>
      <c r="AC26" s="341">
        <f t="shared" si="13"/>
        <v>0</v>
      </c>
      <c r="AD26" s="322"/>
      <c r="AE26" s="341">
        <f t="shared" si="14"/>
        <v>0</v>
      </c>
      <c r="AF26" s="322">
        <v>0</v>
      </c>
      <c r="AG26" s="341">
        <f t="shared" si="15"/>
        <v>0</v>
      </c>
      <c r="AH26" s="322"/>
      <c r="AI26" s="341">
        <f t="shared" si="16"/>
        <v>0</v>
      </c>
      <c r="AJ26" s="322">
        <v>0</v>
      </c>
      <c r="AK26" s="341">
        <f t="shared" si="24"/>
        <v>0</v>
      </c>
      <c r="AL26" s="322"/>
      <c r="AM26" s="341">
        <f t="shared" si="25"/>
        <v>0</v>
      </c>
      <c r="AN26" s="322"/>
      <c r="AO26" s="341">
        <f t="shared" si="26"/>
        <v>0</v>
      </c>
      <c r="AP26" s="322"/>
      <c r="AQ26" s="341">
        <f t="shared" si="17"/>
        <v>0</v>
      </c>
      <c r="AR26" s="322"/>
      <c r="AS26" s="341">
        <f t="shared" si="27"/>
        <v>0</v>
      </c>
      <c r="AT26" s="322"/>
      <c r="AU26" s="341">
        <f t="shared" si="28"/>
        <v>0</v>
      </c>
      <c r="AV26" s="322"/>
      <c r="AW26" s="341">
        <f t="shared" si="29"/>
        <v>0</v>
      </c>
      <c r="AX26" s="322"/>
      <c r="AY26" s="341">
        <f t="shared" si="30"/>
        <v>0</v>
      </c>
      <c r="AZ26" s="322"/>
      <c r="BA26" s="341">
        <f t="shared" si="31"/>
        <v>0</v>
      </c>
      <c r="BB26" s="322"/>
      <c r="BC26" s="341">
        <f t="shared" si="18"/>
        <v>0</v>
      </c>
      <c r="BD26" s="322"/>
      <c r="BE26" s="341">
        <f t="shared" si="19"/>
        <v>0</v>
      </c>
      <c r="BF26" s="322"/>
      <c r="BG26" s="341">
        <f t="shared" si="20"/>
        <v>0</v>
      </c>
      <c r="BH26" s="322"/>
      <c r="BI26" s="341">
        <f t="shared" si="21"/>
        <v>0</v>
      </c>
      <c r="BJ26" s="322">
        <f t="shared" si="32"/>
        <v>0</v>
      </c>
      <c r="BK26" s="322">
        <f t="shared" si="32"/>
        <v>0</v>
      </c>
      <c r="BL26" s="686" t="s">
        <v>209</v>
      </c>
      <c r="BN26" s="340"/>
      <c r="BO26" s="340"/>
      <c r="BP26" s="340">
        <f t="shared" si="35"/>
        <v>0</v>
      </c>
      <c r="BQ26" s="340"/>
      <c r="BR26" s="340">
        <f t="shared" si="2"/>
        <v>0</v>
      </c>
      <c r="BS26" s="340"/>
      <c r="BT26" s="340"/>
      <c r="BU26" s="652">
        <f t="shared" si="6"/>
        <v>0</v>
      </c>
      <c r="BV26" s="341">
        <f t="shared" si="3"/>
        <v>0</v>
      </c>
    </row>
    <row r="27" spans="1:74" x14ac:dyDescent="0.25">
      <c r="A27" s="962"/>
      <c r="B27" s="269" t="s">
        <v>1083</v>
      </c>
      <c r="C27" s="342" t="s">
        <v>103</v>
      </c>
      <c r="D27" s="430" t="s">
        <v>100</v>
      </c>
      <c r="E27" s="343">
        <v>300000</v>
      </c>
      <c r="F27" s="685">
        <f t="shared" si="22"/>
        <v>0</v>
      </c>
      <c r="G27" s="338">
        <f t="shared" si="23"/>
        <v>0</v>
      </c>
      <c r="H27" s="338">
        <f t="shared" si="33"/>
        <v>0</v>
      </c>
      <c r="I27" s="338">
        <f t="shared" si="34"/>
        <v>0</v>
      </c>
      <c r="J27" s="338"/>
      <c r="K27" s="338"/>
      <c r="L27" s="338"/>
      <c r="M27" s="338"/>
      <c r="N27" s="338"/>
      <c r="O27" s="338"/>
      <c r="P27" s="338"/>
      <c r="Q27" s="338"/>
      <c r="R27" s="322"/>
      <c r="S27" s="322">
        <f t="shared" si="36"/>
        <v>0</v>
      </c>
      <c r="T27" s="322"/>
      <c r="U27" s="322"/>
      <c r="V27" s="673">
        <f t="shared" si="37"/>
        <v>0</v>
      </c>
      <c r="W27" s="673">
        <f t="shared" si="38"/>
        <v>0</v>
      </c>
      <c r="X27" s="673">
        <f t="shared" si="39"/>
        <v>0</v>
      </c>
      <c r="Y27" s="673">
        <f t="shared" si="40"/>
        <v>0</v>
      </c>
      <c r="Z27" s="322">
        <v>0</v>
      </c>
      <c r="AA27" s="322">
        <f t="shared" si="0"/>
        <v>0</v>
      </c>
      <c r="AB27" s="322"/>
      <c r="AC27" s="341">
        <f t="shared" si="13"/>
        <v>0</v>
      </c>
      <c r="AD27" s="322"/>
      <c r="AE27" s="341">
        <f t="shared" si="14"/>
        <v>0</v>
      </c>
      <c r="AF27" s="322">
        <v>0</v>
      </c>
      <c r="AG27" s="341">
        <f t="shared" si="15"/>
        <v>0</v>
      </c>
      <c r="AH27" s="322"/>
      <c r="AI27" s="341">
        <f t="shared" si="16"/>
        <v>0</v>
      </c>
      <c r="AJ27" s="322">
        <v>0</v>
      </c>
      <c r="AK27" s="341">
        <f t="shared" si="24"/>
        <v>0</v>
      </c>
      <c r="AL27" s="322"/>
      <c r="AM27" s="341">
        <f t="shared" si="25"/>
        <v>0</v>
      </c>
      <c r="AN27" s="322"/>
      <c r="AO27" s="341">
        <f t="shared" si="26"/>
        <v>0</v>
      </c>
      <c r="AP27" s="322"/>
      <c r="AQ27" s="341">
        <f t="shared" si="17"/>
        <v>0</v>
      </c>
      <c r="AR27" s="322"/>
      <c r="AS27" s="341">
        <f t="shared" si="27"/>
        <v>0</v>
      </c>
      <c r="AT27" s="322"/>
      <c r="AU27" s="341">
        <f t="shared" si="28"/>
        <v>0</v>
      </c>
      <c r="AV27" s="322"/>
      <c r="AW27" s="341">
        <f t="shared" si="29"/>
        <v>0</v>
      </c>
      <c r="AX27" s="322"/>
      <c r="AY27" s="341">
        <f t="shared" si="30"/>
        <v>0</v>
      </c>
      <c r="AZ27" s="322"/>
      <c r="BA27" s="341">
        <f t="shared" si="31"/>
        <v>0</v>
      </c>
      <c r="BB27" s="322"/>
      <c r="BC27" s="341">
        <f t="shared" si="18"/>
        <v>0</v>
      </c>
      <c r="BD27" s="322"/>
      <c r="BE27" s="341">
        <f t="shared" si="19"/>
        <v>0</v>
      </c>
      <c r="BF27" s="322"/>
      <c r="BG27" s="341">
        <f t="shared" si="20"/>
        <v>0</v>
      </c>
      <c r="BH27" s="322"/>
      <c r="BI27" s="341">
        <f t="shared" si="21"/>
        <v>0</v>
      </c>
      <c r="BJ27" s="322">
        <f t="shared" si="32"/>
        <v>0</v>
      </c>
      <c r="BK27" s="322">
        <f t="shared" si="32"/>
        <v>0</v>
      </c>
      <c r="BL27" s="686" t="s">
        <v>209</v>
      </c>
      <c r="BN27" s="340"/>
      <c r="BO27" s="340"/>
      <c r="BP27" s="340">
        <f t="shared" si="35"/>
        <v>0</v>
      </c>
      <c r="BQ27" s="340"/>
      <c r="BR27" s="340">
        <f t="shared" si="2"/>
        <v>0</v>
      </c>
      <c r="BS27" s="340"/>
      <c r="BT27" s="340"/>
      <c r="BU27" s="652">
        <f t="shared" si="6"/>
        <v>0</v>
      </c>
      <c r="BV27" s="341">
        <f t="shared" si="3"/>
        <v>0</v>
      </c>
    </row>
    <row r="28" spans="1:74" x14ac:dyDescent="0.25">
      <c r="A28" s="962"/>
      <c r="B28" s="269" t="s">
        <v>1084</v>
      </c>
      <c r="C28" s="342" t="s">
        <v>104</v>
      </c>
      <c r="D28" s="430" t="s">
        <v>100</v>
      </c>
      <c r="E28" s="343">
        <v>250000</v>
      </c>
      <c r="F28" s="685">
        <f t="shared" si="22"/>
        <v>0</v>
      </c>
      <c r="G28" s="338">
        <f t="shared" si="23"/>
        <v>0</v>
      </c>
      <c r="H28" s="338">
        <f t="shared" si="33"/>
        <v>0</v>
      </c>
      <c r="I28" s="338">
        <f t="shared" si="34"/>
        <v>0</v>
      </c>
      <c r="J28" s="338"/>
      <c r="K28" s="338"/>
      <c r="L28" s="338"/>
      <c r="M28" s="338"/>
      <c r="N28" s="338"/>
      <c r="O28" s="338"/>
      <c r="P28" s="338"/>
      <c r="Q28" s="338"/>
      <c r="R28" s="322"/>
      <c r="S28" s="322">
        <f t="shared" si="36"/>
        <v>0</v>
      </c>
      <c r="T28" s="322"/>
      <c r="U28" s="322"/>
      <c r="V28" s="673">
        <f t="shared" si="37"/>
        <v>0</v>
      </c>
      <c r="W28" s="673">
        <f t="shared" si="38"/>
        <v>0</v>
      </c>
      <c r="X28" s="673">
        <f t="shared" si="39"/>
        <v>0</v>
      </c>
      <c r="Y28" s="673">
        <f t="shared" si="40"/>
        <v>0</v>
      </c>
      <c r="Z28" s="322">
        <v>0</v>
      </c>
      <c r="AA28" s="322">
        <f t="shared" si="0"/>
        <v>0</v>
      </c>
      <c r="AB28" s="322">
        <v>0</v>
      </c>
      <c r="AC28" s="341">
        <f t="shared" si="13"/>
        <v>0</v>
      </c>
      <c r="AD28" s="322"/>
      <c r="AE28" s="341">
        <f t="shared" si="14"/>
        <v>0</v>
      </c>
      <c r="AF28" s="322">
        <v>0</v>
      </c>
      <c r="AG28" s="341">
        <f t="shared" si="15"/>
        <v>0</v>
      </c>
      <c r="AH28" s="322"/>
      <c r="AI28" s="341">
        <f t="shared" si="16"/>
        <v>0</v>
      </c>
      <c r="AJ28" s="322">
        <v>0</v>
      </c>
      <c r="AK28" s="341">
        <f t="shared" si="24"/>
        <v>0</v>
      </c>
      <c r="AL28" s="322"/>
      <c r="AM28" s="341">
        <f t="shared" si="25"/>
        <v>0</v>
      </c>
      <c r="AN28" s="322"/>
      <c r="AO28" s="341">
        <f t="shared" si="26"/>
        <v>0</v>
      </c>
      <c r="AP28" s="322"/>
      <c r="AQ28" s="341">
        <f t="shared" si="17"/>
        <v>0</v>
      </c>
      <c r="AR28" s="322"/>
      <c r="AS28" s="341">
        <f t="shared" si="27"/>
        <v>0</v>
      </c>
      <c r="AT28" s="322"/>
      <c r="AU28" s="341">
        <f t="shared" si="28"/>
        <v>0</v>
      </c>
      <c r="AV28" s="322"/>
      <c r="AW28" s="341">
        <f t="shared" si="29"/>
        <v>0</v>
      </c>
      <c r="AX28" s="322"/>
      <c r="AY28" s="341">
        <f t="shared" si="30"/>
        <v>0</v>
      </c>
      <c r="AZ28" s="322"/>
      <c r="BA28" s="341">
        <f t="shared" si="31"/>
        <v>0</v>
      </c>
      <c r="BB28" s="322"/>
      <c r="BC28" s="341">
        <f t="shared" si="18"/>
        <v>0</v>
      </c>
      <c r="BD28" s="322"/>
      <c r="BE28" s="341">
        <f t="shared" si="19"/>
        <v>0</v>
      </c>
      <c r="BF28" s="322"/>
      <c r="BG28" s="341">
        <f t="shared" si="20"/>
        <v>0</v>
      </c>
      <c r="BH28" s="322"/>
      <c r="BI28" s="341">
        <f t="shared" si="21"/>
        <v>0</v>
      </c>
      <c r="BJ28" s="322">
        <f t="shared" si="32"/>
        <v>0</v>
      </c>
      <c r="BK28" s="322">
        <f t="shared" si="32"/>
        <v>0</v>
      </c>
      <c r="BL28" s="686" t="s">
        <v>209</v>
      </c>
      <c r="BN28" s="340"/>
      <c r="BO28" s="340"/>
      <c r="BP28" s="340">
        <f t="shared" si="35"/>
        <v>0</v>
      </c>
      <c r="BQ28" s="340"/>
      <c r="BR28" s="340">
        <f t="shared" si="2"/>
        <v>0</v>
      </c>
      <c r="BS28" s="340"/>
      <c r="BT28" s="340"/>
      <c r="BU28" s="652">
        <f t="shared" si="6"/>
        <v>0</v>
      </c>
      <c r="BV28" s="341">
        <f t="shared" si="3"/>
        <v>0</v>
      </c>
    </row>
    <row r="29" spans="1:74" ht="31.5" x14ac:dyDescent="0.25">
      <c r="A29" s="962"/>
      <c r="B29" s="269" t="s">
        <v>1085</v>
      </c>
      <c r="C29" s="344" t="s">
        <v>958</v>
      </c>
      <c r="D29" s="430" t="s">
        <v>16</v>
      </c>
      <c r="E29" s="343">
        <v>150000</v>
      </c>
      <c r="F29" s="685">
        <f t="shared" si="22"/>
        <v>0</v>
      </c>
      <c r="G29" s="338">
        <f t="shared" si="23"/>
        <v>0</v>
      </c>
      <c r="H29" s="338">
        <f t="shared" si="33"/>
        <v>0</v>
      </c>
      <c r="I29" s="338">
        <f t="shared" si="34"/>
        <v>0</v>
      </c>
      <c r="J29" s="338"/>
      <c r="K29" s="338"/>
      <c r="L29" s="338"/>
      <c r="M29" s="338"/>
      <c r="N29" s="338"/>
      <c r="O29" s="338"/>
      <c r="P29" s="338"/>
      <c r="Q29" s="338"/>
      <c r="R29" s="322"/>
      <c r="S29" s="322">
        <f t="shared" si="36"/>
        <v>0</v>
      </c>
      <c r="T29" s="322"/>
      <c r="U29" s="322"/>
      <c r="V29" s="673">
        <f t="shared" si="37"/>
        <v>0</v>
      </c>
      <c r="W29" s="673">
        <f t="shared" si="38"/>
        <v>0</v>
      </c>
      <c r="X29" s="673">
        <f t="shared" si="39"/>
        <v>0</v>
      </c>
      <c r="Y29" s="673">
        <f t="shared" si="40"/>
        <v>0</v>
      </c>
      <c r="Z29" s="322">
        <v>0</v>
      </c>
      <c r="AA29" s="322">
        <f t="shared" si="0"/>
        <v>0</v>
      </c>
      <c r="AB29" s="322">
        <v>0</v>
      </c>
      <c r="AC29" s="341">
        <f t="shared" si="13"/>
        <v>0</v>
      </c>
      <c r="AD29" s="322">
        <v>0</v>
      </c>
      <c r="AE29" s="341">
        <f t="shared" si="14"/>
        <v>0</v>
      </c>
      <c r="AF29" s="322">
        <v>0</v>
      </c>
      <c r="AG29" s="341">
        <f t="shared" si="15"/>
        <v>0</v>
      </c>
      <c r="AH29" s="322">
        <v>0</v>
      </c>
      <c r="AI29" s="341">
        <f t="shared" si="16"/>
        <v>0</v>
      </c>
      <c r="AJ29" s="322">
        <v>0</v>
      </c>
      <c r="AK29" s="341">
        <f t="shared" si="24"/>
        <v>0</v>
      </c>
      <c r="AL29" s="322">
        <v>0</v>
      </c>
      <c r="AM29" s="341">
        <f t="shared" si="25"/>
        <v>0</v>
      </c>
      <c r="AN29" s="322">
        <v>0</v>
      </c>
      <c r="AO29" s="341">
        <f t="shared" si="26"/>
        <v>0</v>
      </c>
      <c r="AP29" s="322">
        <v>0</v>
      </c>
      <c r="AQ29" s="341">
        <f t="shared" si="17"/>
        <v>0</v>
      </c>
      <c r="AR29" s="322">
        <v>0</v>
      </c>
      <c r="AS29" s="341">
        <f t="shared" si="27"/>
        <v>0</v>
      </c>
      <c r="AT29" s="322">
        <v>0</v>
      </c>
      <c r="AU29" s="341">
        <f t="shared" si="28"/>
        <v>0</v>
      </c>
      <c r="AV29" s="322">
        <v>0</v>
      </c>
      <c r="AW29" s="341">
        <f t="shared" si="29"/>
        <v>0</v>
      </c>
      <c r="AX29" s="322">
        <v>0</v>
      </c>
      <c r="AY29" s="341">
        <f t="shared" si="30"/>
        <v>0</v>
      </c>
      <c r="AZ29" s="322">
        <v>0</v>
      </c>
      <c r="BA29" s="341">
        <f t="shared" si="31"/>
        <v>0</v>
      </c>
      <c r="BB29" s="322">
        <v>0</v>
      </c>
      <c r="BC29" s="341">
        <f t="shared" si="18"/>
        <v>0</v>
      </c>
      <c r="BD29" s="322">
        <v>0</v>
      </c>
      <c r="BE29" s="341">
        <f t="shared" si="19"/>
        <v>0</v>
      </c>
      <c r="BF29" s="322">
        <v>0</v>
      </c>
      <c r="BG29" s="341">
        <f t="shared" si="20"/>
        <v>0</v>
      </c>
      <c r="BH29" s="322"/>
      <c r="BI29" s="341">
        <f t="shared" si="21"/>
        <v>0</v>
      </c>
      <c r="BJ29" s="322">
        <f t="shared" si="32"/>
        <v>0</v>
      </c>
      <c r="BK29" s="322">
        <f t="shared" si="32"/>
        <v>0</v>
      </c>
      <c r="BL29" s="686" t="s">
        <v>209</v>
      </c>
      <c r="BN29" s="340"/>
      <c r="BO29" s="340"/>
      <c r="BP29" s="340">
        <f t="shared" si="35"/>
        <v>0</v>
      </c>
      <c r="BQ29" s="340"/>
      <c r="BR29" s="340">
        <f t="shared" si="2"/>
        <v>0</v>
      </c>
      <c r="BS29" s="340"/>
      <c r="BT29" s="340"/>
      <c r="BU29" s="652">
        <f t="shared" si="6"/>
        <v>0</v>
      </c>
      <c r="BV29" s="341">
        <f t="shared" si="3"/>
        <v>0</v>
      </c>
    </row>
    <row r="30" spans="1:74" s="317" customFormat="1" ht="24.2" customHeight="1" x14ac:dyDescent="0.25">
      <c r="A30" s="962"/>
      <c r="B30" s="382"/>
      <c r="C30" s="335" t="s">
        <v>348</v>
      </c>
      <c r="D30" s="358"/>
      <c r="E30" s="354"/>
      <c r="F30" s="700">
        <f>SUM(F18:F29)</f>
        <v>494</v>
      </c>
      <c r="G30" s="700">
        <f t="shared" ref="G30:BR30" si="41">SUM(G18:G29)</f>
        <v>13560000</v>
      </c>
      <c r="H30" s="700">
        <f t="shared" si="41"/>
        <v>6504000</v>
      </c>
      <c r="I30" s="700">
        <f t="shared" si="41"/>
        <v>7056000</v>
      </c>
      <c r="J30" s="700">
        <f t="shared" si="41"/>
        <v>0</v>
      </c>
      <c r="K30" s="700">
        <f t="shared" si="41"/>
        <v>0</v>
      </c>
      <c r="L30" s="700">
        <f t="shared" si="41"/>
        <v>0</v>
      </c>
      <c r="M30" s="700">
        <f t="shared" si="41"/>
        <v>0</v>
      </c>
      <c r="N30" s="700">
        <f t="shared" si="41"/>
        <v>0</v>
      </c>
      <c r="O30" s="700">
        <f t="shared" si="41"/>
        <v>0</v>
      </c>
      <c r="P30" s="700">
        <f t="shared" si="41"/>
        <v>0</v>
      </c>
      <c r="Q30" s="700">
        <f t="shared" si="41"/>
        <v>0</v>
      </c>
      <c r="R30" s="700">
        <f t="shared" si="41"/>
        <v>120</v>
      </c>
      <c r="S30" s="700">
        <f t="shared" si="41"/>
        <v>135</v>
      </c>
      <c r="T30" s="700">
        <f t="shared" si="41"/>
        <v>120</v>
      </c>
      <c r="U30" s="700">
        <f t="shared" si="41"/>
        <v>119</v>
      </c>
      <c r="V30" s="700">
        <f t="shared" si="41"/>
        <v>3315000</v>
      </c>
      <c r="W30" s="700">
        <f t="shared" si="41"/>
        <v>3725000</v>
      </c>
      <c r="X30" s="700">
        <f t="shared" si="41"/>
        <v>3275000</v>
      </c>
      <c r="Y30" s="700">
        <f t="shared" si="41"/>
        <v>3245000</v>
      </c>
      <c r="Z30" s="700">
        <f t="shared" si="41"/>
        <v>29</v>
      </c>
      <c r="AA30" s="700">
        <f t="shared" si="41"/>
        <v>830000</v>
      </c>
      <c r="AB30" s="700">
        <f t="shared" si="41"/>
        <v>29</v>
      </c>
      <c r="AC30" s="700">
        <f t="shared" si="41"/>
        <v>830000</v>
      </c>
      <c r="AD30" s="700">
        <f t="shared" si="41"/>
        <v>29</v>
      </c>
      <c r="AE30" s="700">
        <f t="shared" si="41"/>
        <v>830000</v>
      </c>
      <c r="AF30" s="700">
        <f t="shared" si="41"/>
        <v>29</v>
      </c>
      <c r="AG30" s="700">
        <f t="shared" si="41"/>
        <v>830000</v>
      </c>
      <c r="AH30" s="700">
        <f t="shared" si="41"/>
        <v>29</v>
      </c>
      <c r="AI30" s="700">
        <f t="shared" si="41"/>
        <v>830000</v>
      </c>
      <c r="AJ30" s="700">
        <f t="shared" si="41"/>
        <v>29</v>
      </c>
      <c r="AK30" s="700">
        <f t="shared" si="41"/>
        <v>830000</v>
      </c>
      <c r="AL30" s="700">
        <f t="shared" si="41"/>
        <v>29</v>
      </c>
      <c r="AM30" s="700">
        <f t="shared" si="41"/>
        <v>710000</v>
      </c>
      <c r="AN30" s="700">
        <f t="shared" si="41"/>
        <v>29</v>
      </c>
      <c r="AO30" s="700">
        <f t="shared" si="41"/>
        <v>710000</v>
      </c>
      <c r="AP30" s="700">
        <f t="shared" si="41"/>
        <v>29</v>
      </c>
      <c r="AQ30" s="700">
        <f t="shared" si="41"/>
        <v>830000</v>
      </c>
      <c r="AR30" s="700">
        <f t="shared" si="41"/>
        <v>29</v>
      </c>
      <c r="AS30" s="700">
        <f t="shared" si="41"/>
        <v>710000</v>
      </c>
      <c r="AT30" s="700">
        <f t="shared" si="41"/>
        <v>29</v>
      </c>
      <c r="AU30" s="700">
        <f t="shared" si="41"/>
        <v>710000</v>
      </c>
      <c r="AV30" s="700">
        <f t="shared" si="41"/>
        <v>29</v>
      </c>
      <c r="AW30" s="700">
        <f t="shared" si="41"/>
        <v>890000</v>
      </c>
      <c r="AX30" s="700">
        <f t="shared" si="41"/>
        <v>30</v>
      </c>
      <c r="AY30" s="700">
        <f t="shared" si="41"/>
        <v>900000</v>
      </c>
      <c r="AZ30" s="700">
        <f t="shared" si="41"/>
        <v>29</v>
      </c>
      <c r="BA30" s="700">
        <f t="shared" si="41"/>
        <v>630000</v>
      </c>
      <c r="BB30" s="700">
        <f t="shared" si="41"/>
        <v>29</v>
      </c>
      <c r="BC30" s="700">
        <f t="shared" si="41"/>
        <v>830000</v>
      </c>
      <c r="BD30" s="700">
        <f t="shared" si="41"/>
        <v>29</v>
      </c>
      <c r="BE30" s="700">
        <f t="shared" si="41"/>
        <v>830000</v>
      </c>
      <c r="BF30" s="700">
        <f t="shared" si="41"/>
        <v>29</v>
      </c>
      <c r="BG30" s="700">
        <f t="shared" si="41"/>
        <v>830000</v>
      </c>
      <c r="BH30" s="700">
        <f t="shared" si="41"/>
        <v>0</v>
      </c>
      <c r="BI30" s="700">
        <f t="shared" si="41"/>
        <v>0</v>
      </c>
      <c r="BJ30" s="700">
        <f t="shared" si="41"/>
        <v>494</v>
      </c>
      <c r="BK30" s="700">
        <f t="shared" si="41"/>
        <v>13560000</v>
      </c>
      <c r="BL30" s="700">
        <f t="shared" si="41"/>
        <v>0</v>
      </c>
      <c r="BM30" s="700">
        <f t="shared" si="41"/>
        <v>0</v>
      </c>
      <c r="BN30" s="700">
        <f t="shared" si="41"/>
        <v>0</v>
      </c>
      <c r="BO30" s="700">
        <f t="shared" si="41"/>
        <v>0</v>
      </c>
      <c r="BP30" s="700">
        <f t="shared" si="41"/>
        <v>580000</v>
      </c>
      <c r="BQ30" s="700">
        <f t="shared" si="41"/>
        <v>0</v>
      </c>
      <c r="BR30" s="700">
        <f t="shared" si="41"/>
        <v>580000</v>
      </c>
      <c r="BS30" s="700">
        <f>SUM(BS18:BS29)</f>
        <v>0</v>
      </c>
      <c r="BT30" s="700">
        <f>SUM(BT18:BT29)</f>
        <v>12980000</v>
      </c>
      <c r="BU30" s="700">
        <f>SUM(BU18:BU29)</f>
        <v>12980000</v>
      </c>
      <c r="BV30" s="700">
        <f>SUM(BV18:BV29)</f>
        <v>13560000</v>
      </c>
    </row>
    <row r="31" spans="1:74" ht="31.5" x14ac:dyDescent="0.25">
      <c r="A31" s="962"/>
      <c r="B31" s="269" t="s">
        <v>1086</v>
      </c>
      <c r="C31" s="408" t="s">
        <v>318</v>
      </c>
      <c r="D31" s="408" t="s">
        <v>334</v>
      </c>
      <c r="E31" s="699"/>
      <c r="F31" s="691"/>
      <c r="G31" s="338"/>
      <c r="H31" s="338"/>
      <c r="I31" s="338"/>
      <c r="J31" s="338"/>
      <c r="K31" s="338"/>
      <c r="L31" s="338"/>
      <c r="M31" s="338"/>
      <c r="N31" s="338"/>
      <c r="O31" s="338"/>
      <c r="P31" s="338"/>
      <c r="Q31" s="338"/>
      <c r="R31" s="322"/>
      <c r="S31" s="322"/>
      <c r="T31" s="322"/>
      <c r="U31" s="322"/>
      <c r="V31" s="673"/>
      <c r="W31" s="673"/>
      <c r="X31" s="673"/>
      <c r="Y31" s="673"/>
      <c r="Z31" s="322"/>
      <c r="AA31" s="322"/>
      <c r="AB31" s="322"/>
      <c r="AC31" s="341"/>
      <c r="AD31" s="322"/>
      <c r="AE31" s="341"/>
      <c r="AF31" s="322"/>
      <c r="AG31" s="341"/>
      <c r="AH31" s="322"/>
      <c r="AI31" s="341"/>
      <c r="AJ31" s="322"/>
      <c r="AK31" s="341"/>
      <c r="AL31" s="322"/>
      <c r="AM31" s="341"/>
      <c r="AN31" s="322"/>
      <c r="AO31" s="341"/>
      <c r="AP31" s="322"/>
      <c r="AQ31" s="341"/>
      <c r="AR31" s="322"/>
      <c r="AS31" s="341"/>
      <c r="AT31" s="322"/>
      <c r="AU31" s="341"/>
      <c r="AV31" s="322"/>
      <c r="AW31" s="341"/>
      <c r="AX31" s="322"/>
      <c r="AY31" s="341"/>
      <c r="AZ31" s="322"/>
      <c r="BA31" s="341"/>
      <c r="BB31" s="322"/>
      <c r="BC31" s="341"/>
      <c r="BD31" s="322"/>
      <c r="BE31" s="341"/>
      <c r="BF31" s="322"/>
      <c r="BG31" s="341"/>
      <c r="BH31" s="322"/>
      <c r="BI31" s="341"/>
      <c r="BJ31" s="322"/>
      <c r="BK31" s="651"/>
      <c r="BL31" s="686"/>
      <c r="BN31" s="340"/>
      <c r="BO31" s="340"/>
      <c r="BP31" s="353">
        <f>G31</f>
        <v>0</v>
      </c>
      <c r="BQ31" s="340"/>
      <c r="BR31" s="340">
        <f t="shared" ref="BR31:BR47" si="42">BN31+BO31+BP31+BQ31</f>
        <v>0</v>
      </c>
      <c r="BS31" s="340"/>
      <c r="BT31" s="340"/>
      <c r="BU31" s="652">
        <f t="shared" ref="BU31:BU54" si="43">BS31+BT31</f>
        <v>0</v>
      </c>
      <c r="BV31" s="341">
        <f t="shared" si="3"/>
        <v>0</v>
      </c>
    </row>
    <row r="32" spans="1:74" ht="31.5" x14ac:dyDescent="0.25">
      <c r="A32" s="962"/>
      <c r="B32" s="269" t="s">
        <v>1087</v>
      </c>
      <c r="C32" s="408" t="s">
        <v>319</v>
      </c>
      <c r="D32" s="408" t="s">
        <v>334</v>
      </c>
      <c r="E32" s="699"/>
      <c r="F32" s="691"/>
      <c r="G32" s="338"/>
      <c r="H32" s="338"/>
      <c r="I32" s="338"/>
      <c r="J32" s="338"/>
      <c r="K32" s="338"/>
      <c r="L32" s="338"/>
      <c r="M32" s="338"/>
      <c r="N32" s="338"/>
      <c r="O32" s="338"/>
      <c r="P32" s="338"/>
      <c r="Q32" s="338"/>
      <c r="R32" s="322"/>
      <c r="S32" s="322"/>
      <c r="T32" s="322"/>
      <c r="U32" s="322"/>
      <c r="V32" s="673"/>
      <c r="W32" s="673"/>
      <c r="X32" s="673"/>
      <c r="Y32" s="673"/>
      <c r="Z32" s="322"/>
      <c r="AA32" s="322"/>
      <c r="AB32" s="322"/>
      <c r="AC32" s="341"/>
      <c r="AD32" s="322"/>
      <c r="AE32" s="341"/>
      <c r="AF32" s="322"/>
      <c r="AG32" s="341"/>
      <c r="AH32" s="322"/>
      <c r="AI32" s="341"/>
      <c r="AJ32" s="322"/>
      <c r="AK32" s="341"/>
      <c r="AL32" s="322"/>
      <c r="AM32" s="341"/>
      <c r="AN32" s="322"/>
      <c r="AO32" s="341"/>
      <c r="AP32" s="322"/>
      <c r="AQ32" s="341"/>
      <c r="AR32" s="322"/>
      <c r="AS32" s="341"/>
      <c r="AT32" s="322"/>
      <c r="AU32" s="341"/>
      <c r="AV32" s="322"/>
      <c r="AW32" s="341"/>
      <c r="AX32" s="322"/>
      <c r="AY32" s="341"/>
      <c r="AZ32" s="322"/>
      <c r="BA32" s="341"/>
      <c r="BB32" s="322"/>
      <c r="BC32" s="341"/>
      <c r="BD32" s="322"/>
      <c r="BE32" s="341"/>
      <c r="BF32" s="322"/>
      <c r="BG32" s="341"/>
      <c r="BH32" s="322"/>
      <c r="BI32" s="341"/>
      <c r="BJ32" s="322"/>
      <c r="BK32" s="651"/>
      <c r="BL32" s="686"/>
      <c r="BN32" s="340"/>
      <c r="BO32" s="340"/>
      <c r="BP32" s="353">
        <f>G32</f>
        <v>0</v>
      </c>
      <c r="BQ32" s="340"/>
      <c r="BR32" s="340">
        <f t="shared" si="42"/>
        <v>0</v>
      </c>
      <c r="BS32" s="340"/>
      <c r="BT32" s="340"/>
      <c r="BU32" s="652">
        <f t="shared" si="43"/>
        <v>0</v>
      </c>
      <c r="BV32" s="341">
        <f t="shared" si="3"/>
        <v>0</v>
      </c>
    </row>
    <row r="33" spans="1:74" ht="31.5" x14ac:dyDescent="0.25">
      <c r="A33" s="962"/>
      <c r="B33" s="269" t="s">
        <v>1088</v>
      </c>
      <c r="C33" s="408" t="s">
        <v>320</v>
      </c>
      <c r="D33" s="408" t="s">
        <v>334</v>
      </c>
      <c r="E33" s="699"/>
      <c r="F33" s="691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8"/>
      <c r="R33" s="322"/>
      <c r="S33" s="322"/>
      <c r="T33" s="322"/>
      <c r="U33" s="322"/>
      <c r="V33" s="673"/>
      <c r="W33" s="673"/>
      <c r="X33" s="673"/>
      <c r="Y33" s="673"/>
      <c r="Z33" s="322"/>
      <c r="AA33" s="322"/>
      <c r="AB33" s="322"/>
      <c r="AC33" s="341"/>
      <c r="AD33" s="322"/>
      <c r="AE33" s="341"/>
      <c r="AF33" s="322"/>
      <c r="AG33" s="341"/>
      <c r="AH33" s="322"/>
      <c r="AI33" s="341"/>
      <c r="AJ33" s="322"/>
      <c r="AK33" s="341"/>
      <c r="AL33" s="322"/>
      <c r="AM33" s="341"/>
      <c r="AN33" s="322"/>
      <c r="AO33" s="341"/>
      <c r="AP33" s="322"/>
      <c r="AQ33" s="341"/>
      <c r="AR33" s="322"/>
      <c r="AS33" s="341"/>
      <c r="AT33" s="322"/>
      <c r="AU33" s="341"/>
      <c r="AV33" s="322"/>
      <c r="AW33" s="341"/>
      <c r="AX33" s="322"/>
      <c r="AY33" s="341"/>
      <c r="AZ33" s="322"/>
      <c r="BA33" s="341"/>
      <c r="BB33" s="322"/>
      <c r="BC33" s="341"/>
      <c r="BD33" s="322"/>
      <c r="BE33" s="341"/>
      <c r="BF33" s="322"/>
      <c r="BG33" s="341"/>
      <c r="BH33" s="322"/>
      <c r="BI33" s="341"/>
      <c r="BJ33" s="322"/>
      <c r="BK33" s="651"/>
      <c r="BL33" s="686"/>
      <c r="BN33" s="340"/>
      <c r="BO33" s="340"/>
      <c r="BP33" s="353">
        <f>G33</f>
        <v>0</v>
      </c>
      <c r="BQ33" s="340"/>
      <c r="BR33" s="340">
        <f t="shared" si="42"/>
        <v>0</v>
      </c>
      <c r="BS33" s="340"/>
      <c r="BT33" s="340"/>
      <c r="BU33" s="652">
        <f t="shared" si="43"/>
        <v>0</v>
      </c>
      <c r="BV33" s="341">
        <f t="shared" si="3"/>
        <v>0</v>
      </c>
    </row>
    <row r="34" spans="1:74" ht="31.5" x14ac:dyDescent="0.25">
      <c r="A34" s="962"/>
      <c r="B34" s="269" t="s">
        <v>1089</v>
      </c>
      <c r="C34" s="342" t="s">
        <v>321</v>
      </c>
      <c r="D34" s="408" t="s">
        <v>334</v>
      </c>
      <c r="E34" s="343">
        <v>50000</v>
      </c>
      <c r="F34" s="691">
        <f>BJ34</f>
        <v>204</v>
      </c>
      <c r="G34" s="338">
        <f>F34*E34</f>
        <v>10200000</v>
      </c>
      <c r="H34" s="338">
        <f>G34*0.5</f>
        <v>5100000</v>
      </c>
      <c r="I34" s="338">
        <f>G34*0.5</f>
        <v>5100000</v>
      </c>
      <c r="J34" s="338"/>
      <c r="K34" s="338"/>
      <c r="L34" s="338"/>
      <c r="M34" s="338"/>
      <c r="N34" s="338"/>
      <c r="O34" s="338"/>
      <c r="P34" s="338"/>
      <c r="Q34" s="338"/>
      <c r="R34" s="322">
        <f>F34*0.25</f>
        <v>51</v>
      </c>
      <c r="S34" s="322">
        <f>F34*0.25</f>
        <v>51</v>
      </c>
      <c r="T34" s="322">
        <f>F34*0.25</f>
        <v>51</v>
      </c>
      <c r="U34" s="322">
        <f>F34*0.25</f>
        <v>51</v>
      </c>
      <c r="V34" s="673">
        <f t="shared" si="37"/>
        <v>2550000</v>
      </c>
      <c r="W34" s="673">
        <f t="shared" si="38"/>
        <v>2550000</v>
      </c>
      <c r="X34" s="673">
        <f t="shared" si="39"/>
        <v>2550000</v>
      </c>
      <c r="Y34" s="673">
        <f t="shared" si="40"/>
        <v>2550000</v>
      </c>
      <c r="Z34" s="322">
        <v>12</v>
      </c>
      <c r="AA34" s="322">
        <f t="shared" ref="AA34:AA47" si="44">Z34*E34</f>
        <v>600000</v>
      </c>
      <c r="AB34" s="322">
        <v>12</v>
      </c>
      <c r="AC34" s="341">
        <f t="shared" ref="AC34:AC47" si="45">AB34*E34</f>
        <v>600000</v>
      </c>
      <c r="AD34" s="322">
        <v>12</v>
      </c>
      <c r="AE34" s="341">
        <f t="shared" ref="AE34:AE47" si="46">AD34*E34</f>
        <v>600000</v>
      </c>
      <c r="AF34" s="322">
        <v>12</v>
      </c>
      <c r="AG34" s="341">
        <f t="shared" ref="AG34:AG47" si="47">AF34*E34</f>
        <v>600000</v>
      </c>
      <c r="AH34" s="322">
        <v>12</v>
      </c>
      <c r="AI34" s="341">
        <f t="shared" ref="AI34:AI47" si="48">AH34*E34</f>
        <v>600000</v>
      </c>
      <c r="AJ34" s="322">
        <v>12</v>
      </c>
      <c r="AK34" s="341">
        <f>AJ34*E34</f>
        <v>600000</v>
      </c>
      <c r="AL34" s="322">
        <v>12</v>
      </c>
      <c r="AM34" s="341">
        <f t="shared" ref="AM34:AM47" si="49">AL34*E34</f>
        <v>600000</v>
      </c>
      <c r="AN34" s="322">
        <v>12</v>
      </c>
      <c r="AO34" s="341">
        <f>AN34*E34</f>
        <v>600000</v>
      </c>
      <c r="AP34" s="322">
        <v>12</v>
      </c>
      <c r="AQ34" s="341">
        <f t="shared" ref="AQ34:AQ47" si="50">AP34*E34</f>
        <v>600000</v>
      </c>
      <c r="AR34" s="322">
        <v>12</v>
      </c>
      <c r="AS34" s="341">
        <f t="shared" ref="AS34:AS47" si="51">AR34*E34</f>
        <v>600000</v>
      </c>
      <c r="AT34" s="322">
        <v>12</v>
      </c>
      <c r="AU34" s="341">
        <f>AT34*E34</f>
        <v>600000</v>
      </c>
      <c r="AV34" s="322">
        <v>12</v>
      </c>
      <c r="AW34" s="341">
        <f>AV34*E34</f>
        <v>600000</v>
      </c>
      <c r="AX34" s="322">
        <v>12</v>
      </c>
      <c r="AY34" s="341">
        <f>AX34*E34</f>
        <v>600000</v>
      </c>
      <c r="AZ34" s="322">
        <v>12</v>
      </c>
      <c r="BA34" s="341">
        <f>AZ34*E34</f>
        <v>600000</v>
      </c>
      <c r="BB34" s="322">
        <v>12</v>
      </c>
      <c r="BC34" s="341">
        <f t="shared" ref="BC34:BC47" si="52">BB34*E34</f>
        <v>600000</v>
      </c>
      <c r="BD34" s="322">
        <v>12</v>
      </c>
      <c r="BE34" s="341">
        <f t="shared" ref="BE34:BE47" si="53">BD34*E34</f>
        <v>600000</v>
      </c>
      <c r="BF34" s="322">
        <v>12</v>
      </c>
      <c r="BG34" s="341">
        <f t="shared" ref="BG34:BG47" si="54">BF34*E34</f>
        <v>600000</v>
      </c>
      <c r="BH34" s="322"/>
      <c r="BI34" s="341">
        <f t="shared" ref="BI34:BI47" si="55">BH34*E34</f>
        <v>0</v>
      </c>
      <c r="BJ34" s="322">
        <f t="shared" ref="BJ34:BK47" si="56">BH34+BF34+BD34+BB34+AZ34+AX34+AV34+AT34+AR34+AP34+AN34+AL34+AJ34+AH34+AF34+AD34+AB34+Z34</f>
        <v>204</v>
      </c>
      <c r="BK34" s="322">
        <f t="shared" si="56"/>
        <v>10200000</v>
      </c>
      <c r="BL34" s="686" t="s">
        <v>211</v>
      </c>
      <c r="BN34" s="340"/>
      <c r="BO34" s="340"/>
      <c r="BP34" s="353"/>
      <c r="BQ34" s="340"/>
      <c r="BR34" s="340">
        <f t="shared" si="42"/>
        <v>0</v>
      </c>
      <c r="BS34" s="340">
        <f>G34</f>
        <v>10200000</v>
      </c>
      <c r="BT34" s="340"/>
      <c r="BU34" s="652">
        <f t="shared" si="43"/>
        <v>10200000</v>
      </c>
      <c r="BV34" s="341">
        <f t="shared" si="3"/>
        <v>10200000</v>
      </c>
    </row>
    <row r="35" spans="1:74" ht="31.5" x14ac:dyDescent="0.25">
      <c r="A35" s="962"/>
      <c r="B35" s="269" t="s">
        <v>1090</v>
      </c>
      <c r="C35" s="342" t="s">
        <v>132</v>
      </c>
      <c r="D35" s="408" t="s">
        <v>334</v>
      </c>
      <c r="E35" s="343">
        <v>50000</v>
      </c>
      <c r="F35" s="691">
        <f t="shared" ref="F35:F47" si="57">BJ35</f>
        <v>204</v>
      </c>
      <c r="G35" s="338">
        <f t="shared" ref="G35:G47" si="58">F35*E35</f>
        <v>10200000</v>
      </c>
      <c r="H35" s="338">
        <f t="shared" ref="H35:H46" si="59">G35*0.5</f>
        <v>5100000</v>
      </c>
      <c r="I35" s="338">
        <f t="shared" ref="I35:I46" si="60">G35*0.5</f>
        <v>5100000</v>
      </c>
      <c r="J35" s="338"/>
      <c r="K35" s="338"/>
      <c r="L35" s="338"/>
      <c r="M35" s="338"/>
      <c r="N35" s="338"/>
      <c r="O35" s="338"/>
      <c r="P35" s="338"/>
      <c r="Q35" s="338"/>
      <c r="R35" s="322">
        <f t="shared" ref="R35:R47" si="61">F35*0.25</f>
        <v>51</v>
      </c>
      <c r="S35" s="322">
        <f t="shared" ref="S35:S47" si="62">F35*0.25</f>
        <v>51</v>
      </c>
      <c r="T35" s="322">
        <f t="shared" ref="T35:T47" si="63">F35*0.25</f>
        <v>51</v>
      </c>
      <c r="U35" s="322">
        <f t="shared" ref="U35:U47" si="64">F35*0.25</f>
        <v>51</v>
      </c>
      <c r="V35" s="673">
        <f t="shared" si="37"/>
        <v>2550000</v>
      </c>
      <c r="W35" s="673">
        <f t="shared" si="38"/>
        <v>2550000</v>
      </c>
      <c r="X35" s="673">
        <f t="shared" si="39"/>
        <v>2550000</v>
      </c>
      <c r="Y35" s="673">
        <f t="shared" si="40"/>
        <v>2550000</v>
      </c>
      <c r="Z35" s="322">
        <v>12</v>
      </c>
      <c r="AA35" s="322">
        <f t="shared" si="44"/>
        <v>600000</v>
      </c>
      <c r="AB35" s="322">
        <v>12</v>
      </c>
      <c r="AC35" s="341">
        <f t="shared" si="45"/>
        <v>600000</v>
      </c>
      <c r="AD35" s="322">
        <v>12</v>
      </c>
      <c r="AE35" s="341">
        <f t="shared" si="46"/>
        <v>600000</v>
      </c>
      <c r="AF35" s="322">
        <v>12</v>
      </c>
      <c r="AG35" s="341">
        <f t="shared" si="47"/>
        <v>600000</v>
      </c>
      <c r="AH35" s="322">
        <v>12</v>
      </c>
      <c r="AI35" s="341">
        <f t="shared" si="48"/>
        <v>600000</v>
      </c>
      <c r="AJ35" s="322">
        <v>12</v>
      </c>
      <c r="AK35" s="341">
        <f t="shared" ref="AK35:AK47" si="65">AJ35*E35</f>
        <v>600000</v>
      </c>
      <c r="AL35" s="322">
        <v>12</v>
      </c>
      <c r="AM35" s="341">
        <f t="shared" si="49"/>
        <v>600000</v>
      </c>
      <c r="AN35" s="322">
        <v>12</v>
      </c>
      <c r="AO35" s="341">
        <f t="shared" ref="AO35:AO47" si="66">AN35*E35</f>
        <v>600000</v>
      </c>
      <c r="AP35" s="322">
        <v>12</v>
      </c>
      <c r="AQ35" s="341">
        <f t="shared" si="50"/>
        <v>600000</v>
      </c>
      <c r="AR35" s="322">
        <v>12</v>
      </c>
      <c r="AS35" s="341">
        <f t="shared" si="51"/>
        <v>600000</v>
      </c>
      <c r="AT35" s="322">
        <v>12</v>
      </c>
      <c r="AU35" s="341">
        <f t="shared" ref="AU35:AU47" si="67">AT35*E35</f>
        <v>600000</v>
      </c>
      <c r="AV35" s="322">
        <v>12</v>
      </c>
      <c r="AW35" s="341">
        <f t="shared" ref="AW35:AW47" si="68">AV35*E35</f>
        <v>600000</v>
      </c>
      <c r="AX35" s="322">
        <v>12</v>
      </c>
      <c r="AY35" s="341">
        <f t="shared" ref="AY35:AY47" si="69">AX35*E35</f>
        <v>600000</v>
      </c>
      <c r="AZ35" s="322">
        <v>12</v>
      </c>
      <c r="BA35" s="341">
        <f t="shared" ref="BA35:BA47" si="70">AZ35*E35</f>
        <v>600000</v>
      </c>
      <c r="BB35" s="322">
        <v>12</v>
      </c>
      <c r="BC35" s="341">
        <f t="shared" si="52"/>
        <v>600000</v>
      </c>
      <c r="BD35" s="322">
        <v>12</v>
      </c>
      <c r="BE35" s="341">
        <f t="shared" si="53"/>
        <v>600000</v>
      </c>
      <c r="BF35" s="322">
        <v>12</v>
      </c>
      <c r="BG35" s="341">
        <f t="shared" si="54"/>
        <v>600000</v>
      </c>
      <c r="BH35" s="322"/>
      <c r="BI35" s="341">
        <f t="shared" si="55"/>
        <v>0</v>
      </c>
      <c r="BJ35" s="322">
        <f t="shared" si="56"/>
        <v>204</v>
      </c>
      <c r="BK35" s="322">
        <f t="shared" si="56"/>
        <v>10200000</v>
      </c>
      <c r="BL35" s="686" t="s">
        <v>211</v>
      </c>
      <c r="BN35" s="340"/>
      <c r="BO35" s="340"/>
      <c r="BP35" s="353"/>
      <c r="BQ35" s="340"/>
      <c r="BR35" s="340">
        <f t="shared" si="42"/>
        <v>0</v>
      </c>
      <c r="BS35" s="340">
        <f t="shared" ref="BS35:BS47" si="71">G35</f>
        <v>10200000</v>
      </c>
      <c r="BT35" s="340"/>
      <c r="BU35" s="652">
        <f t="shared" si="43"/>
        <v>10200000</v>
      </c>
      <c r="BV35" s="341">
        <f t="shared" si="3"/>
        <v>10200000</v>
      </c>
    </row>
    <row r="36" spans="1:74" ht="31.5" x14ac:dyDescent="0.25">
      <c r="A36" s="962"/>
      <c r="B36" s="269" t="s">
        <v>1091</v>
      </c>
      <c r="C36" s="342" t="s">
        <v>322</v>
      </c>
      <c r="D36" s="408" t="s">
        <v>334</v>
      </c>
      <c r="E36" s="343">
        <v>0</v>
      </c>
      <c r="F36" s="691">
        <f t="shared" si="57"/>
        <v>168</v>
      </c>
      <c r="G36" s="338">
        <f t="shared" si="58"/>
        <v>0</v>
      </c>
      <c r="H36" s="338">
        <f t="shared" si="59"/>
        <v>0</v>
      </c>
      <c r="I36" s="338">
        <f t="shared" si="60"/>
        <v>0</v>
      </c>
      <c r="J36" s="338"/>
      <c r="K36" s="338"/>
      <c r="L36" s="338"/>
      <c r="M36" s="338"/>
      <c r="N36" s="338"/>
      <c r="O36" s="338"/>
      <c r="P36" s="338"/>
      <c r="Q36" s="338"/>
      <c r="R36" s="322">
        <f t="shared" si="61"/>
        <v>42</v>
      </c>
      <c r="S36" s="322">
        <f t="shared" si="62"/>
        <v>42</v>
      </c>
      <c r="T36" s="322">
        <f t="shared" si="63"/>
        <v>42</v>
      </c>
      <c r="U36" s="322">
        <f t="shared" si="64"/>
        <v>42</v>
      </c>
      <c r="V36" s="673">
        <f t="shared" si="37"/>
        <v>0</v>
      </c>
      <c r="W36" s="673">
        <f t="shared" si="38"/>
        <v>0</v>
      </c>
      <c r="X36" s="673">
        <f t="shared" si="39"/>
        <v>0</v>
      </c>
      <c r="Y36" s="673">
        <f t="shared" si="40"/>
        <v>0</v>
      </c>
      <c r="Z36" s="322">
        <v>10</v>
      </c>
      <c r="AA36" s="322">
        <f t="shared" si="44"/>
        <v>0</v>
      </c>
      <c r="AB36" s="322">
        <v>10</v>
      </c>
      <c r="AC36" s="341">
        <f t="shared" si="45"/>
        <v>0</v>
      </c>
      <c r="AD36" s="322">
        <v>11</v>
      </c>
      <c r="AE36" s="341">
        <f t="shared" si="46"/>
        <v>0</v>
      </c>
      <c r="AF36" s="322">
        <v>10</v>
      </c>
      <c r="AG36" s="341">
        <f t="shared" si="47"/>
        <v>0</v>
      </c>
      <c r="AH36" s="322">
        <v>11</v>
      </c>
      <c r="AI36" s="341">
        <f t="shared" si="48"/>
        <v>0</v>
      </c>
      <c r="AJ36" s="322">
        <v>11</v>
      </c>
      <c r="AK36" s="341">
        <f t="shared" si="65"/>
        <v>0</v>
      </c>
      <c r="AL36" s="322">
        <v>11</v>
      </c>
      <c r="AM36" s="341">
        <f t="shared" si="49"/>
        <v>0</v>
      </c>
      <c r="AN36" s="322">
        <v>11</v>
      </c>
      <c r="AO36" s="341">
        <f t="shared" si="66"/>
        <v>0</v>
      </c>
      <c r="AP36" s="322">
        <v>0</v>
      </c>
      <c r="AQ36" s="341">
        <f t="shared" si="50"/>
        <v>0</v>
      </c>
      <c r="AR36" s="322">
        <v>10</v>
      </c>
      <c r="AS36" s="341">
        <f t="shared" si="51"/>
        <v>0</v>
      </c>
      <c r="AT36" s="322">
        <v>11</v>
      </c>
      <c r="AU36" s="341">
        <f t="shared" si="67"/>
        <v>0</v>
      </c>
      <c r="AV36" s="322">
        <v>10</v>
      </c>
      <c r="AW36" s="341">
        <f t="shared" si="68"/>
        <v>0</v>
      </c>
      <c r="AX36" s="322">
        <v>10</v>
      </c>
      <c r="AY36" s="341">
        <f t="shared" si="69"/>
        <v>0</v>
      </c>
      <c r="AZ36" s="322">
        <v>11</v>
      </c>
      <c r="BA36" s="341">
        <f t="shared" si="70"/>
        <v>0</v>
      </c>
      <c r="BB36" s="322">
        <v>11</v>
      </c>
      <c r="BC36" s="341">
        <f t="shared" si="52"/>
        <v>0</v>
      </c>
      <c r="BD36" s="322">
        <v>10</v>
      </c>
      <c r="BE36" s="341">
        <f t="shared" si="53"/>
        <v>0</v>
      </c>
      <c r="BF36" s="322">
        <v>10</v>
      </c>
      <c r="BG36" s="341">
        <f t="shared" si="54"/>
        <v>0</v>
      </c>
      <c r="BH36" s="322"/>
      <c r="BI36" s="341">
        <f t="shared" si="55"/>
        <v>0</v>
      </c>
      <c r="BJ36" s="322">
        <f t="shared" si="56"/>
        <v>168</v>
      </c>
      <c r="BK36" s="322">
        <f t="shared" si="56"/>
        <v>0</v>
      </c>
      <c r="BL36" s="686" t="s">
        <v>211</v>
      </c>
      <c r="BN36" s="340"/>
      <c r="BO36" s="340"/>
      <c r="BP36" s="353"/>
      <c r="BQ36" s="340"/>
      <c r="BR36" s="340">
        <f t="shared" si="42"/>
        <v>0</v>
      </c>
      <c r="BS36" s="340">
        <f t="shared" si="71"/>
        <v>0</v>
      </c>
      <c r="BT36" s="340"/>
      <c r="BU36" s="652">
        <f t="shared" si="43"/>
        <v>0</v>
      </c>
      <c r="BV36" s="341">
        <f t="shared" si="3"/>
        <v>0</v>
      </c>
    </row>
    <row r="37" spans="1:74" ht="31.5" x14ac:dyDescent="0.25">
      <c r="A37" s="962"/>
      <c r="B37" s="269" t="s">
        <v>1092</v>
      </c>
      <c r="C37" s="342" t="s">
        <v>323</v>
      </c>
      <c r="D37" s="408" t="s">
        <v>334</v>
      </c>
      <c r="E37" s="343">
        <v>50000</v>
      </c>
      <c r="F37" s="691">
        <f t="shared" si="57"/>
        <v>0</v>
      </c>
      <c r="G37" s="338">
        <f t="shared" si="58"/>
        <v>0</v>
      </c>
      <c r="H37" s="338">
        <f t="shared" si="59"/>
        <v>0</v>
      </c>
      <c r="I37" s="338">
        <f t="shared" si="60"/>
        <v>0</v>
      </c>
      <c r="J37" s="338"/>
      <c r="K37" s="338"/>
      <c r="L37" s="338"/>
      <c r="M37" s="338"/>
      <c r="N37" s="338"/>
      <c r="O37" s="338"/>
      <c r="P37" s="338"/>
      <c r="Q37" s="338"/>
      <c r="R37" s="322">
        <f t="shared" si="61"/>
        <v>0</v>
      </c>
      <c r="S37" s="322">
        <f t="shared" si="62"/>
        <v>0</v>
      </c>
      <c r="T37" s="322">
        <f t="shared" si="63"/>
        <v>0</v>
      </c>
      <c r="U37" s="322">
        <f t="shared" si="64"/>
        <v>0</v>
      </c>
      <c r="V37" s="673">
        <f t="shared" si="37"/>
        <v>0</v>
      </c>
      <c r="W37" s="673">
        <f t="shared" si="38"/>
        <v>0</v>
      </c>
      <c r="X37" s="673">
        <f t="shared" si="39"/>
        <v>0</v>
      </c>
      <c r="Y37" s="673">
        <f t="shared" si="40"/>
        <v>0</v>
      </c>
      <c r="Z37" s="322">
        <v>0</v>
      </c>
      <c r="AA37" s="322">
        <f t="shared" si="44"/>
        <v>0</v>
      </c>
      <c r="AB37" s="322">
        <v>0</v>
      </c>
      <c r="AC37" s="341">
        <f t="shared" si="45"/>
        <v>0</v>
      </c>
      <c r="AD37" s="322">
        <v>0</v>
      </c>
      <c r="AE37" s="341">
        <f t="shared" si="46"/>
        <v>0</v>
      </c>
      <c r="AF37" s="322">
        <v>0</v>
      </c>
      <c r="AG37" s="341">
        <f t="shared" si="47"/>
        <v>0</v>
      </c>
      <c r="AH37" s="322">
        <v>0</v>
      </c>
      <c r="AI37" s="341">
        <f t="shared" si="48"/>
        <v>0</v>
      </c>
      <c r="AJ37" s="322">
        <v>0</v>
      </c>
      <c r="AK37" s="341">
        <f t="shared" si="65"/>
        <v>0</v>
      </c>
      <c r="AL37" s="322">
        <v>0</v>
      </c>
      <c r="AM37" s="341">
        <f t="shared" si="49"/>
        <v>0</v>
      </c>
      <c r="AN37" s="322">
        <v>0</v>
      </c>
      <c r="AO37" s="341">
        <f t="shared" si="66"/>
        <v>0</v>
      </c>
      <c r="AP37" s="322">
        <v>0</v>
      </c>
      <c r="AQ37" s="341">
        <f t="shared" si="50"/>
        <v>0</v>
      </c>
      <c r="AR37" s="322">
        <v>0</v>
      </c>
      <c r="AS37" s="341">
        <f t="shared" si="51"/>
        <v>0</v>
      </c>
      <c r="AT37" s="322">
        <v>0</v>
      </c>
      <c r="AU37" s="341">
        <f t="shared" si="67"/>
        <v>0</v>
      </c>
      <c r="AV37" s="322">
        <v>0</v>
      </c>
      <c r="AW37" s="341">
        <f t="shared" si="68"/>
        <v>0</v>
      </c>
      <c r="AX37" s="322">
        <v>0</v>
      </c>
      <c r="AY37" s="341">
        <f t="shared" si="69"/>
        <v>0</v>
      </c>
      <c r="AZ37" s="322">
        <v>0</v>
      </c>
      <c r="BA37" s="341">
        <f t="shared" si="70"/>
        <v>0</v>
      </c>
      <c r="BB37" s="322">
        <v>0</v>
      </c>
      <c r="BC37" s="341">
        <f t="shared" si="52"/>
        <v>0</v>
      </c>
      <c r="BD37" s="322">
        <v>0</v>
      </c>
      <c r="BE37" s="341">
        <f t="shared" si="53"/>
        <v>0</v>
      </c>
      <c r="BF37" s="322">
        <v>0</v>
      </c>
      <c r="BG37" s="341">
        <f t="shared" si="54"/>
        <v>0</v>
      </c>
      <c r="BH37" s="322"/>
      <c r="BI37" s="341">
        <f t="shared" si="55"/>
        <v>0</v>
      </c>
      <c r="BJ37" s="322">
        <f t="shared" si="56"/>
        <v>0</v>
      </c>
      <c r="BK37" s="322">
        <f t="shared" si="56"/>
        <v>0</v>
      </c>
      <c r="BL37" s="686" t="s">
        <v>211</v>
      </c>
      <c r="BN37" s="340"/>
      <c r="BO37" s="340"/>
      <c r="BP37" s="353"/>
      <c r="BQ37" s="340"/>
      <c r="BR37" s="340">
        <f t="shared" si="42"/>
        <v>0</v>
      </c>
      <c r="BS37" s="340">
        <f t="shared" si="71"/>
        <v>0</v>
      </c>
      <c r="BT37" s="340"/>
      <c r="BU37" s="652">
        <f t="shared" si="43"/>
        <v>0</v>
      </c>
      <c r="BV37" s="341">
        <f t="shared" si="3"/>
        <v>0</v>
      </c>
    </row>
    <row r="38" spans="1:74" ht="31.5" x14ac:dyDescent="0.25">
      <c r="A38" s="962"/>
      <c r="B38" s="269" t="s">
        <v>1093</v>
      </c>
      <c r="C38" s="342" t="s">
        <v>500</v>
      </c>
      <c r="D38" s="408" t="s">
        <v>334</v>
      </c>
      <c r="E38" s="343">
        <v>15000</v>
      </c>
      <c r="F38" s="691">
        <f t="shared" si="57"/>
        <v>0</v>
      </c>
      <c r="G38" s="338">
        <f t="shared" si="58"/>
        <v>0</v>
      </c>
      <c r="H38" s="338">
        <f t="shared" si="59"/>
        <v>0</v>
      </c>
      <c r="I38" s="338">
        <f t="shared" si="60"/>
        <v>0</v>
      </c>
      <c r="J38" s="338"/>
      <c r="K38" s="338"/>
      <c r="L38" s="338"/>
      <c r="M38" s="338"/>
      <c r="N38" s="338"/>
      <c r="O38" s="338"/>
      <c r="P38" s="338"/>
      <c r="Q38" s="338"/>
      <c r="R38" s="322">
        <f t="shared" si="61"/>
        <v>0</v>
      </c>
      <c r="S38" s="322">
        <f t="shared" si="62"/>
        <v>0</v>
      </c>
      <c r="T38" s="322">
        <f t="shared" si="63"/>
        <v>0</v>
      </c>
      <c r="U38" s="322">
        <f t="shared" si="64"/>
        <v>0</v>
      </c>
      <c r="V38" s="673">
        <f t="shared" si="37"/>
        <v>0</v>
      </c>
      <c r="W38" s="673">
        <f t="shared" si="38"/>
        <v>0</v>
      </c>
      <c r="X38" s="673">
        <f t="shared" si="39"/>
        <v>0</v>
      </c>
      <c r="Y38" s="673">
        <f t="shared" si="40"/>
        <v>0</v>
      </c>
      <c r="Z38" s="322">
        <v>0</v>
      </c>
      <c r="AA38" s="322">
        <f t="shared" si="44"/>
        <v>0</v>
      </c>
      <c r="AB38" s="322">
        <v>0</v>
      </c>
      <c r="AC38" s="341">
        <f t="shared" si="45"/>
        <v>0</v>
      </c>
      <c r="AD38" s="322">
        <v>0</v>
      </c>
      <c r="AE38" s="341">
        <f t="shared" si="46"/>
        <v>0</v>
      </c>
      <c r="AF38" s="322">
        <v>0</v>
      </c>
      <c r="AG38" s="341">
        <f t="shared" si="47"/>
        <v>0</v>
      </c>
      <c r="AH38" s="322">
        <v>0</v>
      </c>
      <c r="AI38" s="341">
        <f t="shared" si="48"/>
        <v>0</v>
      </c>
      <c r="AJ38" s="322">
        <v>0</v>
      </c>
      <c r="AK38" s="341">
        <f t="shared" si="65"/>
        <v>0</v>
      </c>
      <c r="AL38" s="322">
        <v>0</v>
      </c>
      <c r="AM38" s="341">
        <f t="shared" si="49"/>
        <v>0</v>
      </c>
      <c r="AN38" s="322">
        <v>0</v>
      </c>
      <c r="AO38" s="341">
        <f t="shared" si="66"/>
        <v>0</v>
      </c>
      <c r="AP38" s="322">
        <v>0</v>
      </c>
      <c r="AQ38" s="341">
        <f t="shared" si="50"/>
        <v>0</v>
      </c>
      <c r="AR38" s="322">
        <v>0</v>
      </c>
      <c r="AS38" s="341">
        <f t="shared" si="51"/>
        <v>0</v>
      </c>
      <c r="AT38" s="322">
        <v>0</v>
      </c>
      <c r="AU38" s="341">
        <f t="shared" si="67"/>
        <v>0</v>
      </c>
      <c r="AV38" s="322">
        <v>0</v>
      </c>
      <c r="AW38" s="341">
        <f t="shared" si="68"/>
        <v>0</v>
      </c>
      <c r="AX38" s="322">
        <v>0</v>
      </c>
      <c r="AY38" s="341">
        <f t="shared" si="69"/>
        <v>0</v>
      </c>
      <c r="AZ38" s="322">
        <v>0</v>
      </c>
      <c r="BA38" s="341">
        <f t="shared" si="70"/>
        <v>0</v>
      </c>
      <c r="BB38" s="322">
        <v>0</v>
      </c>
      <c r="BC38" s="341">
        <f t="shared" si="52"/>
        <v>0</v>
      </c>
      <c r="BD38" s="322">
        <v>0</v>
      </c>
      <c r="BE38" s="341">
        <f t="shared" si="53"/>
        <v>0</v>
      </c>
      <c r="BF38" s="322">
        <v>0</v>
      </c>
      <c r="BG38" s="341">
        <f t="shared" si="54"/>
        <v>0</v>
      </c>
      <c r="BH38" s="322"/>
      <c r="BI38" s="341">
        <f t="shared" si="55"/>
        <v>0</v>
      </c>
      <c r="BJ38" s="322">
        <f t="shared" si="56"/>
        <v>0</v>
      </c>
      <c r="BK38" s="322">
        <f t="shared" si="56"/>
        <v>0</v>
      </c>
      <c r="BL38" s="686" t="s">
        <v>211</v>
      </c>
      <c r="BN38" s="340"/>
      <c r="BO38" s="340"/>
      <c r="BP38" s="353"/>
      <c r="BQ38" s="340"/>
      <c r="BR38" s="340">
        <f t="shared" si="42"/>
        <v>0</v>
      </c>
      <c r="BS38" s="340">
        <f t="shared" si="71"/>
        <v>0</v>
      </c>
      <c r="BT38" s="340"/>
      <c r="BU38" s="652">
        <f t="shared" si="43"/>
        <v>0</v>
      </c>
      <c r="BV38" s="341">
        <f t="shared" si="3"/>
        <v>0</v>
      </c>
    </row>
    <row r="39" spans="1:74" s="317" customFormat="1" ht="31.5" x14ac:dyDescent="0.25">
      <c r="A39" s="962"/>
      <c r="B39" s="269" t="s">
        <v>1094</v>
      </c>
      <c r="C39" s="342" t="s">
        <v>324</v>
      </c>
      <c r="D39" s="408" t="s">
        <v>334</v>
      </c>
      <c r="E39" s="343">
        <v>35000</v>
      </c>
      <c r="F39" s="691">
        <f t="shared" si="57"/>
        <v>204</v>
      </c>
      <c r="G39" s="338">
        <f t="shared" si="58"/>
        <v>7140000</v>
      </c>
      <c r="H39" s="338">
        <f t="shared" si="59"/>
        <v>3570000</v>
      </c>
      <c r="I39" s="338">
        <f t="shared" si="60"/>
        <v>3570000</v>
      </c>
      <c r="J39" s="338"/>
      <c r="K39" s="338"/>
      <c r="L39" s="338"/>
      <c r="M39" s="338"/>
      <c r="N39" s="338"/>
      <c r="O39" s="338"/>
      <c r="P39" s="338"/>
      <c r="Q39" s="338"/>
      <c r="R39" s="322">
        <f t="shared" si="61"/>
        <v>51</v>
      </c>
      <c r="S39" s="322">
        <f t="shared" si="62"/>
        <v>51</v>
      </c>
      <c r="T39" s="322">
        <f t="shared" si="63"/>
        <v>51</v>
      </c>
      <c r="U39" s="322">
        <f t="shared" si="64"/>
        <v>51</v>
      </c>
      <c r="V39" s="673">
        <f t="shared" si="37"/>
        <v>1785000</v>
      </c>
      <c r="W39" s="673">
        <f t="shared" si="38"/>
        <v>1785000</v>
      </c>
      <c r="X39" s="673">
        <f t="shared" si="39"/>
        <v>1785000</v>
      </c>
      <c r="Y39" s="673">
        <f t="shared" si="40"/>
        <v>1785000</v>
      </c>
      <c r="Z39" s="322">
        <v>12</v>
      </c>
      <c r="AA39" s="322">
        <f t="shared" si="44"/>
        <v>420000</v>
      </c>
      <c r="AB39" s="322">
        <v>12</v>
      </c>
      <c r="AC39" s="341">
        <f t="shared" si="45"/>
        <v>420000</v>
      </c>
      <c r="AD39" s="322">
        <v>12</v>
      </c>
      <c r="AE39" s="341">
        <f t="shared" si="46"/>
        <v>420000</v>
      </c>
      <c r="AF39" s="322">
        <v>12</v>
      </c>
      <c r="AG39" s="341">
        <f t="shared" si="47"/>
        <v>420000</v>
      </c>
      <c r="AH39" s="322">
        <v>12</v>
      </c>
      <c r="AI39" s="341">
        <f t="shared" si="48"/>
        <v>420000</v>
      </c>
      <c r="AJ39" s="322">
        <v>12</v>
      </c>
      <c r="AK39" s="341">
        <f t="shared" si="65"/>
        <v>420000</v>
      </c>
      <c r="AL39" s="322">
        <v>12</v>
      </c>
      <c r="AM39" s="341">
        <f t="shared" si="49"/>
        <v>420000</v>
      </c>
      <c r="AN39" s="322">
        <v>12</v>
      </c>
      <c r="AO39" s="341">
        <f t="shared" si="66"/>
        <v>420000</v>
      </c>
      <c r="AP39" s="322">
        <v>12</v>
      </c>
      <c r="AQ39" s="341">
        <f t="shared" si="50"/>
        <v>420000</v>
      </c>
      <c r="AR39" s="322">
        <v>12</v>
      </c>
      <c r="AS39" s="341">
        <f t="shared" si="51"/>
        <v>420000</v>
      </c>
      <c r="AT39" s="322">
        <v>12</v>
      </c>
      <c r="AU39" s="341">
        <f t="shared" si="67"/>
        <v>420000</v>
      </c>
      <c r="AV39" s="322">
        <v>12</v>
      </c>
      <c r="AW39" s="341">
        <f t="shared" si="68"/>
        <v>420000</v>
      </c>
      <c r="AX39" s="322">
        <v>12</v>
      </c>
      <c r="AY39" s="341">
        <f t="shared" si="69"/>
        <v>420000</v>
      </c>
      <c r="AZ39" s="322">
        <v>12</v>
      </c>
      <c r="BA39" s="341">
        <f t="shared" si="70"/>
        <v>420000</v>
      </c>
      <c r="BB39" s="322">
        <v>12</v>
      </c>
      <c r="BC39" s="341">
        <f t="shared" si="52"/>
        <v>420000</v>
      </c>
      <c r="BD39" s="322">
        <v>12</v>
      </c>
      <c r="BE39" s="341">
        <f t="shared" si="53"/>
        <v>420000</v>
      </c>
      <c r="BF39" s="322">
        <v>12</v>
      </c>
      <c r="BG39" s="341">
        <f t="shared" si="54"/>
        <v>420000</v>
      </c>
      <c r="BH39" s="322"/>
      <c r="BI39" s="341">
        <f t="shared" si="55"/>
        <v>0</v>
      </c>
      <c r="BJ39" s="322">
        <f t="shared" si="56"/>
        <v>204</v>
      </c>
      <c r="BK39" s="322">
        <f t="shared" si="56"/>
        <v>7140000</v>
      </c>
      <c r="BL39" s="686" t="s">
        <v>211</v>
      </c>
      <c r="BN39" s="353"/>
      <c r="BO39" s="353"/>
      <c r="BP39" s="353"/>
      <c r="BQ39" s="353"/>
      <c r="BR39" s="340">
        <f t="shared" si="42"/>
        <v>0</v>
      </c>
      <c r="BS39" s="340">
        <f t="shared" si="71"/>
        <v>7140000</v>
      </c>
      <c r="BT39" s="353"/>
      <c r="BU39" s="652">
        <f t="shared" si="43"/>
        <v>7140000</v>
      </c>
      <c r="BV39" s="341">
        <f t="shared" si="3"/>
        <v>7140000</v>
      </c>
    </row>
    <row r="40" spans="1:74" ht="31.5" x14ac:dyDescent="0.25">
      <c r="A40" s="962"/>
      <c r="B40" s="269" t="s">
        <v>1095</v>
      </c>
      <c r="C40" s="342" t="s">
        <v>325</v>
      </c>
      <c r="D40" s="408" t="s">
        <v>334</v>
      </c>
      <c r="E40" s="343">
        <v>10000</v>
      </c>
      <c r="F40" s="691">
        <f t="shared" si="57"/>
        <v>0</v>
      </c>
      <c r="G40" s="338">
        <f t="shared" si="58"/>
        <v>0</v>
      </c>
      <c r="H40" s="338">
        <f t="shared" si="59"/>
        <v>0</v>
      </c>
      <c r="I40" s="338">
        <f t="shared" si="60"/>
        <v>0</v>
      </c>
      <c r="J40" s="338"/>
      <c r="K40" s="338"/>
      <c r="L40" s="338"/>
      <c r="M40" s="338"/>
      <c r="N40" s="338"/>
      <c r="O40" s="338"/>
      <c r="P40" s="338"/>
      <c r="Q40" s="338"/>
      <c r="R40" s="322">
        <f t="shared" si="61"/>
        <v>0</v>
      </c>
      <c r="S40" s="322">
        <f t="shared" si="62"/>
        <v>0</v>
      </c>
      <c r="T40" s="322">
        <f t="shared" si="63"/>
        <v>0</v>
      </c>
      <c r="U40" s="322">
        <f t="shared" si="64"/>
        <v>0</v>
      </c>
      <c r="V40" s="673">
        <f t="shared" si="37"/>
        <v>0</v>
      </c>
      <c r="W40" s="673">
        <f t="shared" si="38"/>
        <v>0</v>
      </c>
      <c r="X40" s="673">
        <f t="shared" si="39"/>
        <v>0</v>
      </c>
      <c r="Y40" s="673">
        <f t="shared" si="40"/>
        <v>0</v>
      </c>
      <c r="Z40" s="322">
        <v>0</v>
      </c>
      <c r="AA40" s="322">
        <f t="shared" si="44"/>
        <v>0</v>
      </c>
      <c r="AB40" s="322">
        <v>0</v>
      </c>
      <c r="AC40" s="341">
        <f t="shared" si="45"/>
        <v>0</v>
      </c>
      <c r="AD40" s="322">
        <v>0</v>
      </c>
      <c r="AE40" s="341">
        <f t="shared" si="46"/>
        <v>0</v>
      </c>
      <c r="AF40" s="322">
        <v>0</v>
      </c>
      <c r="AG40" s="341">
        <f t="shared" si="47"/>
        <v>0</v>
      </c>
      <c r="AH40" s="322">
        <v>0</v>
      </c>
      <c r="AI40" s="341">
        <f t="shared" si="48"/>
        <v>0</v>
      </c>
      <c r="AJ40" s="322">
        <v>0</v>
      </c>
      <c r="AK40" s="341">
        <f t="shared" si="65"/>
        <v>0</v>
      </c>
      <c r="AL40" s="322">
        <v>0</v>
      </c>
      <c r="AM40" s="341">
        <f t="shared" si="49"/>
        <v>0</v>
      </c>
      <c r="AN40" s="322">
        <v>0</v>
      </c>
      <c r="AO40" s="341">
        <f t="shared" si="66"/>
        <v>0</v>
      </c>
      <c r="AP40" s="322">
        <v>0</v>
      </c>
      <c r="AQ40" s="341">
        <f t="shared" si="50"/>
        <v>0</v>
      </c>
      <c r="AR40" s="322">
        <v>0</v>
      </c>
      <c r="AS40" s="341">
        <f t="shared" si="51"/>
        <v>0</v>
      </c>
      <c r="AT40" s="322">
        <v>0</v>
      </c>
      <c r="AU40" s="341">
        <f t="shared" si="67"/>
        <v>0</v>
      </c>
      <c r="AV40" s="322">
        <v>0</v>
      </c>
      <c r="AW40" s="341">
        <f t="shared" si="68"/>
        <v>0</v>
      </c>
      <c r="AX40" s="322">
        <v>0</v>
      </c>
      <c r="AY40" s="341">
        <f t="shared" si="69"/>
        <v>0</v>
      </c>
      <c r="AZ40" s="322">
        <v>0</v>
      </c>
      <c r="BA40" s="341">
        <f t="shared" si="70"/>
        <v>0</v>
      </c>
      <c r="BB40" s="322">
        <v>0</v>
      </c>
      <c r="BC40" s="341">
        <f t="shared" si="52"/>
        <v>0</v>
      </c>
      <c r="BD40" s="322">
        <v>0</v>
      </c>
      <c r="BE40" s="341">
        <f t="shared" si="53"/>
        <v>0</v>
      </c>
      <c r="BF40" s="322">
        <v>0</v>
      </c>
      <c r="BG40" s="341">
        <f t="shared" si="54"/>
        <v>0</v>
      </c>
      <c r="BH40" s="322"/>
      <c r="BI40" s="341">
        <f t="shared" si="55"/>
        <v>0</v>
      </c>
      <c r="BJ40" s="322">
        <f t="shared" si="56"/>
        <v>0</v>
      </c>
      <c r="BK40" s="322">
        <f t="shared" si="56"/>
        <v>0</v>
      </c>
      <c r="BL40" s="686" t="s">
        <v>211</v>
      </c>
      <c r="BN40" s="340"/>
      <c r="BO40" s="340"/>
      <c r="BP40" s="353"/>
      <c r="BQ40" s="340"/>
      <c r="BR40" s="340">
        <f t="shared" si="42"/>
        <v>0</v>
      </c>
      <c r="BS40" s="340">
        <f t="shared" si="71"/>
        <v>0</v>
      </c>
      <c r="BT40" s="340"/>
      <c r="BU40" s="652">
        <f t="shared" si="43"/>
        <v>0</v>
      </c>
      <c r="BV40" s="341">
        <f t="shared" si="3"/>
        <v>0</v>
      </c>
    </row>
    <row r="41" spans="1:74" ht="31.5" x14ac:dyDescent="0.25">
      <c r="A41" s="962"/>
      <c r="B41" s="269" t="s">
        <v>1096</v>
      </c>
      <c r="C41" s="342" t="s">
        <v>326</v>
      </c>
      <c r="D41" s="408" t="s">
        <v>334</v>
      </c>
      <c r="E41" s="343">
        <v>8000</v>
      </c>
      <c r="F41" s="691">
        <f t="shared" si="57"/>
        <v>204</v>
      </c>
      <c r="G41" s="338">
        <f t="shared" si="58"/>
        <v>1632000</v>
      </c>
      <c r="H41" s="338">
        <f t="shared" si="59"/>
        <v>816000</v>
      </c>
      <c r="I41" s="338">
        <f t="shared" si="60"/>
        <v>816000</v>
      </c>
      <c r="J41" s="338"/>
      <c r="K41" s="338"/>
      <c r="L41" s="338"/>
      <c r="M41" s="338"/>
      <c r="N41" s="338"/>
      <c r="O41" s="338"/>
      <c r="P41" s="338"/>
      <c r="Q41" s="338"/>
      <c r="R41" s="322">
        <f t="shared" si="61"/>
        <v>51</v>
      </c>
      <c r="S41" s="322">
        <f t="shared" si="62"/>
        <v>51</v>
      </c>
      <c r="T41" s="322">
        <f t="shared" si="63"/>
        <v>51</v>
      </c>
      <c r="U41" s="322">
        <f t="shared" si="64"/>
        <v>51</v>
      </c>
      <c r="V41" s="673">
        <f t="shared" si="37"/>
        <v>408000</v>
      </c>
      <c r="W41" s="673">
        <f t="shared" si="38"/>
        <v>408000</v>
      </c>
      <c r="X41" s="673">
        <f t="shared" si="39"/>
        <v>408000</v>
      </c>
      <c r="Y41" s="673">
        <f t="shared" si="40"/>
        <v>408000</v>
      </c>
      <c r="Z41" s="322">
        <v>12</v>
      </c>
      <c r="AA41" s="322">
        <f t="shared" si="44"/>
        <v>96000</v>
      </c>
      <c r="AB41" s="322">
        <v>12</v>
      </c>
      <c r="AC41" s="341">
        <f t="shared" si="45"/>
        <v>96000</v>
      </c>
      <c r="AD41" s="322">
        <v>12</v>
      </c>
      <c r="AE41" s="341">
        <f t="shared" si="46"/>
        <v>96000</v>
      </c>
      <c r="AF41" s="322">
        <v>12</v>
      </c>
      <c r="AG41" s="341">
        <f t="shared" si="47"/>
        <v>96000</v>
      </c>
      <c r="AH41" s="322">
        <v>12</v>
      </c>
      <c r="AI41" s="341">
        <f t="shared" si="48"/>
        <v>96000</v>
      </c>
      <c r="AJ41" s="322">
        <v>12</v>
      </c>
      <c r="AK41" s="341">
        <f t="shared" si="65"/>
        <v>96000</v>
      </c>
      <c r="AL41" s="322">
        <v>12</v>
      </c>
      <c r="AM41" s="341">
        <f t="shared" si="49"/>
        <v>96000</v>
      </c>
      <c r="AN41" s="322">
        <v>12</v>
      </c>
      <c r="AO41" s="341">
        <f t="shared" si="66"/>
        <v>96000</v>
      </c>
      <c r="AP41" s="322">
        <v>12</v>
      </c>
      <c r="AQ41" s="341">
        <f t="shared" si="50"/>
        <v>96000</v>
      </c>
      <c r="AR41" s="322">
        <v>12</v>
      </c>
      <c r="AS41" s="341">
        <f t="shared" si="51"/>
        <v>96000</v>
      </c>
      <c r="AT41" s="322">
        <v>12</v>
      </c>
      <c r="AU41" s="341">
        <f t="shared" si="67"/>
        <v>96000</v>
      </c>
      <c r="AV41" s="322">
        <v>12</v>
      </c>
      <c r="AW41" s="341">
        <f t="shared" si="68"/>
        <v>96000</v>
      </c>
      <c r="AX41" s="322">
        <v>12</v>
      </c>
      <c r="AY41" s="341">
        <f t="shared" si="69"/>
        <v>96000</v>
      </c>
      <c r="AZ41" s="322">
        <v>12</v>
      </c>
      <c r="BA41" s="341">
        <f t="shared" si="70"/>
        <v>96000</v>
      </c>
      <c r="BB41" s="322">
        <v>12</v>
      </c>
      <c r="BC41" s="341">
        <f t="shared" si="52"/>
        <v>96000</v>
      </c>
      <c r="BD41" s="322">
        <v>12</v>
      </c>
      <c r="BE41" s="341">
        <f t="shared" si="53"/>
        <v>96000</v>
      </c>
      <c r="BF41" s="322">
        <v>12</v>
      </c>
      <c r="BG41" s="341">
        <f t="shared" si="54"/>
        <v>96000</v>
      </c>
      <c r="BH41" s="322"/>
      <c r="BI41" s="341">
        <f t="shared" si="55"/>
        <v>0</v>
      </c>
      <c r="BJ41" s="322">
        <f t="shared" si="56"/>
        <v>204</v>
      </c>
      <c r="BK41" s="322">
        <f t="shared" si="56"/>
        <v>1632000</v>
      </c>
      <c r="BL41" s="686" t="s">
        <v>211</v>
      </c>
      <c r="BN41" s="340"/>
      <c r="BO41" s="340"/>
      <c r="BP41" s="353"/>
      <c r="BQ41" s="340"/>
      <c r="BR41" s="340">
        <f t="shared" si="42"/>
        <v>0</v>
      </c>
      <c r="BS41" s="340">
        <f t="shared" si="71"/>
        <v>1632000</v>
      </c>
      <c r="BT41" s="340"/>
      <c r="BU41" s="652">
        <f t="shared" si="43"/>
        <v>1632000</v>
      </c>
      <c r="BV41" s="341">
        <f t="shared" si="3"/>
        <v>1632000</v>
      </c>
    </row>
    <row r="42" spans="1:74" ht="31.5" x14ac:dyDescent="0.25">
      <c r="A42" s="962"/>
      <c r="B42" s="269" t="s">
        <v>1097</v>
      </c>
      <c r="C42" s="342" t="s">
        <v>123</v>
      </c>
      <c r="D42" s="408" t="s">
        <v>334</v>
      </c>
      <c r="E42" s="343">
        <v>6500</v>
      </c>
      <c r="F42" s="691">
        <f t="shared" si="57"/>
        <v>204</v>
      </c>
      <c r="G42" s="338">
        <f t="shared" si="58"/>
        <v>1326000</v>
      </c>
      <c r="H42" s="338">
        <f t="shared" si="59"/>
        <v>663000</v>
      </c>
      <c r="I42" s="338">
        <f t="shared" si="60"/>
        <v>663000</v>
      </c>
      <c r="J42" s="338"/>
      <c r="K42" s="338"/>
      <c r="L42" s="338"/>
      <c r="M42" s="338"/>
      <c r="N42" s="338"/>
      <c r="O42" s="338"/>
      <c r="P42" s="338"/>
      <c r="Q42" s="338"/>
      <c r="R42" s="322">
        <f t="shared" si="61"/>
        <v>51</v>
      </c>
      <c r="S42" s="322">
        <f t="shared" si="62"/>
        <v>51</v>
      </c>
      <c r="T42" s="322">
        <f t="shared" si="63"/>
        <v>51</v>
      </c>
      <c r="U42" s="322">
        <f t="shared" si="64"/>
        <v>51</v>
      </c>
      <c r="V42" s="673">
        <f t="shared" si="37"/>
        <v>331500</v>
      </c>
      <c r="W42" s="673">
        <f t="shared" si="38"/>
        <v>331500</v>
      </c>
      <c r="X42" s="673">
        <f t="shared" si="39"/>
        <v>331500</v>
      </c>
      <c r="Y42" s="673">
        <f t="shared" si="40"/>
        <v>331500</v>
      </c>
      <c r="Z42" s="322">
        <v>12</v>
      </c>
      <c r="AA42" s="322">
        <f t="shared" si="44"/>
        <v>78000</v>
      </c>
      <c r="AB42" s="322">
        <v>12</v>
      </c>
      <c r="AC42" s="341">
        <f t="shared" si="45"/>
        <v>78000</v>
      </c>
      <c r="AD42" s="322">
        <v>12</v>
      </c>
      <c r="AE42" s="341">
        <f t="shared" si="46"/>
        <v>78000</v>
      </c>
      <c r="AF42" s="322">
        <v>12</v>
      </c>
      <c r="AG42" s="341">
        <f t="shared" si="47"/>
        <v>78000</v>
      </c>
      <c r="AH42" s="322">
        <v>12</v>
      </c>
      <c r="AI42" s="341">
        <f t="shared" si="48"/>
        <v>78000</v>
      </c>
      <c r="AJ42" s="322">
        <v>12</v>
      </c>
      <c r="AK42" s="341">
        <f t="shared" si="65"/>
        <v>78000</v>
      </c>
      <c r="AL42" s="322">
        <v>12</v>
      </c>
      <c r="AM42" s="341">
        <f t="shared" si="49"/>
        <v>78000</v>
      </c>
      <c r="AN42" s="322">
        <v>12</v>
      </c>
      <c r="AO42" s="341">
        <f t="shared" si="66"/>
        <v>78000</v>
      </c>
      <c r="AP42" s="322">
        <v>12</v>
      </c>
      <c r="AQ42" s="341">
        <f t="shared" si="50"/>
        <v>78000</v>
      </c>
      <c r="AR42" s="322">
        <v>12</v>
      </c>
      <c r="AS42" s="341">
        <f t="shared" si="51"/>
        <v>78000</v>
      </c>
      <c r="AT42" s="322">
        <v>12</v>
      </c>
      <c r="AU42" s="341">
        <f t="shared" si="67"/>
        <v>78000</v>
      </c>
      <c r="AV42" s="322">
        <v>12</v>
      </c>
      <c r="AW42" s="341">
        <f t="shared" si="68"/>
        <v>78000</v>
      </c>
      <c r="AX42" s="322">
        <v>12</v>
      </c>
      <c r="AY42" s="341">
        <f t="shared" si="69"/>
        <v>78000</v>
      </c>
      <c r="AZ42" s="322">
        <v>12</v>
      </c>
      <c r="BA42" s="341">
        <f t="shared" si="70"/>
        <v>78000</v>
      </c>
      <c r="BB42" s="322">
        <v>12</v>
      </c>
      <c r="BC42" s="341">
        <f t="shared" si="52"/>
        <v>78000</v>
      </c>
      <c r="BD42" s="322">
        <v>12</v>
      </c>
      <c r="BE42" s="341">
        <f t="shared" si="53"/>
        <v>78000</v>
      </c>
      <c r="BF42" s="322">
        <v>12</v>
      </c>
      <c r="BG42" s="341">
        <f t="shared" si="54"/>
        <v>78000</v>
      </c>
      <c r="BH42" s="322"/>
      <c r="BI42" s="341">
        <f t="shared" si="55"/>
        <v>0</v>
      </c>
      <c r="BJ42" s="322">
        <f t="shared" si="56"/>
        <v>204</v>
      </c>
      <c r="BK42" s="322">
        <f t="shared" si="56"/>
        <v>1326000</v>
      </c>
      <c r="BL42" s="686" t="s">
        <v>211</v>
      </c>
      <c r="BN42" s="340"/>
      <c r="BO42" s="340"/>
      <c r="BP42" s="353"/>
      <c r="BQ42" s="340"/>
      <c r="BR42" s="340">
        <f t="shared" si="42"/>
        <v>0</v>
      </c>
      <c r="BS42" s="340">
        <f t="shared" si="71"/>
        <v>1326000</v>
      </c>
      <c r="BT42" s="340"/>
      <c r="BU42" s="652">
        <f t="shared" si="43"/>
        <v>1326000</v>
      </c>
      <c r="BV42" s="341">
        <f t="shared" si="3"/>
        <v>1326000</v>
      </c>
    </row>
    <row r="43" spans="1:74" ht="31.5" x14ac:dyDescent="0.25">
      <c r="A43" s="962"/>
      <c r="B43" s="269" t="s">
        <v>1098</v>
      </c>
      <c r="C43" s="342" t="s">
        <v>124</v>
      </c>
      <c r="D43" s="408" t="s">
        <v>334</v>
      </c>
      <c r="E43" s="343">
        <v>3000</v>
      </c>
      <c r="F43" s="691">
        <f t="shared" si="57"/>
        <v>204</v>
      </c>
      <c r="G43" s="338">
        <f t="shared" si="58"/>
        <v>612000</v>
      </c>
      <c r="H43" s="338">
        <f t="shared" si="59"/>
        <v>306000</v>
      </c>
      <c r="I43" s="338">
        <f t="shared" si="60"/>
        <v>306000</v>
      </c>
      <c r="J43" s="338"/>
      <c r="K43" s="338"/>
      <c r="L43" s="338"/>
      <c r="M43" s="338"/>
      <c r="N43" s="338"/>
      <c r="O43" s="338"/>
      <c r="P43" s="338"/>
      <c r="Q43" s="338"/>
      <c r="R43" s="322">
        <f t="shared" si="61"/>
        <v>51</v>
      </c>
      <c r="S43" s="322">
        <f t="shared" si="62"/>
        <v>51</v>
      </c>
      <c r="T43" s="322">
        <f t="shared" si="63"/>
        <v>51</v>
      </c>
      <c r="U43" s="322">
        <f t="shared" si="64"/>
        <v>51</v>
      </c>
      <c r="V43" s="673">
        <f t="shared" si="37"/>
        <v>153000</v>
      </c>
      <c r="W43" s="673">
        <f t="shared" si="38"/>
        <v>153000</v>
      </c>
      <c r="X43" s="673">
        <f t="shared" si="39"/>
        <v>153000</v>
      </c>
      <c r="Y43" s="673">
        <f t="shared" si="40"/>
        <v>153000</v>
      </c>
      <c r="Z43" s="322">
        <v>12</v>
      </c>
      <c r="AA43" s="322">
        <f t="shared" si="44"/>
        <v>36000</v>
      </c>
      <c r="AB43" s="322">
        <v>12</v>
      </c>
      <c r="AC43" s="341">
        <f t="shared" si="45"/>
        <v>36000</v>
      </c>
      <c r="AD43" s="322">
        <v>12</v>
      </c>
      <c r="AE43" s="341">
        <f t="shared" si="46"/>
        <v>36000</v>
      </c>
      <c r="AF43" s="322">
        <v>12</v>
      </c>
      <c r="AG43" s="341">
        <f t="shared" si="47"/>
        <v>36000</v>
      </c>
      <c r="AH43" s="322">
        <v>12</v>
      </c>
      <c r="AI43" s="341">
        <f t="shared" si="48"/>
        <v>36000</v>
      </c>
      <c r="AJ43" s="322">
        <v>12</v>
      </c>
      <c r="AK43" s="341">
        <f t="shared" si="65"/>
        <v>36000</v>
      </c>
      <c r="AL43" s="322">
        <v>12</v>
      </c>
      <c r="AM43" s="341">
        <f t="shared" si="49"/>
        <v>36000</v>
      </c>
      <c r="AN43" s="322">
        <v>12</v>
      </c>
      <c r="AO43" s="341">
        <f t="shared" si="66"/>
        <v>36000</v>
      </c>
      <c r="AP43" s="322">
        <v>12</v>
      </c>
      <c r="AQ43" s="341">
        <f t="shared" si="50"/>
        <v>36000</v>
      </c>
      <c r="AR43" s="322">
        <v>12</v>
      </c>
      <c r="AS43" s="341">
        <f t="shared" si="51"/>
        <v>36000</v>
      </c>
      <c r="AT43" s="322">
        <v>12</v>
      </c>
      <c r="AU43" s="341">
        <f t="shared" si="67"/>
        <v>36000</v>
      </c>
      <c r="AV43" s="322">
        <v>12</v>
      </c>
      <c r="AW43" s="341">
        <f t="shared" si="68"/>
        <v>36000</v>
      </c>
      <c r="AX43" s="322">
        <v>12</v>
      </c>
      <c r="AY43" s="341">
        <f t="shared" si="69"/>
        <v>36000</v>
      </c>
      <c r="AZ43" s="322">
        <v>12</v>
      </c>
      <c r="BA43" s="341">
        <f t="shared" si="70"/>
        <v>36000</v>
      </c>
      <c r="BB43" s="322">
        <v>12</v>
      </c>
      <c r="BC43" s="341">
        <f t="shared" si="52"/>
        <v>36000</v>
      </c>
      <c r="BD43" s="322">
        <v>12</v>
      </c>
      <c r="BE43" s="341">
        <f t="shared" si="53"/>
        <v>36000</v>
      </c>
      <c r="BF43" s="322">
        <v>12</v>
      </c>
      <c r="BG43" s="341">
        <f t="shared" si="54"/>
        <v>36000</v>
      </c>
      <c r="BH43" s="322"/>
      <c r="BI43" s="341">
        <f t="shared" si="55"/>
        <v>0</v>
      </c>
      <c r="BJ43" s="322">
        <f t="shared" si="56"/>
        <v>204</v>
      </c>
      <c r="BK43" s="322">
        <f t="shared" si="56"/>
        <v>612000</v>
      </c>
      <c r="BL43" s="686" t="s">
        <v>211</v>
      </c>
      <c r="BN43" s="340"/>
      <c r="BO43" s="340"/>
      <c r="BP43" s="353"/>
      <c r="BQ43" s="340"/>
      <c r="BR43" s="340">
        <f t="shared" si="42"/>
        <v>0</v>
      </c>
      <c r="BS43" s="340">
        <f t="shared" si="71"/>
        <v>612000</v>
      </c>
      <c r="BT43" s="340"/>
      <c r="BU43" s="652">
        <f t="shared" si="43"/>
        <v>612000</v>
      </c>
      <c r="BV43" s="341">
        <f t="shared" si="3"/>
        <v>612000</v>
      </c>
    </row>
    <row r="44" spans="1:74" ht="31.5" x14ac:dyDescent="0.25">
      <c r="A44" s="962"/>
      <c r="B44" s="269" t="s">
        <v>1099</v>
      </c>
      <c r="C44" s="342" t="s">
        <v>125</v>
      </c>
      <c r="D44" s="408" t="s">
        <v>334</v>
      </c>
      <c r="E44" s="343">
        <f>750*3</f>
        <v>2250</v>
      </c>
      <c r="F44" s="691">
        <f t="shared" si="57"/>
        <v>204</v>
      </c>
      <c r="G44" s="338">
        <f t="shared" si="58"/>
        <v>459000</v>
      </c>
      <c r="H44" s="338">
        <f t="shared" si="59"/>
        <v>229500</v>
      </c>
      <c r="I44" s="338">
        <f t="shared" si="60"/>
        <v>229500</v>
      </c>
      <c r="J44" s="338"/>
      <c r="K44" s="338"/>
      <c r="L44" s="338"/>
      <c r="M44" s="338"/>
      <c r="N44" s="338"/>
      <c r="O44" s="338"/>
      <c r="P44" s="338"/>
      <c r="Q44" s="338"/>
      <c r="R44" s="322">
        <f t="shared" si="61"/>
        <v>51</v>
      </c>
      <c r="S44" s="322">
        <f t="shared" si="62"/>
        <v>51</v>
      </c>
      <c r="T44" s="322">
        <f t="shared" si="63"/>
        <v>51</v>
      </c>
      <c r="U44" s="322">
        <f t="shared" si="64"/>
        <v>51</v>
      </c>
      <c r="V44" s="673">
        <f t="shared" si="37"/>
        <v>114750</v>
      </c>
      <c r="W44" s="673">
        <f t="shared" si="38"/>
        <v>114750</v>
      </c>
      <c r="X44" s="673">
        <f t="shared" si="39"/>
        <v>114750</v>
      </c>
      <c r="Y44" s="673">
        <f t="shared" si="40"/>
        <v>114750</v>
      </c>
      <c r="Z44" s="322">
        <v>12</v>
      </c>
      <c r="AA44" s="322">
        <f t="shared" si="44"/>
        <v>27000</v>
      </c>
      <c r="AB44" s="322">
        <v>12</v>
      </c>
      <c r="AC44" s="341">
        <f t="shared" si="45"/>
        <v>27000</v>
      </c>
      <c r="AD44" s="322">
        <v>12</v>
      </c>
      <c r="AE44" s="341">
        <f t="shared" si="46"/>
        <v>27000</v>
      </c>
      <c r="AF44" s="322">
        <v>12</v>
      </c>
      <c r="AG44" s="341">
        <f t="shared" si="47"/>
        <v>27000</v>
      </c>
      <c r="AH44" s="322">
        <v>12</v>
      </c>
      <c r="AI44" s="341">
        <f t="shared" si="48"/>
        <v>27000</v>
      </c>
      <c r="AJ44" s="322">
        <v>12</v>
      </c>
      <c r="AK44" s="341">
        <f t="shared" si="65"/>
        <v>27000</v>
      </c>
      <c r="AL44" s="322">
        <v>12</v>
      </c>
      <c r="AM44" s="341">
        <f t="shared" si="49"/>
        <v>27000</v>
      </c>
      <c r="AN44" s="322">
        <v>12</v>
      </c>
      <c r="AO44" s="341">
        <f t="shared" si="66"/>
        <v>27000</v>
      </c>
      <c r="AP44" s="322">
        <v>12</v>
      </c>
      <c r="AQ44" s="341">
        <f t="shared" si="50"/>
        <v>27000</v>
      </c>
      <c r="AR44" s="322">
        <v>12</v>
      </c>
      <c r="AS44" s="341">
        <f t="shared" si="51"/>
        <v>27000</v>
      </c>
      <c r="AT44" s="322">
        <v>12</v>
      </c>
      <c r="AU44" s="341">
        <f t="shared" si="67"/>
        <v>27000</v>
      </c>
      <c r="AV44" s="322">
        <v>12</v>
      </c>
      <c r="AW44" s="341">
        <f t="shared" si="68"/>
        <v>27000</v>
      </c>
      <c r="AX44" s="322">
        <v>12</v>
      </c>
      <c r="AY44" s="341">
        <f t="shared" si="69"/>
        <v>27000</v>
      </c>
      <c r="AZ44" s="322">
        <v>12</v>
      </c>
      <c r="BA44" s="341">
        <f t="shared" si="70"/>
        <v>27000</v>
      </c>
      <c r="BB44" s="322">
        <v>12</v>
      </c>
      <c r="BC44" s="341">
        <f t="shared" si="52"/>
        <v>27000</v>
      </c>
      <c r="BD44" s="322">
        <v>12</v>
      </c>
      <c r="BE44" s="341">
        <f t="shared" si="53"/>
        <v>27000</v>
      </c>
      <c r="BF44" s="322">
        <v>12</v>
      </c>
      <c r="BG44" s="341">
        <f t="shared" si="54"/>
        <v>27000</v>
      </c>
      <c r="BH44" s="322"/>
      <c r="BI44" s="341">
        <f t="shared" si="55"/>
        <v>0</v>
      </c>
      <c r="BJ44" s="322">
        <f t="shared" si="56"/>
        <v>204</v>
      </c>
      <c r="BK44" s="322">
        <f t="shared" si="56"/>
        <v>459000</v>
      </c>
      <c r="BL44" s="686" t="s">
        <v>211</v>
      </c>
      <c r="BN44" s="340"/>
      <c r="BO44" s="340"/>
      <c r="BP44" s="353"/>
      <c r="BQ44" s="340"/>
      <c r="BR44" s="340">
        <f t="shared" si="42"/>
        <v>0</v>
      </c>
      <c r="BS44" s="340">
        <f t="shared" si="71"/>
        <v>459000</v>
      </c>
      <c r="BT44" s="340"/>
      <c r="BU44" s="652">
        <f t="shared" si="43"/>
        <v>459000</v>
      </c>
      <c r="BV44" s="341">
        <f t="shared" si="3"/>
        <v>459000</v>
      </c>
    </row>
    <row r="45" spans="1:74" ht="31.5" x14ac:dyDescent="0.25">
      <c r="A45" s="962"/>
      <c r="B45" s="269" t="s">
        <v>1100</v>
      </c>
      <c r="C45" s="342" t="s">
        <v>126</v>
      </c>
      <c r="D45" s="408" t="s">
        <v>334</v>
      </c>
      <c r="E45" s="343" t="s">
        <v>346</v>
      </c>
      <c r="F45" s="691">
        <f t="shared" si="57"/>
        <v>0</v>
      </c>
      <c r="G45" s="338">
        <f t="shared" si="58"/>
        <v>0</v>
      </c>
      <c r="H45" s="338">
        <f t="shared" si="59"/>
        <v>0</v>
      </c>
      <c r="I45" s="338">
        <f t="shared" si="60"/>
        <v>0</v>
      </c>
      <c r="J45" s="338"/>
      <c r="K45" s="338"/>
      <c r="L45" s="338"/>
      <c r="M45" s="338"/>
      <c r="N45" s="338"/>
      <c r="O45" s="338"/>
      <c r="P45" s="338"/>
      <c r="Q45" s="338"/>
      <c r="R45" s="322">
        <f t="shared" si="61"/>
        <v>0</v>
      </c>
      <c r="S45" s="322">
        <f t="shared" si="62"/>
        <v>0</v>
      </c>
      <c r="T45" s="322">
        <f t="shared" si="63"/>
        <v>0</v>
      </c>
      <c r="U45" s="322">
        <f t="shared" si="64"/>
        <v>0</v>
      </c>
      <c r="V45" s="673">
        <f t="shared" si="37"/>
        <v>0</v>
      </c>
      <c r="W45" s="673">
        <f t="shared" si="38"/>
        <v>0</v>
      </c>
      <c r="X45" s="673">
        <f t="shared" si="39"/>
        <v>0</v>
      </c>
      <c r="Y45" s="673">
        <f t="shared" si="40"/>
        <v>0</v>
      </c>
      <c r="Z45" s="322">
        <v>0</v>
      </c>
      <c r="AA45" s="322">
        <f t="shared" si="44"/>
        <v>0</v>
      </c>
      <c r="AB45" s="322">
        <v>0</v>
      </c>
      <c r="AC45" s="341">
        <f t="shared" si="45"/>
        <v>0</v>
      </c>
      <c r="AD45" s="322">
        <v>0</v>
      </c>
      <c r="AE45" s="341">
        <f t="shared" si="46"/>
        <v>0</v>
      </c>
      <c r="AF45" s="322">
        <v>0</v>
      </c>
      <c r="AG45" s="341">
        <f t="shared" si="47"/>
        <v>0</v>
      </c>
      <c r="AH45" s="322">
        <v>0</v>
      </c>
      <c r="AI45" s="341">
        <f t="shared" si="48"/>
        <v>0</v>
      </c>
      <c r="AJ45" s="322">
        <v>0</v>
      </c>
      <c r="AK45" s="341">
        <f t="shared" si="65"/>
        <v>0</v>
      </c>
      <c r="AL45" s="322">
        <v>0</v>
      </c>
      <c r="AM45" s="341">
        <f t="shared" si="49"/>
        <v>0</v>
      </c>
      <c r="AN45" s="322">
        <v>0</v>
      </c>
      <c r="AO45" s="341">
        <f t="shared" si="66"/>
        <v>0</v>
      </c>
      <c r="AP45" s="322">
        <v>0</v>
      </c>
      <c r="AQ45" s="341">
        <f t="shared" si="50"/>
        <v>0</v>
      </c>
      <c r="AR45" s="322">
        <v>0</v>
      </c>
      <c r="AS45" s="341">
        <f t="shared" si="51"/>
        <v>0</v>
      </c>
      <c r="AT45" s="322">
        <v>0</v>
      </c>
      <c r="AU45" s="341">
        <f t="shared" si="67"/>
        <v>0</v>
      </c>
      <c r="AV45" s="322">
        <v>0</v>
      </c>
      <c r="AW45" s="341">
        <f t="shared" si="68"/>
        <v>0</v>
      </c>
      <c r="AX45" s="322">
        <v>0</v>
      </c>
      <c r="AY45" s="341">
        <f t="shared" si="69"/>
        <v>0</v>
      </c>
      <c r="AZ45" s="322">
        <v>0</v>
      </c>
      <c r="BA45" s="341">
        <f t="shared" si="70"/>
        <v>0</v>
      </c>
      <c r="BB45" s="322">
        <v>0</v>
      </c>
      <c r="BC45" s="341">
        <f t="shared" si="52"/>
        <v>0</v>
      </c>
      <c r="BD45" s="322">
        <v>0</v>
      </c>
      <c r="BE45" s="341">
        <f t="shared" si="53"/>
        <v>0</v>
      </c>
      <c r="BF45" s="322">
        <v>0</v>
      </c>
      <c r="BG45" s="341">
        <f t="shared" si="54"/>
        <v>0</v>
      </c>
      <c r="BH45" s="322"/>
      <c r="BI45" s="341">
        <f t="shared" si="55"/>
        <v>0</v>
      </c>
      <c r="BJ45" s="322">
        <f t="shared" si="56"/>
        <v>0</v>
      </c>
      <c r="BK45" s="322">
        <f t="shared" si="56"/>
        <v>0</v>
      </c>
      <c r="BL45" s="686" t="s">
        <v>211</v>
      </c>
      <c r="BN45" s="340"/>
      <c r="BO45" s="340"/>
      <c r="BP45" s="353"/>
      <c r="BQ45" s="340"/>
      <c r="BR45" s="340">
        <f t="shared" si="42"/>
        <v>0</v>
      </c>
      <c r="BS45" s="340">
        <f t="shared" si="71"/>
        <v>0</v>
      </c>
      <c r="BT45" s="340"/>
      <c r="BU45" s="652">
        <f t="shared" si="43"/>
        <v>0</v>
      </c>
      <c r="BV45" s="341">
        <f t="shared" si="3"/>
        <v>0</v>
      </c>
    </row>
    <row r="46" spans="1:74" ht="63" x14ac:dyDescent="0.25">
      <c r="A46" s="962"/>
      <c r="B46" s="269" t="s">
        <v>1101</v>
      </c>
      <c r="C46" s="344" t="s">
        <v>883</v>
      </c>
      <c r="D46" s="408" t="s">
        <v>16</v>
      </c>
      <c r="E46" s="343">
        <v>70000</v>
      </c>
      <c r="F46" s="691">
        <f t="shared" si="57"/>
        <v>204</v>
      </c>
      <c r="G46" s="338">
        <f t="shared" si="58"/>
        <v>14280000</v>
      </c>
      <c r="H46" s="338">
        <f t="shared" si="59"/>
        <v>7140000</v>
      </c>
      <c r="I46" s="338">
        <f t="shared" si="60"/>
        <v>7140000</v>
      </c>
      <c r="J46" s="338"/>
      <c r="K46" s="338"/>
      <c r="L46" s="338"/>
      <c r="M46" s="338"/>
      <c r="N46" s="338"/>
      <c r="O46" s="338"/>
      <c r="P46" s="338"/>
      <c r="Q46" s="338"/>
      <c r="R46" s="322">
        <f t="shared" si="61"/>
        <v>51</v>
      </c>
      <c r="S46" s="322">
        <f t="shared" si="62"/>
        <v>51</v>
      </c>
      <c r="T46" s="322">
        <f t="shared" si="63"/>
        <v>51</v>
      </c>
      <c r="U46" s="322">
        <f t="shared" si="64"/>
        <v>51</v>
      </c>
      <c r="V46" s="673">
        <f t="shared" si="37"/>
        <v>3570000</v>
      </c>
      <c r="W46" s="673">
        <f t="shared" si="38"/>
        <v>3570000</v>
      </c>
      <c r="X46" s="673">
        <f t="shared" si="39"/>
        <v>3570000</v>
      </c>
      <c r="Y46" s="673">
        <f t="shared" si="40"/>
        <v>3570000</v>
      </c>
      <c r="Z46" s="322">
        <v>12</v>
      </c>
      <c r="AA46" s="322">
        <f t="shared" si="44"/>
        <v>840000</v>
      </c>
      <c r="AB46" s="322">
        <v>12</v>
      </c>
      <c r="AC46" s="341">
        <f t="shared" si="45"/>
        <v>840000</v>
      </c>
      <c r="AD46" s="322">
        <v>12</v>
      </c>
      <c r="AE46" s="341">
        <f t="shared" si="46"/>
        <v>840000</v>
      </c>
      <c r="AF46" s="322">
        <v>12</v>
      </c>
      <c r="AG46" s="341">
        <f t="shared" si="47"/>
        <v>840000</v>
      </c>
      <c r="AH46" s="322">
        <v>12</v>
      </c>
      <c r="AI46" s="341">
        <f t="shared" si="48"/>
        <v>840000</v>
      </c>
      <c r="AJ46" s="322">
        <v>12</v>
      </c>
      <c r="AK46" s="341">
        <f t="shared" si="65"/>
        <v>840000</v>
      </c>
      <c r="AL46" s="322">
        <v>12</v>
      </c>
      <c r="AM46" s="341">
        <f t="shared" si="49"/>
        <v>840000</v>
      </c>
      <c r="AN46" s="322">
        <v>12</v>
      </c>
      <c r="AO46" s="341">
        <f t="shared" si="66"/>
        <v>840000</v>
      </c>
      <c r="AP46" s="322">
        <v>12</v>
      </c>
      <c r="AQ46" s="341">
        <f t="shared" si="50"/>
        <v>840000</v>
      </c>
      <c r="AR46" s="322">
        <v>12</v>
      </c>
      <c r="AS46" s="341">
        <f t="shared" si="51"/>
        <v>840000</v>
      </c>
      <c r="AT46" s="322">
        <v>12</v>
      </c>
      <c r="AU46" s="341">
        <f t="shared" si="67"/>
        <v>840000</v>
      </c>
      <c r="AV46" s="322">
        <v>12</v>
      </c>
      <c r="AW46" s="341">
        <f t="shared" si="68"/>
        <v>840000</v>
      </c>
      <c r="AX46" s="322">
        <v>12</v>
      </c>
      <c r="AY46" s="341">
        <f t="shared" si="69"/>
        <v>840000</v>
      </c>
      <c r="AZ46" s="322">
        <v>12</v>
      </c>
      <c r="BA46" s="341">
        <f t="shared" si="70"/>
        <v>840000</v>
      </c>
      <c r="BB46" s="322">
        <v>12</v>
      </c>
      <c r="BC46" s="341">
        <f t="shared" si="52"/>
        <v>840000</v>
      </c>
      <c r="BD46" s="322">
        <v>12</v>
      </c>
      <c r="BE46" s="341">
        <f t="shared" si="53"/>
        <v>840000</v>
      </c>
      <c r="BF46" s="322">
        <v>12</v>
      </c>
      <c r="BG46" s="341">
        <f t="shared" si="54"/>
        <v>840000</v>
      </c>
      <c r="BH46" s="322"/>
      <c r="BI46" s="341">
        <f t="shared" si="55"/>
        <v>0</v>
      </c>
      <c r="BJ46" s="322">
        <f t="shared" si="56"/>
        <v>204</v>
      </c>
      <c r="BK46" s="322">
        <f t="shared" si="56"/>
        <v>14280000</v>
      </c>
      <c r="BL46" s="686" t="s">
        <v>211</v>
      </c>
      <c r="BN46" s="340"/>
      <c r="BO46" s="340"/>
      <c r="BP46" s="353"/>
      <c r="BQ46" s="340"/>
      <c r="BR46" s="340">
        <f t="shared" si="42"/>
        <v>0</v>
      </c>
      <c r="BS46" s="340">
        <f t="shared" si="71"/>
        <v>14280000</v>
      </c>
      <c r="BT46" s="340"/>
      <c r="BU46" s="652">
        <f t="shared" si="43"/>
        <v>14280000</v>
      </c>
      <c r="BV46" s="341">
        <f t="shared" si="3"/>
        <v>14280000</v>
      </c>
    </row>
    <row r="47" spans="1:74" ht="31.5" x14ac:dyDescent="0.25">
      <c r="A47" s="962"/>
      <c r="B47" s="269" t="s">
        <v>1102</v>
      </c>
      <c r="C47" s="342" t="s">
        <v>327</v>
      </c>
      <c r="D47" s="408" t="s">
        <v>334</v>
      </c>
      <c r="E47" s="343" t="s">
        <v>306</v>
      </c>
      <c r="F47" s="691">
        <f t="shared" si="57"/>
        <v>0</v>
      </c>
      <c r="G47" s="338">
        <f t="shared" si="58"/>
        <v>0</v>
      </c>
      <c r="H47" s="338">
        <f>G47*0</f>
        <v>0</v>
      </c>
      <c r="I47" s="338">
        <f>G47</f>
        <v>0</v>
      </c>
      <c r="J47" s="338"/>
      <c r="K47" s="338"/>
      <c r="L47" s="338"/>
      <c r="M47" s="338"/>
      <c r="N47" s="338"/>
      <c r="O47" s="338"/>
      <c r="P47" s="338"/>
      <c r="Q47" s="338"/>
      <c r="R47" s="322">
        <f t="shared" si="61"/>
        <v>0</v>
      </c>
      <c r="S47" s="322">
        <f t="shared" si="62"/>
        <v>0</v>
      </c>
      <c r="T47" s="322">
        <f t="shared" si="63"/>
        <v>0</v>
      </c>
      <c r="U47" s="322">
        <f t="shared" si="64"/>
        <v>0</v>
      </c>
      <c r="V47" s="673">
        <f t="shared" si="37"/>
        <v>0</v>
      </c>
      <c r="W47" s="673">
        <f t="shared" si="38"/>
        <v>0</v>
      </c>
      <c r="X47" s="673">
        <f t="shared" si="39"/>
        <v>0</v>
      </c>
      <c r="Y47" s="673">
        <f t="shared" si="40"/>
        <v>0</v>
      </c>
      <c r="Z47" s="322">
        <v>0</v>
      </c>
      <c r="AA47" s="322">
        <f t="shared" si="44"/>
        <v>0</v>
      </c>
      <c r="AB47" s="322">
        <v>0</v>
      </c>
      <c r="AC47" s="341">
        <f t="shared" si="45"/>
        <v>0</v>
      </c>
      <c r="AD47" s="322">
        <v>0</v>
      </c>
      <c r="AE47" s="341">
        <f t="shared" si="46"/>
        <v>0</v>
      </c>
      <c r="AF47" s="322">
        <v>0</v>
      </c>
      <c r="AG47" s="341">
        <f t="shared" si="47"/>
        <v>0</v>
      </c>
      <c r="AH47" s="322">
        <v>0</v>
      </c>
      <c r="AI47" s="341">
        <f t="shared" si="48"/>
        <v>0</v>
      </c>
      <c r="AJ47" s="322">
        <v>0</v>
      </c>
      <c r="AK47" s="341">
        <f t="shared" si="65"/>
        <v>0</v>
      </c>
      <c r="AL47" s="322">
        <v>0</v>
      </c>
      <c r="AM47" s="341">
        <f t="shared" si="49"/>
        <v>0</v>
      </c>
      <c r="AN47" s="322">
        <v>0</v>
      </c>
      <c r="AO47" s="341">
        <f t="shared" si="66"/>
        <v>0</v>
      </c>
      <c r="AP47" s="322">
        <v>0</v>
      </c>
      <c r="AQ47" s="341">
        <f t="shared" si="50"/>
        <v>0</v>
      </c>
      <c r="AR47" s="322">
        <v>0</v>
      </c>
      <c r="AS47" s="341">
        <f t="shared" si="51"/>
        <v>0</v>
      </c>
      <c r="AT47" s="322">
        <v>0</v>
      </c>
      <c r="AU47" s="341">
        <f t="shared" si="67"/>
        <v>0</v>
      </c>
      <c r="AV47" s="322">
        <v>0</v>
      </c>
      <c r="AW47" s="341">
        <f t="shared" si="68"/>
        <v>0</v>
      </c>
      <c r="AX47" s="322">
        <v>0</v>
      </c>
      <c r="AY47" s="341">
        <f t="shared" si="69"/>
        <v>0</v>
      </c>
      <c r="AZ47" s="322">
        <v>0</v>
      </c>
      <c r="BA47" s="341">
        <f t="shared" si="70"/>
        <v>0</v>
      </c>
      <c r="BB47" s="322">
        <v>0</v>
      </c>
      <c r="BC47" s="341">
        <f t="shared" si="52"/>
        <v>0</v>
      </c>
      <c r="BD47" s="322">
        <v>0</v>
      </c>
      <c r="BE47" s="341">
        <f t="shared" si="53"/>
        <v>0</v>
      </c>
      <c r="BF47" s="322">
        <v>0</v>
      </c>
      <c r="BG47" s="341">
        <f t="shared" si="54"/>
        <v>0</v>
      </c>
      <c r="BH47" s="322"/>
      <c r="BI47" s="341">
        <f t="shared" si="55"/>
        <v>0</v>
      </c>
      <c r="BJ47" s="322">
        <f t="shared" si="56"/>
        <v>0</v>
      </c>
      <c r="BK47" s="322">
        <f t="shared" si="56"/>
        <v>0</v>
      </c>
      <c r="BL47" s="686" t="s">
        <v>210</v>
      </c>
      <c r="BN47" s="340"/>
      <c r="BO47" s="340"/>
      <c r="BP47" s="353"/>
      <c r="BQ47" s="340"/>
      <c r="BR47" s="340">
        <f t="shared" si="42"/>
        <v>0</v>
      </c>
      <c r="BS47" s="340">
        <f t="shared" si="71"/>
        <v>0</v>
      </c>
      <c r="BT47" s="340"/>
      <c r="BU47" s="652">
        <f t="shared" si="43"/>
        <v>0</v>
      </c>
      <c r="BV47" s="341">
        <f t="shared" si="3"/>
        <v>0</v>
      </c>
    </row>
    <row r="48" spans="1:74" s="317" customFormat="1" ht="31.5" x14ac:dyDescent="0.25">
      <c r="A48" s="962"/>
      <c r="B48" s="382"/>
      <c r="C48" s="358" t="s">
        <v>328</v>
      </c>
      <c r="D48" s="382" t="s">
        <v>334</v>
      </c>
      <c r="E48" s="697"/>
      <c r="F48" s="700">
        <f>SUM(F34:F47)</f>
        <v>1800</v>
      </c>
      <c r="G48" s="700">
        <f t="shared" ref="G48:BR48" si="72">SUM(G34:G47)</f>
        <v>45849000</v>
      </c>
      <c r="H48" s="700">
        <f t="shared" si="72"/>
        <v>22924500</v>
      </c>
      <c r="I48" s="700">
        <f t="shared" si="72"/>
        <v>22924500</v>
      </c>
      <c r="J48" s="700">
        <f t="shared" si="72"/>
        <v>0</v>
      </c>
      <c r="K48" s="700">
        <f t="shared" si="72"/>
        <v>0</v>
      </c>
      <c r="L48" s="700">
        <f t="shared" si="72"/>
        <v>0</v>
      </c>
      <c r="M48" s="700">
        <f t="shared" si="72"/>
        <v>0</v>
      </c>
      <c r="N48" s="700">
        <f t="shared" si="72"/>
        <v>0</v>
      </c>
      <c r="O48" s="700">
        <f t="shared" si="72"/>
        <v>0</v>
      </c>
      <c r="P48" s="700">
        <f t="shared" si="72"/>
        <v>0</v>
      </c>
      <c r="Q48" s="700">
        <f t="shared" si="72"/>
        <v>0</v>
      </c>
      <c r="R48" s="700">
        <f t="shared" si="72"/>
        <v>450</v>
      </c>
      <c r="S48" s="700">
        <f t="shared" si="72"/>
        <v>450</v>
      </c>
      <c r="T48" s="700">
        <f t="shared" si="72"/>
        <v>450</v>
      </c>
      <c r="U48" s="700">
        <f t="shared" si="72"/>
        <v>450</v>
      </c>
      <c r="V48" s="700">
        <f t="shared" si="72"/>
        <v>11462250</v>
      </c>
      <c r="W48" s="700">
        <f t="shared" si="72"/>
        <v>11462250</v>
      </c>
      <c r="X48" s="700">
        <f t="shared" si="72"/>
        <v>11462250</v>
      </c>
      <c r="Y48" s="700">
        <f t="shared" si="72"/>
        <v>11462250</v>
      </c>
      <c r="Z48" s="700">
        <f t="shared" si="72"/>
        <v>106</v>
      </c>
      <c r="AA48" s="700">
        <f t="shared" si="72"/>
        <v>2697000</v>
      </c>
      <c r="AB48" s="700">
        <f t="shared" si="72"/>
        <v>106</v>
      </c>
      <c r="AC48" s="700">
        <f t="shared" si="72"/>
        <v>2697000</v>
      </c>
      <c r="AD48" s="700">
        <f t="shared" si="72"/>
        <v>107</v>
      </c>
      <c r="AE48" s="700">
        <f t="shared" si="72"/>
        <v>2697000</v>
      </c>
      <c r="AF48" s="700">
        <f t="shared" si="72"/>
        <v>106</v>
      </c>
      <c r="AG48" s="700">
        <f t="shared" si="72"/>
        <v>2697000</v>
      </c>
      <c r="AH48" s="700">
        <f t="shared" si="72"/>
        <v>107</v>
      </c>
      <c r="AI48" s="700">
        <f t="shared" si="72"/>
        <v>2697000</v>
      </c>
      <c r="AJ48" s="700">
        <f t="shared" si="72"/>
        <v>107</v>
      </c>
      <c r="AK48" s="700">
        <f t="shared" si="72"/>
        <v>2697000</v>
      </c>
      <c r="AL48" s="700">
        <f t="shared" si="72"/>
        <v>107</v>
      </c>
      <c r="AM48" s="700">
        <f t="shared" si="72"/>
        <v>2697000</v>
      </c>
      <c r="AN48" s="700">
        <f t="shared" si="72"/>
        <v>107</v>
      </c>
      <c r="AO48" s="700">
        <f t="shared" si="72"/>
        <v>2697000</v>
      </c>
      <c r="AP48" s="700">
        <f t="shared" si="72"/>
        <v>96</v>
      </c>
      <c r="AQ48" s="700">
        <f t="shared" si="72"/>
        <v>2697000</v>
      </c>
      <c r="AR48" s="700">
        <f t="shared" si="72"/>
        <v>106</v>
      </c>
      <c r="AS48" s="700">
        <f t="shared" si="72"/>
        <v>2697000</v>
      </c>
      <c r="AT48" s="700">
        <f t="shared" si="72"/>
        <v>107</v>
      </c>
      <c r="AU48" s="700">
        <f t="shared" si="72"/>
        <v>2697000</v>
      </c>
      <c r="AV48" s="700">
        <f t="shared" si="72"/>
        <v>106</v>
      </c>
      <c r="AW48" s="700">
        <f t="shared" si="72"/>
        <v>2697000</v>
      </c>
      <c r="AX48" s="700">
        <f t="shared" si="72"/>
        <v>106</v>
      </c>
      <c r="AY48" s="700">
        <f t="shared" si="72"/>
        <v>2697000</v>
      </c>
      <c r="AZ48" s="700">
        <f t="shared" si="72"/>
        <v>107</v>
      </c>
      <c r="BA48" s="700">
        <f t="shared" si="72"/>
        <v>2697000</v>
      </c>
      <c r="BB48" s="700">
        <f t="shared" si="72"/>
        <v>107</v>
      </c>
      <c r="BC48" s="700">
        <f t="shared" si="72"/>
        <v>2697000</v>
      </c>
      <c r="BD48" s="700">
        <f t="shared" si="72"/>
        <v>106</v>
      </c>
      <c r="BE48" s="700">
        <f t="shared" si="72"/>
        <v>2697000</v>
      </c>
      <c r="BF48" s="700">
        <f t="shared" si="72"/>
        <v>106</v>
      </c>
      <c r="BG48" s="700">
        <f t="shared" si="72"/>
        <v>2697000</v>
      </c>
      <c r="BH48" s="700">
        <f t="shared" si="72"/>
        <v>0</v>
      </c>
      <c r="BI48" s="700">
        <f t="shared" si="72"/>
        <v>0</v>
      </c>
      <c r="BJ48" s="700">
        <f t="shared" si="72"/>
        <v>1800</v>
      </c>
      <c r="BK48" s="700">
        <f t="shared" si="72"/>
        <v>45849000</v>
      </c>
      <c r="BL48" s="700">
        <f t="shared" si="72"/>
        <v>0</v>
      </c>
      <c r="BM48" s="700">
        <f t="shared" si="72"/>
        <v>0</v>
      </c>
      <c r="BN48" s="700">
        <f t="shared" si="72"/>
        <v>0</v>
      </c>
      <c r="BO48" s="700">
        <f t="shared" si="72"/>
        <v>0</v>
      </c>
      <c r="BP48" s="700">
        <f t="shared" si="72"/>
        <v>0</v>
      </c>
      <c r="BQ48" s="700">
        <f t="shared" si="72"/>
        <v>0</v>
      </c>
      <c r="BR48" s="700">
        <f t="shared" si="72"/>
        <v>0</v>
      </c>
      <c r="BS48" s="700">
        <f>SUM(BS34:BS47)</f>
        <v>45849000</v>
      </c>
      <c r="BT48" s="700">
        <f>SUM(BT34:BT47)</f>
        <v>0</v>
      </c>
      <c r="BU48" s="700">
        <f>SUM(BU34:BU47)</f>
        <v>45849000</v>
      </c>
      <c r="BV48" s="700">
        <f>SUM(BV34:BV47)</f>
        <v>45849000</v>
      </c>
    </row>
    <row r="49" spans="1:74" s="317" customFormat="1" ht="27.75" customHeight="1" x14ac:dyDescent="0.25">
      <c r="A49" s="962"/>
      <c r="B49" s="382"/>
      <c r="C49" s="412" t="s">
        <v>329</v>
      </c>
      <c r="D49" s="408" t="s">
        <v>334</v>
      </c>
      <c r="E49" s="424"/>
      <c r="F49" s="701"/>
      <c r="G49" s="325"/>
      <c r="H49" s="325"/>
      <c r="I49" s="325"/>
      <c r="J49" s="325"/>
      <c r="K49" s="325"/>
      <c r="L49" s="325"/>
      <c r="M49" s="325"/>
      <c r="N49" s="325"/>
      <c r="O49" s="325"/>
      <c r="P49" s="325"/>
      <c r="Q49" s="325"/>
      <c r="R49" s="424"/>
      <c r="S49" s="424"/>
      <c r="T49" s="424"/>
      <c r="U49" s="424"/>
      <c r="V49" s="325"/>
      <c r="W49" s="325"/>
      <c r="X49" s="325"/>
      <c r="Y49" s="325"/>
      <c r="Z49" s="424"/>
      <c r="AA49" s="322"/>
      <c r="AB49" s="322"/>
      <c r="AC49" s="341"/>
      <c r="AD49" s="322"/>
      <c r="AE49" s="341"/>
      <c r="AF49" s="322"/>
      <c r="AG49" s="341"/>
      <c r="AH49" s="322"/>
      <c r="AI49" s="341"/>
      <c r="AJ49" s="322"/>
      <c r="AK49" s="341"/>
      <c r="AL49" s="322"/>
      <c r="AM49" s="341"/>
      <c r="AN49" s="322"/>
      <c r="AO49" s="341"/>
      <c r="AP49" s="322"/>
      <c r="AQ49" s="341"/>
      <c r="AR49" s="322"/>
      <c r="AS49" s="341"/>
      <c r="AT49" s="322"/>
      <c r="AU49" s="341"/>
      <c r="AV49" s="322"/>
      <c r="AW49" s="341"/>
      <c r="AX49" s="322"/>
      <c r="AY49" s="341"/>
      <c r="AZ49" s="322"/>
      <c r="BA49" s="341"/>
      <c r="BB49" s="322"/>
      <c r="BC49" s="341"/>
      <c r="BD49" s="322"/>
      <c r="BE49" s="341"/>
      <c r="BF49" s="322"/>
      <c r="BG49" s="341"/>
      <c r="BH49" s="322"/>
      <c r="BI49" s="341"/>
      <c r="BJ49" s="322"/>
      <c r="BK49" s="651"/>
      <c r="BL49" s="686"/>
      <c r="BN49" s="702"/>
      <c r="BO49" s="702"/>
      <c r="BP49" s="702"/>
      <c r="BQ49" s="702"/>
      <c r="BR49" s="702"/>
      <c r="BS49" s="702"/>
      <c r="BT49" s="702"/>
      <c r="BU49" s="702"/>
      <c r="BV49" s="349"/>
    </row>
    <row r="50" spans="1:74" ht="28.5" customHeight="1" x14ac:dyDescent="0.25">
      <c r="A50" s="962"/>
      <c r="B50" s="269" t="s">
        <v>1103</v>
      </c>
      <c r="C50" s="342" t="s">
        <v>133</v>
      </c>
      <c r="D50" s="408" t="s">
        <v>334</v>
      </c>
      <c r="E50" s="343">
        <v>40000</v>
      </c>
      <c r="F50" s="685">
        <f>BJ50</f>
        <v>204</v>
      </c>
      <c r="G50" s="338">
        <f>F50*E50</f>
        <v>8160000</v>
      </c>
      <c r="H50" s="338">
        <f>G50*0.5</f>
        <v>4080000</v>
      </c>
      <c r="I50" s="338">
        <f>G50*0.5</f>
        <v>4080000</v>
      </c>
      <c r="J50" s="338"/>
      <c r="K50" s="338"/>
      <c r="L50" s="338"/>
      <c r="M50" s="338"/>
      <c r="N50" s="338"/>
      <c r="O50" s="322"/>
      <c r="P50" s="322"/>
      <c r="Q50" s="322"/>
      <c r="R50" s="322">
        <f>F50*0.25</f>
        <v>51</v>
      </c>
      <c r="S50" s="322">
        <f>F50*0.25</f>
        <v>51</v>
      </c>
      <c r="T50" s="322">
        <f>F50*0.25</f>
        <v>51</v>
      </c>
      <c r="U50" s="322">
        <f>F50*0.25</f>
        <v>51</v>
      </c>
      <c r="V50" s="322">
        <f>R50*E50</f>
        <v>2040000</v>
      </c>
      <c r="W50" s="322">
        <f>S50*E50</f>
        <v>2040000</v>
      </c>
      <c r="X50" s="322">
        <f>T50*E50</f>
        <v>2040000</v>
      </c>
      <c r="Y50" s="322">
        <f>U50*E50</f>
        <v>2040000</v>
      </c>
      <c r="Z50" s="322">
        <v>12</v>
      </c>
      <c r="AA50" s="322">
        <f>Z50*E50</f>
        <v>480000</v>
      </c>
      <c r="AB50" s="322">
        <v>12</v>
      </c>
      <c r="AC50" s="341">
        <f>AB50*E50</f>
        <v>480000</v>
      </c>
      <c r="AD50" s="322">
        <v>12</v>
      </c>
      <c r="AE50" s="341">
        <f>AD50*E50</f>
        <v>480000</v>
      </c>
      <c r="AF50" s="322">
        <v>12</v>
      </c>
      <c r="AG50" s="341">
        <f>AF50*E50</f>
        <v>480000</v>
      </c>
      <c r="AH50" s="322">
        <v>12</v>
      </c>
      <c r="AI50" s="341">
        <f>AH50*E50</f>
        <v>480000</v>
      </c>
      <c r="AJ50" s="322">
        <v>12</v>
      </c>
      <c r="AK50" s="341">
        <f>AJ50*E50</f>
        <v>480000</v>
      </c>
      <c r="AL50" s="322">
        <v>12</v>
      </c>
      <c r="AM50" s="341">
        <f>AL50*E50</f>
        <v>480000</v>
      </c>
      <c r="AN50" s="322">
        <v>12</v>
      </c>
      <c r="AO50" s="341">
        <f>AN50*E50</f>
        <v>480000</v>
      </c>
      <c r="AP50" s="322">
        <v>12</v>
      </c>
      <c r="AQ50" s="341">
        <f>AP50*E50</f>
        <v>480000</v>
      </c>
      <c r="AR50" s="322">
        <v>12</v>
      </c>
      <c r="AS50" s="341">
        <f>AR50*E50</f>
        <v>480000</v>
      </c>
      <c r="AT50" s="322">
        <v>12</v>
      </c>
      <c r="AU50" s="341">
        <f>AT50*E50</f>
        <v>480000</v>
      </c>
      <c r="AV50" s="322">
        <v>12</v>
      </c>
      <c r="AW50" s="341">
        <f>AV50*E50</f>
        <v>480000</v>
      </c>
      <c r="AX50" s="322">
        <v>12</v>
      </c>
      <c r="AY50" s="341">
        <f>AX50*E50</f>
        <v>480000</v>
      </c>
      <c r="AZ50" s="322">
        <v>12</v>
      </c>
      <c r="BA50" s="341">
        <f>AZ50*E50</f>
        <v>480000</v>
      </c>
      <c r="BB50" s="322">
        <v>12</v>
      </c>
      <c r="BC50" s="341">
        <f>BB50*E50</f>
        <v>480000</v>
      </c>
      <c r="BD50" s="322">
        <v>12</v>
      </c>
      <c r="BE50" s="341">
        <f>BD50*E50</f>
        <v>480000</v>
      </c>
      <c r="BF50" s="322">
        <v>12</v>
      </c>
      <c r="BG50" s="341">
        <f>BF50*E50</f>
        <v>480000</v>
      </c>
      <c r="BH50" s="322"/>
      <c r="BI50" s="341">
        <f>BH50*E50</f>
        <v>0</v>
      </c>
      <c r="BJ50" s="322">
        <f t="shared" ref="BJ50:BK54" si="73">BH50+BF50+BD50+BB50+AZ50+AX50+AV50+AT50+AR50+AP50+AN50+AL50+AJ50+AH50+AF50+AD50+AB50+Z50</f>
        <v>204</v>
      </c>
      <c r="BK50" s="322">
        <f t="shared" si="73"/>
        <v>8160000</v>
      </c>
      <c r="BL50" s="686" t="s">
        <v>211</v>
      </c>
      <c r="BN50" s="340"/>
      <c r="BO50" s="340"/>
      <c r="BP50" s="340"/>
      <c r="BQ50" s="340"/>
      <c r="BR50" s="340"/>
      <c r="BS50" s="340"/>
      <c r="BT50" s="340">
        <f>G50</f>
        <v>8160000</v>
      </c>
      <c r="BU50" s="652">
        <f t="shared" si="43"/>
        <v>8160000</v>
      </c>
      <c r="BV50" s="341">
        <f t="shared" si="3"/>
        <v>8160000</v>
      </c>
    </row>
    <row r="51" spans="1:74" ht="33.75" customHeight="1" x14ac:dyDescent="0.25">
      <c r="A51" s="962"/>
      <c r="B51" s="269" t="s">
        <v>1104</v>
      </c>
      <c r="C51" s="344" t="s">
        <v>330</v>
      </c>
      <c r="D51" s="408" t="s">
        <v>334</v>
      </c>
      <c r="E51" s="343">
        <v>10000</v>
      </c>
      <c r="F51" s="685">
        <f>BJ51</f>
        <v>204</v>
      </c>
      <c r="G51" s="338">
        <f>F51*E51</f>
        <v>2040000</v>
      </c>
      <c r="H51" s="338">
        <f>G51*0.5</f>
        <v>1020000</v>
      </c>
      <c r="I51" s="338">
        <f>G51*0.5</f>
        <v>1020000</v>
      </c>
      <c r="J51" s="338"/>
      <c r="K51" s="338"/>
      <c r="L51" s="338"/>
      <c r="M51" s="338"/>
      <c r="N51" s="338"/>
      <c r="O51" s="322"/>
      <c r="P51" s="322"/>
      <c r="Q51" s="322"/>
      <c r="R51" s="322">
        <f>F51*0.25</f>
        <v>51</v>
      </c>
      <c r="S51" s="322">
        <f>F51*0.25</f>
        <v>51</v>
      </c>
      <c r="T51" s="322">
        <f>F51*0.25</f>
        <v>51</v>
      </c>
      <c r="U51" s="322">
        <f>F51*0.25</f>
        <v>51</v>
      </c>
      <c r="V51" s="322">
        <f>R51*E51</f>
        <v>510000</v>
      </c>
      <c r="W51" s="322">
        <f>S51*E51</f>
        <v>510000</v>
      </c>
      <c r="X51" s="322">
        <f>T51*E51</f>
        <v>510000</v>
      </c>
      <c r="Y51" s="322">
        <f>U51*E51</f>
        <v>510000</v>
      </c>
      <c r="Z51" s="322">
        <v>12</v>
      </c>
      <c r="AA51" s="322">
        <f>Z51*E51</f>
        <v>120000</v>
      </c>
      <c r="AB51" s="322">
        <v>12</v>
      </c>
      <c r="AC51" s="341">
        <f>AB51*E51</f>
        <v>120000</v>
      </c>
      <c r="AD51" s="322">
        <v>12</v>
      </c>
      <c r="AE51" s="341">
        <f>AD51*E51</f>
        <v>120000</v>
      </c>
      <c r="AF51" s="322">
        <v>12</v>
      </c>
      <c r="AG51" s="341">
        <f>AF51*E51</f>
        <v>120000</v>
      </c>
      <c r="AH51" s="322">
        <v>12</v>
      </c>
      <c r="AI51" s="341">
        <f>AH51*E51</f>
        <v>120000</v>
      </c>
      <c r="AJ51" s="322">
        <v>12</v>
      </c>
      <c r="AK51" s="341">
        <f>AJ51*E51</f>
        <v>120000</v>
      </c>
      <c r="AL51" s="322">
        <v>12</v>
      </c>
      <c r="AM51" s="341">
        <f>AL51*E51</f>
        <v>120000</v>
      </c>
      <c r="AN51" s="322">
        <v>12</v>
      </c>
      <c r="AO51" s="341">
        <f>AN51*E51</f>
        <v>120000</v>
      </c>
      <c r="AP51" s="322">
        <v>12</v>
      </c>
      <c r="AQ51" s="341">
        <f>AP51*E51</f>
        <v>120000</v>
      </c>
      <c r="AR51" s="322">
        <v>12</v>
      </c>
      <c r="AS51" s="341">
        <f>AR51*E51</f>
        <v>120000</v>
      </c>
      <c r="AT51" s="322">
        <v>12</v>
      </c>
      <c r="AU51" s="341">
        <f>AT51*E51</f>
        <v>120000</v>
      </c>
      <c r="AV51" s="322">
        <v>12</v>
      </c>
      <c r="AW51" s="341">
        <f>AV51*E51</f>
        <v>120000</v>
      </c>
      <c r="AX51" s="322">
        <v>12</v>
      </c>
      <c r="AY51" s="341">
        <f>AX51*E51</f>
        <v>120000</v>
      </c>
      <c r="AZ51" s="322">
        <v>12</v>
      </c>
      <c r="BA51" s="341">
        <f>AZ51*E51</f>
        <v>120000</v>
      </c>
      <c r="BB51" s="322">
        <v>12</v>
      </c>
      <c r="BC51" s="341">
        <f>BB51*E51</f>
        <v>120000</v>
      </c>
      <c r="BD51" s="322">
        <v>12</v>
      </c>
      <c r="BE51" s="341">
        <f>BD51*E51</f>
        <v>120000</v>
      </c>
      <c r="BF51" s="322">
        <v>12</v>
      </c>
      <c r="BG51" s="341">
        <f>BF51*E51</f>
        <v>120000</v>
      </c>
      <c r="BH51" s="322"/>
      <c r="BI51" s="341">
        <f>BH51*E51</f>
        <v>0</v>
      </c>
      <c r="BJ51" s="322">
        <f t="shared" si="73"/>
        <v>204</v>
      </c>
      <c r="BK51" s="322">
        <f t="shared" si="73"/>
        <v>2040000</v>
      </c>
      <c r="BL51" s="686" t="s">
        <v>211</v>
      </c>
      <c r="BN51" s="340"/>
      <c r="BO51" s="340"/>
      <c r="BP51" s="340"/>
      <c r="BQ51" s="340"/>
      <c r="BR51" s="340"/>
      <c r="BS51" s="340"/>
      <c r="BT51" s="340">
        <f>G51</f>
        <v>2040000</v>
      </c>
      <c r="BU51" s="652">
        <f t="shared" si="43"/>
        <v>2040000</v>
      </c>
      <c r="BV51" s="341">
        <f t="shared" si="3"/>
        <v>2040000</v>
      </c>
    </row>
    <row r="52" spans="1:74" ht="33.75" customHeight="1" x14ac:dyDescent="0.25">
      <c r="A52" s="962"/>
      <c r="B52" s="269" t="s">
        <v>1105</v>
      </c>
      <c r="C52" s="342" t="s">
        <v>127</v>
      </c>
      <c r="D52" s="408" t="s">
        <v>16</v>
      </c>
      <c r="E52" s="343">
        <v>0</v>
      </c>
      <c r="F52" s="685">
        <f>BJ52</f>
        <v>17</v>
      </c>
      <c r="G52" s="338">
        <f>F52*E52</f>
        <v>0</v>
      </c>
      <c r="H52" s="338">
        <f>G52*0.5</f>
        <v>0</v>
      </c>
      <c r="I52" s="338">
        <f>G52*0.5</f>
        <v>0</v>
      </c>
      <c r="J52" s="338"/>
      <c r="K52" s="338"/>
      <c r="L52" s="338"/>
      <c r="M52" s="338"/>
      <c r="N52" s="338"/>
      <c r="O52" s="338"/>
      <c r="P52" s="338"/>
      <c r="Q52" s="338"/>
      <c r="R52" s="322"/>
      <c r="S52" s="322">
        <f>F52</f>
        <v>17</v>
      </c>
      <c r="T52" s="322"/>
      <c r="U52" s="322"/>
      <c r="V52" s="322">
        <f>R52*E52</f>
        <v>0</v>
      </c>
      <c r="W52" s="322">
        <f>S52*E52</f>
        <v>0</v>
      </c>
      <c r="X52" s="322">
        <f>T52*E52</f>
        <v>0</v>
      </c>
      <c r="Y52" s="322">
        <f>U52*E52</f>
        <v>0</v>
      </c>
      <c r="Z52" s="322">
        <v>1</v>
      </c>
      <c r="AA52" s="322">
        <f>Z52*E52</f>
        <v>0</v>
      </c>
      <c r="AB52" s="322">
        <v>1</v>
      </c>
      <c r="AC52" s="341">
        <f>AB52*E52</f>
        <v>0</v>
      </c>
      <c r="AD52" s="322">
        <v>1</v>
      </c>
      <c r="AE52" s="341">
        <f>AD52*E52</f>
        <v>0</v>
      </c>
      <c r="AF52" s="322">
        <v>1</v>
      </c>
      <c r="AG52" s="341">
        <f>AF52*E52</f>
        <v>0</v>
      </c>
      <c r="AH52" s="322">
        <v>1</v>
      </c>
      <c r="AI52" s="341">
        <f>AH52*E52</f>
        <v>0</v>
      </c>
      <c r="AJ52" s="322">
        <v>1</v>
      </c>
      <c r="AK52" s="341">
        <f>AJ52*E52</f>
        <v>0</v>
      </c>
      <c r="AL52" s="322">
        <v>1</v>
      </c>
      <c r="AM52" s="341">
        <f>AL52*E52</f>
        <v>0</v>
      </c>
      <c r="AN52" s="322">
        <v>1</v>
      </c>
      <c r="AO52" s="341">
        <f>AN52*E52</f>
        <v>0</v>
      </c>
      <c r="AP52" s="322">
        <v>1</v>
      </c>
      <c r="AQ52" s="341">
        <f>AP52*E52</f>
        <v>0</v>
      </c>
      <c r="AR52" s="322">
        <v>1</v>
      </c>
      <c r="AS52" s="341">
        <f>AR52*E52</f>
        <v>0</v>
      </c>
      <c r="AT52" s="322">
        <v>1</v>
      </c>
      <c r="AU52" s="341">
        <f>AT52*E52</f>
        <v>0</v>
      </c>
      <c r="AV52" s="322">
        <v>1</v>
      </c>
      <c r="AW52" s="341">
        <f>AV52*E52</f>
        <v>0</v>
      </c>
      <c r="AX52" s="322">
        <v>1</v>
      </c>
      <c r="AY52" s="341">
        <f>AX52*E52</f>
        <v>0</v>
      </c>
      <c r="AZ52" s="322">
        <v>1</v>
      </c>
      <c r="BA52" s="341">
        <f>AZ52*E52</f>
        <v>0</v>
      </c>
      <c r="BB52" s="322">
        <v>1</v>
      </c>
      <c r="BC52" s="341">
        <f>BB52*E52</f>
        <v>0</v>
      </c>
      <c r="BD52" s="322">
        <v>1</v>
      </c>
      <c r="BE52" s="341">
        <f>BD52*E52</f>
        <v>0</v>
      </c>
      <c r="BF52" s="322">
        <v>1</v>
      </c>
      <c r="BG52" s="341">
        <f>BF52*E52</f>
        <v>0</v>
      </c>
      <c r="BH52" s="322"/>
      <c r="BI52" s="341">
        <f>BH52*E52</f>
        <v>0</v>
      </c>
      <c r="BJ52" s="322">
        <f t="shared" si="73"/>
        <v>17</v>
      </c>
      <c r="BK52" s="322">
        <f t="shared" si="73"/>
        <v>0</v>
      </c>
      <c r="BL52" s="686" t="s">
        <v>211</v>
      </c>
      <c r="BN52" s="340"/>
      <c r="BO52" s="340"/>
      <c r="BP52" s="353"/>
      <c r="BQ52" s="340"/>
      <c r="BR52" s="340">
        <f>BN52+BO52+BP52+BQ52</f>
        <v>0</v>
      </c>
      <c r="BS52" s="340"/>
      <c r="BT52" s="340">
        <f>G52</f>
        <v>0</v>
      </c>
      <c r="BU52" s="652">
        <f t="shared" si="43"/>
        <v>0</v>
      </c>
      <c r="BV52" s="341">
        <f t="shared" si="3"/>
        <v>0</v>
      </c>
    </row>
    <row r="53" spans="1:74" ht="33.75" customHeight="1" x14ac:dyDescent="0.25">
      <c r="A53" s="962"/>
      <c r="B53" s="269" t="s">
        <v>1106</v>
      </c>
      <c r="C53" s="344" t="s">
        <v>551</v>
      </c>
      <c r="D53" s="408" t="s">
        <v>334</v>
      </c>
      <c r="E53" s="343" t="s">
        <v>345</v>
      </c>
      <c r="F53" s="685">
        <f>BJ53</f>
        <v>204</v>
      </c>
      <c r="G53" s="338">
        <f>F53*E53</f>
        <v>5100000</v>
      </c>
      <c r="H53" s="338">
        <f>G53*0.5</f>
        <v>2550000</v>
      </c>
      <c r="I53" s="338">
        <f>G53*0.5</f>
        <v>2550000</v>
      </c>
      <c r="J53" s="338"/>
      <c r="K53" s="338"/>
      <c r="L53" s="338"/>
      <c r="M53" s="338"/>
      <c r="N53" s="338"/>
      <c r="O53" s="338"/>
      <c r="P53" s="338"/>
      <c r="Q53" s="338"/>
      <c r="R53" s="322">
        <f>F53*0.25</f>
        <v>51</v>
      </c>
      <c r="S53" s="322">
        <f>F53*0.25</f>
        <v>51</v>
      </c>
      <c r="T53" s="322">
        <f>F53*0.25</f>
        <v>51</v>
      </c>
      <c r="U53" s="322">
        <f>F53*0.25</f>
        <v>51</v>
      </c>
      <c r="V53" s="322">
        <f>R53*E53</f>
        <v>1275000</v>
      </c>
      <c r="W53" s="322">
        <f>S53*E53</f>
        <v>1275000</v>
      </c>
      <c r="X53" s="322">
        <f>T53*E53</f>
        <v>1275000</v>
      </c>
      <c r="Y53" s="322">
        <f>U53*E53</f>
        <v>1275000</v>
      </c>
      <c r="Z53" s="429">
        <v>12</v>
      </c>
      <c r="AA53" s="322">
        <f>Z53*E53</f>
        <v>300000</v>
      </c>
      <c r="AB53" s="429">
        <v>12</v>
      </c>
      <c r="AC53" s="341">
        <f>AB53*E53</f>
        <v>300000</v>
      </c>
      <c r="AD53" s="429">
        <v>12</v>
      </c>
      <c r="AE53" s="341">
        <f>AD53*E53</f>
        <v>300000</v>
      </c>
      <c r="AF53" s="429">
        <v>12</v>
      </c>
      <c r="AG53" s="341">
        <f>AF53*E53</f>
        <v>300000</v>
      </c>
      <c r="AH53" s="429">
        <v>12</v>
      </c>
      <c r="AI53" s="341">
        <f>AH53*E53</f>
        <v>300000</v>
      </c>
      <c r="AJ53" s="429">
        <v>12</v>
      </c>
      <c r="AK53" s="341">
        <f>AJ53*E53</f>
        <v>300000</v>
      </c>
      <c r="AL53" s="429">
        <v>12</v>
      </c>
      <c r="AM53" s="341">
        <f>AL53*E53</f>
        <v>300000</v>
      </c>
      <c r="AN53" s="429">
        <v>12</v>
      </c>
      <c r="AO53" s="341">
        <f>AN53*E53</f>
        <v>300000</v>
      </c>
      <c r="AP53" s="429">
        <v>12</v>
      </c>
      <c r="AQ53" s="341">
        <f>AP53*E53</f>
        <v>300000</v>
      </c>
      <c r="AR53" s="429">
        <v>12</v>
      </c>
      <c r="AS53" s="341">
        <f>AR53*E53</f>
        <v>300000</v>
      </c>
      <c r="AT53" s="429">
        <v>12</v>
      </c>
      <c r="AU53" s="341">
        <f>AT53*E53</f>
        <v>300000</v>
      </c>
      <c r="AV53" s="429">
        <v>12</v>
      </c>
      <c r="AW53" s="341">
        <f>AV53*E53</f>
        <v>300000</v>
      </c>
      <c r="AX53" s="429">
        <v>12</v>
      </c>
      <c r="AY53" s="341">
        <f>AX53*E53</f>
        <v>300000</v>
      </c>
      <c r="AZ53" s="429">
        <v>12</v>
      </c>
      <c r="BA53" s="341">
        <f>AZ53*E53</f>
        <v>300000</v>
      </c>
      <c r="BB53" s="429">
        <v>12</v>
      </c>
      <c r="BC53" s="341">
        <f>BB53*E53</f>
        <v>300000</v>
      </c>
      <c r="BD53" s="429">
        <v>12</v>
      </c>
      <c r="BE53" s="341">
        <f>BD53*E53</f>
        <v>300000</v>
      </c>
      <c r="BF53" s="429">
        <v>12</v>
      </c>
      <c r="BG53" s="341">
        <f>BF53*E53</f>
        <v>300000</v>
      </c>
      <c r="BH53" s="322"/>
      <c r="BI53" s="341">
        <f>BH53*E53</f>
        <v>0</v>
      </c>
      <c r="BJ53" s="322">
        <f t="shared" si="73"/>
        <v>204</v>
      </c>
      <c r="BK53" s="322">
        <f t="shared" si="73"/>
        <v>5100000</v>
      </c>
      <c r="BL53" s="686" t="s">
        <v>211</v>
      </c>
      <c r="BN53" s="339">
        <f t="shared" ref="BN53:BS53" si="74">SUM(BN52:BN52)</f>
        <v>0</v>
      </c>
      <c r="BO53" s="339">
        <f t="shared" si="74"/>
        <v>0</v>
      </c>
      <c r="BP53" s="339"/>
      <c r="BQ53" s="339">
        <f t="shared" si="74"/>
        <v>0</v>
      </c>
      <c r="BR53" s="339">
        <f t="shared" si="74"/>
        <v>0</v>
      </c>
      <c r="BS53" s="339">
        <f t="shared" si="74"/>
        <v>0</v>
      </c>
      <c r="BT53" s="340">
        <f>G53</f>
        <v>5100000</v>
      </c>
      <c r="BU53" s="652">
        <f t="shared" si="43"/>
        <v>5100000</v>
      </c>
      <c r="BV53" s="341">
        <f t="shared" si="3"/>
        <v>5100000</v>
      </c>
    </row>
    <row r="54" spans="1:74" ht="33.75" customHeight="1" x14ac:dyDescent="0.25">
      <c r="A54" s="962"/>
      <c r="B54" s="269" t="s">
        <v>1107</v>
      </c>
      <c r="C54" s="723" t="s">
        <v>550</v>
      </c>
      <c r="D54" s="408" t="s">
        <v>334</v>
      </c>
      <c r="E54" s="343">
        <v>0</v>
      </c>
      <c r="F54" s="685">
        <f>BJ54</f>
        <v>276</v>
      </c>
      <c r="G54" s="338">
        <f>F54*E54</f>
        <v>0</v>
      </c>
      <c r="H54" s="338">
        <f>G54*0.5</f>
        <v>0</v>
      </c>
      <c r="I54" s="338">
        <f>G54*0.5</f>
        <v>0</v>
      </c>
      <c r="J54" s="338"/>
      <c r="K54" s="338"/>
      <c r="L54" s="338"/>
      <c r="M54" s="338"/>
      <c r="N54" s="338"/>
      <c r="O54" s="338"/>
      <c r="P54" s="338"/>
      <c r="Q54" s="338"/>
      <c r="R54" s="322">
        <f>F54*0.25</f>
        <v>69</v>
      </c>
      <c r="S54" s="322">
        <f>F54*0.25</f>
        <v>69</v>
      </c>
      <c r="T54" s="322">
        <f>F54*0.25</f>
        <v>69</v>
      </c>
      <c r="U54" s="322">
        <f>F54*0.25</f>
        <v>69</v>
      </c>
      <c r="V54" s="322">
        <f>R54*E54</f>
        <v>0</v>
      </c>
      <c r="W54" s="322">
        <f>S54*E54</f>
        <v>0</v>
      </c>
      <c r="X54" s="322">
        <f>T54*E54</f>
        <v>0</v>
      </c>
      <c r="Y54" s="322">
        <f>U54*E54</f>
        <v>0</v>
      </c>
      <c r="Z54" s="322">
        <v>12</v>
      </c>
      <c r="AA54" s="322">
        <f>Z54*E54</f>
        <v>0</v>
      </c>
      <c r="AB54" s="322">
        <v>12</v>
      </c>
      <c r="AC54" s="341">
        <f>AB54*E54</f>
        <v>0</v>
      </c>
      <c r="AD54" s="322">
        <v>12</v>
      </c>
      <c r="AE54" s="341">
        <f>AD54*E54</f>
        <v>0</v>
      </c>
      <c r="AF54" s="322">
        <v>36</v>
      </c>
      <c r="AG54" s="341">
        <f>AF54*E54</f>
        <v>0</v>
      </c>
      <c r="AH54" s="322">
        <v>12</v>
      </c>
      <c r="AI54" s="341">
        <f>AH54*E54</f>
        <v>0</v>
      </c>
      <c r="AJ54" s="322">
        <v>12</v>
      </c>
      <c r="AK54" s="341">
        <f>AJ54*E54</f>
        <v>0</v>
      </c>
      <c r="AL54" s="322">
        <v>12</v>
      </c>
      <c r="AM54" s="341">
        <f>AL54*E54</f>
        <v>0</v>
      </c>
      <c r="AN54" s="322">
        <v>24</v>
      </c>
      <c r="AO54" s="341">
        <f>AN54*E54</f>
        <v>0</v>
      </c>
      <c r="AP54" s="322">
        <v>12</v>
      </c>
      <c r="AQ54" s="341">
        <f>AP54*E54</f>
        <v>0</v>
      </c>
      <c r="AR54" s="322">
        <v>12</v>
      </c>
      <c r="AS54" s="341">
        <f>AR54*E54</f>
        <v>0</v>
      </c>
      <c r="AT54" s="322">
        <v>12</v>
      </c>
      <c r="AU54" s="341">
        <f>AT54*E54</f>
        <v>0</v>
      </c>
      <c r="AV54" s="322">
        <v>12</v>
      </c>
      <c r="AW54" s="341">
        <f>AV54*E54</f>
        <v>0</v>
      </c>
      <c r="AX54" s="322">
        <v>24</v>
      </c>
      <c r="AY54" s="341">
        <f>AX54*E54</f>
        <v>0</v>
      </c>
      <c r="AZ54" s="322">
        <v>24</v>
      </c>
      <c r="BA54" s="341">
        <f>AZ54*E54</f>
        <v>0</v>
      </c>
      <c r="BB54" s="322">
        <v>12</v>
      </c>
      <c r="BC54" s="341">
        <f>BB54*E54</f>
        <v>0</v>
      </c>
      <c r="BD54" s="322">
        <f>12*2</f>
        <v>24</v>
      </c>
      <c r="BE54" s="341">
        <f>BD54*E54</f>
        <v>0</v>
      </c>
      <c r="BF54" s="322">
        <v>12</v>
      </c>
      <c r="BG54" s="341">
        <f>BF54*E54</f>
        <v>0</v>
      </c>
      <c r="BH54" s="322"/>
      <c r="BI54" s="341">
        <f>BH54*E54</f>
        <v>0</v>
      </c>
      <c r="BJ54" s="322">
        <f t="shared" si="73"/>
        <v>276</v>
      </c>
      <c r="BK54" s="322">
        <f t="shared" si="73"/>
        <v>0</v>
      </c>
      <c r="BL54" s="686" t="s">
        <v>211</v>
      </c>
      <c r="BN54" s="340"/>
      <c r="BO54" s="340"/>
      <c r="BP54" s="353"/>
      <c r="BQ54" s="340"/>
      <c r="BR54" s="340">
        <f>BN54+BO54+BP54+BQ54</f>
        <v>0</v>
      </c>
      <c r="BS54" s="340"/>
      <c r="BT54" s="340">
        <f>G54</f>
        <v>0</v>
      </c>
      <c r="BU54" s="652">
        <f t="shared" si="43"/>
        <v>0</v>
      </c>
      <c r="BV54" s="341">
        <f t="shared" si="3"/>
        <v>0</v>
      </c>
    </row>
    <row r="55" spans="1:74" s="317" customFormat="1" x14ac:dyDescent="0.25">
      <c r="A55" s="680"/>
      <c r="B55" s="382"/>
      <c r="C55" s="335" t="s">
        <v>349</v>
      </c>
      <c r="D55" s="382"/>
      <c r="E55" s="354"/>
      <c r="F55" s="424">
        <f t="shared" ref="F55:AK55" si="75">SUM(F50:F54)</f>
        <v>905</v>
      </c>
      <c r="G55" s="424">
        <f t="shared" si="75"/>
        <v>15300000</v>
      </c>
      <c r="H55" s="424">
        <f t="shared" si="75"/>
        <v>7650000</v>
      </c>
      <c r="I55" s="424">
        <f t="shared" si="75"/>
        <v>7650000</v>
      </c>
      <c r="J55" s="424">
        <f t="shared" si="75"/>
        <v>0</v>
      </c>
      <c r="K55" s="424">
        <f t="shared" si="75"/>
        <v>0</v>
      </c>
      <c r="L55" s="424">
        <f t="shared" si="75"/>
        <v>0</v>
      </c>
      <c r="M55" s="424">
        <f t="shared" si="75"/>
        <v>0</v>
      </c>
      <c r="N55" s="424">
        <f t="shared" si="75"/>
        <v>0</v>
      </c>
      <c r="O55" s="424">
        <f t="shared" si="75"/>
        <v>0</v>
      </c>
      <c r="P55" s="424">
        <f t="shared" si="75"/>
        <v>0</v>
      </c>
      <c r="Q55" s="424">
        <f t="shared" si="75"/>
        <v>0</v>
      </c>
      <c r="R55" s="424">
        <f t="shared" si="75"/>
        <v>222</v>
      </c>
      <c r="S55" s="424">
        <f t="shared" si="75"/>
        <v>239</v>
      </c>
      <c r="T55" s="424">
        <f t="shared" si="75"/>
        <v>222</v>
      </c>
      <c r="U55" s="424">
        <f t="shared" si="75"/>
        <v>222</v>
      </c>
      <c r="V55" s="424">
        <f t="shared" si="75"/>
        <v>3825000</v>
      </c>
      <c r="W55" s="424">
        <f t="shared" si="75"/>
        <v>3825000</v>
      </c>
      <c r="X55" s="424">
        <f t="shared" si="75"/>
        <v>3825000</v>
      </c>
      <c r="Y55" s="424">
        <f t="shared" si="75"/>
        <v>3825000</v>
      </c>
      <c r="Z55" s="424">
        <f t="shared" si="75"/>
        <v>49</v>
      </c>
      <c r="AA55" s="424">
        <f t="shared" si="75"/>
        <v>900000</v>
      </c>
      <c r="AB55" s="424">
        <f t="shared" si="75"/>
        <v>49</v>
      </c>
      <c r="AC55" s="424">
        <f t="shared" si="75"/>
        <v>900000</v>
      </c>
      <c r="AD55" s="424">
        <f t="shared" si="75"/>
        <v>49</v>
      </c>
      <c r="AE55" s="424">
        <f t="shared" si="75"/>
        <v>900000</v>
      </c>
      <c r="AF55" s="424">
        <f t="shared" si="75"/>
        <v>73</v>
      </c>
      <c r="AG55" s="424">
        <f t="shared" si="75"/>
        <v>900000</v>
      </c>
      <c r="AH55" s="424">
        <f t="shared" si="75"/>
        <v>49</v>
      </c>
      <c r="AI55" s="424">
        <f t="shared" si="75"/>
        <v>900000</v>
      </c>
      <c r="AJ55" s="424">
        <f t="shared" si="75"/>
        <v>49</v>
      </c>
      <c r="AK55" s="424">
        <f t="shared" si="75"/>
        <v>900000</v>
      </c>
      <c r="AL55" s="424">
        <f t="shared" ref="AL55:AW55" si="76">SUM(AL50:AL54)</f>
        <v>49</v>
      </c>
      <c r="AM55" s="424">
        <f t="shared" si="76"/>
        <v>900000</v>
      </c>
      <c r="AN55" s="424">
        <f t="shared" si="76"/>
        <v>61</v>
      </c>
      <c r="AO55" s="424">
        <f t="shared" si="76"/>
        <v>900000</v>
      </c>
      <c r="AP55" s="424">
        <f t="shared" si="76"/>
        <v>49</v>
      </c>
      <c r="AQ55" s="424">
        <f t="shared" si="76"/>
        <v>900000</v>
      </c>
      <c r="AR55" s="424">
        <f t="shared" si="76"/>
        <v>49</v>
      </c>
      <c r="AS55" s="424">
        <f t="shared" si="76"/>
        <v>900000</v>
      </c>
      <c r="AT55" s="424">
        <f t="shared" si="76"/>
        <v>49</v>
      </c>
      <c r="AU55" s="424">
        <f t="shared" si="76"/>
        <v>900000</v>
      </c>
      <c r="AV55" s="424">
        <f t="shared" si="76"/>
        <v>49</v>
      </c>
      <c r="AW55" s="424">
        <f t="shared" si="76"/>
        <v>900000</v>
      </c>
      <c r="AX55" s="424">
        <f t="shared" ref="AX55:BK55" si="77">SUM(AX50:AX54)</f>
        <v>61</v>
      </c>
      <c r="AY55" s="424">
        <f t="shared" si="77"/>
        <v>900000</v>
      </c>
      <c r="AZ55" s="424">
        <f t="shared" si="77"/>
        <v>61</v>
      </c>
      <c r="BA55" s="424">
        <f t="shared" si="77"/>
        <v>900000</v>
      </c>
      <c r="BB55" s="424">
        <f t="shared" si="77"/>
        <v>49</v>
      </c>
      <c r="BC55" s="424">
        <f t="shared" si="77"/>
        <v>900000</v>
      </c>
      <c r="BD55" s="424">
        <f t="shared" si="77"/>
        <v>61</v>
      </c>
      <c r="BE55" s="424">
        <f t="shared" si="77"/>
        <v>900000</v>
      </c>
      <c r="BF55" s="424">
        <f t="shared" si="77"/>
        <v>49</v>
      </c>
      <c r="BG55" s="424">
        <f t="shared" si="77"/>
        <v>900000</v>
      </c>
      <c r="BH55" s="424">
        <f t="shared" si="77"/>
        <v>0</v>
      </c>
      <c r="BI55" s="424">
        <f t="shared" si="77"/>
        <v>0</v>
      </c>
      <c r="BJ55" s="424">
        <f t="shared" si="77"/>
        <v>905</v>
      </c>
      <c r="BK55" s="424">
        <f t="shared" si="77"/>
        <v>15300000</v>
      </c>
      <c r="BL55" s="424">
        <f t="shared" ref="BL55:BV55" si="78">SUM(BL50:BL54)</f>
        <v>0</v>
      </c>
      <c r="BM55" s="424">
        <f t="shared" si="78"/>
        <v>0</v>
      </c>
      <c r="BN55" s="424">
        <f t="shared" si="78"/>
        <v>0</v>
      </c>
      <c r="BO55" s="424">
        <f t="shared" si="78"/>
        <v>0</v>
      </c>
      <c r="BP55" s="424">
        <f t="shared" si="78"/>
        <v>0</v>
      </c>
      <c r="BQ55" s="424">
        <f t="shared" si="78"/>
        <v>0</v>
      </c>
      <c r="BR55" s="424">
        <f t="shared" si="78"/>
        <v>0</v>
      </c>
      <c r="BS55" s="424">
        <f t="shared" si="78"/>
        <v>0</v>
      </c>
      <c r="BT55" s="424">
        <f t="shared" si="78"/>
        <v>15300000</v>
      </c>
      <c r="BU55" s="424">
        <f t="shared" si="78"/>
        <v>15300000</v>
      </c>
      <c r="BV55" s="424">
        <f t="shared" si="78"/>
        <v>15300000</v>
      </c>
    </row>
    <row r="56" spans="1:74" s="317" customFormat="1" x14ac:dyDescent="0.25">
      <c r="B56" s="332"/>
      <c r="C56" s="332" t="s">
        <v>333</v>
      </c>
      <c r="D56" s="332"/>
      <c r="E56" s="348"/>
      <c r="F56" s="332">
        <f t="shared" ref="F56:AW56" si="79">F55+F48+F30+F16</f>
        <v>3199</v>
      </c>
      <c r="G56" s="332">
        <f t="shared" si="79"/>
        <v>74709000</v>
      </c>
      <c r="H56" s="332">
        <f t="shared" si="79"/>
        <v>37078500</v>
      </c>
      <c r="I56" s="332">
        <f t="shared" si="79"/>
        <v>37630500</v>
      </c>
      <c r="J56" s="332">
        <f t="shared" si="79"/>
        <v>0</v>
      </c>
      <c r="K56" s="332">
        <f t="shared" si="79"/>
        <v>0</v>
      </c>
      <c r="L56" s="332">
        <f t="shared" si="79"/>
        <v>0</v>
      </c>
      <c r="M56" s="332">
        <f t="shared" si="79"/>
        <v>0</v>
      </c>
      <c r="N56" s="332">
        <f t="shared" si="79"/>
        <v>0</v>
      </c>
      <c r="O56" s="332">
        <f t="shared" si="79"/>
        <v>0</v>
      </c>
      <c r="P56" s="332">
        <f t="shared" si="79"/>
        <v>0</v>
      </c>
      <c r="Q56" s="332">
        <f t="shared" si="79"/>
        <v>0</v>
      </c>
      <c r="R56" s="332">
        <f t="shared" si="79"/>
        <v>792</v>
      </c>
      <c r="S56" s="332">
        <f t="shared" si="79"/>
        <v>824</v>
      </c>
      <c r="T56" s="332">
        <f t="shared" si="79"/>
        <v>792</v>
      </c>
      <c r="U56" s="332">
        <f t="shared" si="79"/>
        <v>791</v>
      </c>
      <c r="V56" s="332">
        <f t="shared" si="79"/>
        <v>18602250</v>
      </c>
      <c r="W56" s="332">
        <f t="shared" si="79"/>
        <v>19012250</v>
      </c>
      <c r="X56" s="332">
        <f t="shared" si="79"/>
        <v>18562250</v>
      </c>
      <c r="Y56" s="332">
        <f t="shared" si="79"/>
        <v>18532250</v>
      </c>
      <c r="Z56" s="332">
        <f t="shared" si="79"/>
        <v>184</v>
      </c>
      <c r="AA56" s="332">
        <f t="shared" si="79"/>
        <v>4427000</v>
      </c>
      <c r="AB56" s="332">
        <f t="shared" si="79"/>
        <v>184</v>
      </c>
      <c r="AC56" s="332">
        <f t="shared" si="79"/>
        <v>4427000</v>
      </c>
      <c r="AD56" s="332">
        <f t="shared" si="79"/>
        <v>185</v>
      </c>
      <c r="AE56" s="332">
        <f t="shared" si="79"/>
        <v>4427000</v>
      </c>
      <c r="AF56" s="332">
        <f t="shared" si="79"/>
        <v>208</v>
      </c>
      <c r="AG56" s="332">
        <f t="shared" si="79"/>
        <v>4427000</v>
      </c>
      <c r="AH56" s="332">
        <f t="shared" si="79"/>
        <v>185</v>
      </c>
      <c r="AI56" s="332">
        <f t="shared" si="79"/>
        <v>4427000</v>
      </c>
      <c r="AJ56" s="332">
        <f t="shared" si="79"/>
        <v>185</v>
      </c>
      <c r="AK56" s="332">
        <f t="shared" si="79"/>
        <v>4427000</v>
      </c>
      <c r="AL56" s="332">
        <f t="shared" si="79"/>
        <v>185</v>
      </c>
      <c r="AM56" s="332">
        <f t="shared" si="79"/>
        <v>4307000</v>
      </c>
      <c r="AN56" s="332">
        <f t="shared" si="79"/>
        <v>197</v>
      </c>
      <c r="AO56" s="332">
        <f t="shared" si="79"/>
        <v>4307000</v>
      </c>
      <c r="AP56" s="332">
        <f t="shared" si="79"/>
        <v>174</v>
      </c>
      <c r="AQ56" s="332">
        <f t="shared" si="79"/>
        <v>4427000</v>
      </c>
      <c r="AR56" s="332">
        <f t="shared" si="79"/>
        <v>184</v>
      </c>
      <c r="AS56" s="332">
        <f t="shared" si="79"/>
        <v>4307000</v>
      </c>
      <c r="AT56" s="332">
        <f t="shared" si="79"/>
        <v>185</v>
      </c>
      <c r="AU56" s="332">
        <f t="shared" si="79"/>
        <v>4307000</v>
      </c>
      <c r="AV56" s="332">
        <f t="shared" si="79"/>
        <v>184</v>
      </c>
      <c r="AW56" s="332">
        <f t="shared" si="79"/>
        <v>4487000</v>
      </c>
      <c r="AX56" s="332">
        <f t="shared" ref="AX56:BQ56" si="80">AX55+AX48+AX30+AX16</f>
        <v>197</v>
      </c>
      <c r="AY56" s="332">
        <f t="shared" si="80"/>
        <v>4497000</v>
      </c>
      <c r="AZ56" s="332">
        <f t="shared" si="80"/>
        <v>197</v>
      </c>
      <c r="BA56" s="332">
        <f t="shared" si="80"/>
        <v>4227000</v>
      </c>
      <c r="BB56" s="332">
        <f t="shared" si="80"/>
        <v>185</v>
      </c>
      <c r="BC56" s="332">
        <f t="shared" si="80"/>
        <v>4427000</v>
      </c>
      <c r="BD56" s="332">
        <f t="shared" si="80"/>
        <v>196</v>
      </c>
      <c r="BE56" s="332">
        <f t="shared" si="80"/>
        <v>4427000</v>
      </c>
      <c r="BF56" s="332">
        <f t="shared" si="80"/>
        <v>184</v>
      </c>
      <c r="BG56" s="332">
        <f t="shared" si="80"/>
        <v>4427000</v>
      </c>
      <c r="BH56" s="332">
        <f t="shared" si="80"/>
        <v>0</v>
      </c>
      <c r="BI56" s="332">
        <f t="shared" si="80"/>
        <v>0</v>
      </c>
      <c r="BJ56" s="332">
        <f t="shared" si="80"/>
        <v>3199</v>
      </c>
      <c r="BK56" s="332">
        <f t="shared" si="80"/>
        <v>74709000</v>
      </c>
      <c r="BL56" s="332">
        <f t="shared" si="80"/>
        <v>0</v>
      </c>
      <c r="BM56" s="332">
        <f t="shared" si="80"/>
        <v>0</v>
      </c>
      <c r="BN56" s="332">
        <f t="shared" si="80"/>
        <v>0</v>
      </c>
      <c r="BO56" s="332">
        <f t="shared" si="80"/>
        <v>0</v>
      </c>
      <c r="BP56" s="332">
        <f t="shared" si="80"/>
        <v>580000</v>
      </c>
      <c r="BQ56" s="332">
        <f t="shared" si="80"/>
        <v>0</v>
      </c>
      <c r="BR56" s="332">
        <f>BR55+BR48+BR30+BR16</f>
        <v>580000</v>
      </c>
      <c r="BS56" s="332">
        <f>BS55+BS48+BS30+BS16</f>
        <v>45849000</v>
      </c>
      <c r="BT56" s="332">
        <f>BT55+BT48+BT30+BT16</f>
        <v>28280000</v>
      </c>
      <c r="BU56" s="332">
        <f>BU55+BU48+BU30+BU16</f>
        <v>74129000</v>
      </c>
      <c r="BV56" s="332">
        <f>BV55+BV48+BV30+BV16</f>
        <v>74709000</v>
      </c>
    </row>
    <row r="57" spans="1:74" x14ac:dyDescent="0.25">
      <c r="X57" s="361"/>
      <c r="AA57" s="318">
        <f>+AA56+AC56+AE56+AG56+AI56+AK56+AM56+AO56+AQ56+AS56+AU56+AW56+AY56+BA56+BC56+BE56+BG56+BI56</f>
        <v>74709000</v>
      </c>
      <c r="BS57" s="361"/>
    </row>
    <row r="59" spans="1:74" x14ac:dyDescent="0.25">
      <c r="V59" s="318">
        <f>SUM(V56:Y56)</f>
        <v>74709000</v>
      </c>
      <c r="AA59" s="318" t="e">
        <f>#REF!+#REF!+#REF!+AA49+AA21</f>
        <v>#REF!</v>
      </c>
    </row>
    <row r="60" spans="1:74" x14ac:dyDescent="0.25">
      <c r="V60" s="318">
        <f>G56-V59</f>
        <v>0</v>
      </c>
      <c r="BK60" s="318">
        <f>G56-BK56</f>
        <v>0</v>
      </c>
    </row>
  </sheetData>
  <mergeCells count="37">
    <mergeCell ref="A2:B2"/>
    <mergeCell ref="C2:Q2"/>
    <mergeCell ref="A3:B3"/>
    <mergeCell ref="C3:Q3"/>
    <mergeCell ref="AP7:AQ8"/>
    <mergeCell ref="A7:D7"/>
    <mergeCell ref="E7:G7"/>
    <mergeCell ref="H7:Q7"/>
    <mergeCell ref="R7:U8"/>
    <mergeCell ref="V7:Y8"/>
    <mergeCell ref="AR7:AS8"/>
    <mergeCell ref="Z7:AA8"/>
    <mergeCell ref="AH7:AI8"/>
    <mergeCell ref="AJ7:AK8"/>
    <mergeCell ref="AL7:AM8"/>
    <mergeCell ref="AN7:AO8"/>
    <mergeCell ref="BD7:BE8"/>
    <mergeCell ref="BL7:BL9"/>
    <mergeCell ref="BN8:BR8"/>
    <mergeCell ref="BS8:BU8"/>
    <mergeCell ref="BV8:BV9"/>
    <mergeCell ref="BB7:BC8"/>
    <mergeCell ref="A10:A54"/>
    <mergeCell ref="BF7:BG8"/>
    <mergeCell ref="BH7:BI8"/>
    <mergeCell ref="BJ7:BK8"/>
    <mergeCell ref="C8:C9"/>
    <mergeCell ref="E8:E9"/>
    <mergeCell ref="F8:F9"/>
    <mergeCell ref="G8:G9"/>
    <mergeCell ref="AT7:AU8"/>
    <mergeCell ref="AV7:AW8"/>
    <mergeCell ref="AB7:AC8"/>
    <mergeCell ref="AD7:AE8"/>
    <mergeCell ref="AF7:AG8"/>
    <mergeCell ref="AX7:AY8"/>
    <mergeCell ref="AZ7:BA8"/>
  </mergeCells>
  <phoneticPr fontId="28" type="noConversion"/>
  <pageMargins left="0.25" right="0.25" top="0.75" bottom="0.75" header="0.3" footer="0.3"/>
  <pageSetup paperSize="9" scale="10" fitToHeight="2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2:BW40"/>
  <sheetViews>
    <sheetView zoomScale="80" zoomScaleNormal="80" workbookViewId="0">
      <pane xSplit="8" ySplit="10" topLeftCell="N23" activePane="bottomRight" state="frozen"/>
      <selection activeCell="C8" sqref="C8"/>
      <selection pane="topRight" activeCell="H8" sqref="H8"/>
      <selection pane="bottomLeft" activeCell="C11" sqref="C11"/>
      <selection pane="bottomRight" activeCell="E42" sqref="E42"/>
    </sheetView>
  </sheetViews>
  <sheetFormatPr defaultColWidth="9.140625" defaultRowHeight="15.75" x14ac:dyDescent="0.25"/>
  <cols>
    <col min="1" max="1" width="11.7109375" style="151" customWidth="1"/>
    <col min="2" max="2" width="14" style="151" customWidth="1"/>
    <col min="3" max="3" width="25.140625" style="151" customWidth="1"/>
    <col min="4" max="4" width="42" style="151" customWidth="1"/>
    <col min="5" max="5" width="11.42578125" style="151" customWidth="1"/>
    <col min="6" max="6" width="19.85546875" style="151" customWidth="1"/>
    <col min="7" max="7" width="8.42578125" style="151" customWidth="1"/>
    <col min="8" max="8" width="16.28515625" style="200" customWidth="1"/>
    <col min="9" max="9" width="13.140625" style="200" customWidth="1"/>
    <col min="10" max="10" width="17.28515625" style="200" customWidth="1"/>
    <col min="11" max="11" width="10.28515625" style="200" customWidth="1"/>
    <col min="12" max="12" width="13" style="200" customWidth="1"/>
    <col min="13" max="13" width="6.5703125" style="200" customWidth="1"/>
    <col min="14" max="14" width="12.140625" style="200" customWidth="1"/>
    <col min="15" max="15" width="5.5703125" style="200" customWidth="1"/>
    <col min="16" max="16" width="7.140625" style="200" customWidth="1"/>
    <col min="17" max="17" width="12" style="200" customWidth="1"/>
    <col min="18" max="18" width="8.28515625" style="151" customWidth="1"/>
    <col min="19" max="22" width="7.5703125" style="224" customWidth="1"/>
    <col min="23" max="26" width="15.42578125" style="200" customWidth="1"/>
    <col min="27" max="27" width="6.85546875" style="151" customWidth="1"/>
    <col min="28" max="28" width="12.5703125" style="151" customWidth="1"/>
    <col min="29" max="29" width="6.85546875" style="151" customWidth="1"/>
    <col min="30" max="30" width="12.5703125" style="151" customWidth="1"/>
    <col min="31" max="31" width="6.85546875" style="151" customWidth="1"/>
    <col min="32" max="32" width="13.140625" style="151" customWidth="1"/>
    <col min="33" max="33" width="6.85546875" style="151" customWidth="1"/>
    <col min="34" max="34" width="13.140625" style="151" customWidth="1"/>
    <col min="35" max="35" width="5.140625" style="151" customWidth="1"/>
    <col min="36" max="36" width="13.140625" style="151" customWidth="1"/>
    <col min="37" max="37" width="8.140625" style="151" customWidth="1"/>
    <col min="38" max="38" width="13.85546875" style="151" customWidth="1"/>
    <col min="39" max="39" width="6.7109375" style="151" customWidth="1"/>
    <col min="40" max="40" width="13.140625" style="151" customWidth="1"/>
    <col min="41" max="41" width="6.7109375" style="151" customWidth="1"/>
    <col min="42" max="42" width="13.140625" style="151" customWidth="1"/>
    <col min="43" max="43" width="7.85546875" style="151" customWidth="1"/>
    <col min="44" max="44" width="14.5703125" style="151" customWidth="1"/>
    <col min="45" max="45" width="6.42578125" style="151" customWidth="1"/>
    <col min="46" max="46" width="13.140625" style="151" customWidth="1"/>
    <col min="47" max="47" width="6.5703125" style="151" customWidth="1"/>
    <col min="48" max="48" width="13.140625" style="151" customWidth="1"/>
    <col min="49" max="49" width="7.7109375" style="151" customWidth="1"/>
    <col min="50" max="50" width="13.7109375" style="151" customWidth="1"/>
    <col min="51" max="51" width="6.85546875" style="151" customWidth="1"/>
    <col min="52" max="52" width="13.140625" style="151" customWidth="1"/>
    <col min="53" max="53" width="6.85546875" style="151" customWidth="1"/>
    <col min="54" max="54" width="13.140625" style="151" customWidth="1"/>
    <col min="55" max="55" width="6.7109375" style="151" customWidth="1"/>
    <col min="56" max="56" width="13.140625" style="151" customWidth="1"/>
    <col min="57" max="57" width="6.85546875" style="151" customWidth="1"/>
    <col min="58" max="58" width="13.140625" style="151" customWidth="1"/>
    <col min="59" max="59" width="5.140625" style="151" customWidth="1"/>
    <col min="60" max="60" width="13.140625" style="151" customWidth="1"/>
    <col min="61" max="61" width="6.140625" style="151" customWidth="1"/>
    <col min="62" max="62" width="17.28515625" style="151" customWidth="1"/>
    <col min="63" max="63" width="10.28515625" style="151" customWidth="1"/>
    <col min="64" max="64" width="15.42578125" style="151" customWidth="1"/>
    <col min="65" max="65" width="22.28515625" style="151" customWidth="1"/>
    <col min="66" max="66" width="9.140625" style="151" customWidth="1"/>
    <col min="67" max="67" width="6.85546875" style="151" bestFit="1" customWidth="1"/>
    <col min="68" max="68" width="18.85546875" style="151" bestFit="1" customWidth="1"/>
    <col min="69" max="69" width="14.42578125" style="151" bestFit="1" customWidth="1"/>
    <col min="70" max="70" width="9.28515625" style="151" bestFit="1" customWidth="1"/>
    <col min="71" max="71" width="15.7109375" style="151" bestFit="1" customWidth="1"/>
    <col min="72" max="74" width="9.28515625" style="151" bestFit="1" customWidth="1"/>
    <col min="75" max="75" width="14.42578125" style="151" bestFit="1" customWidth="1"/>
    <col min="76" max="16384" width="9.140625" style="151"/>
  </cols>
  <sheetData>
    <row r="2" spans="1:75" x14ac:dyDescent="0.25">
      <c r="A2" s="985" t="s">
        <v>158</v>
      </c>
      <c r="B2" s="985"/>
      <c r="C2" s="985" t="s">
        <v>152</v>
      </c>
      <c r="D2" s="985"/>
      <c r="E2" s="985"/>
      <c r="F2" s="985"/>
      <c r="G2" s="985"/>
      <c r="H2" s="985"/>
      <c r="I2" s="985"/>
      <c r="J2" s="985"/>
      <c r="K2" s="985"/>
      <c r="L2" s="985"/>
      <c r="M2" s="985"/>
      <c r="N2" s="985"/>
      <c r="O2" s="985"/>
      <c r="P2" s="985"/>
      <c r="Q2" s="985"/>
      <c r="R2" s="985"/>
      <c r="S2" s="213"/>
      <c r="T2" s="213"/>
      <c r="U2" s="213"/>
      <c r="V2" s="213"/>
      <c r="W2" s="201"/>
      <c r="X2" s="201"/>
      <c r="Y2" s="201"/>
      <c r="Z2" s="201"/>
    </row>
    <row r="3" spans="1:75" x14ac:dyDescent="0.25">
      <c r="A3" s="985" t="s">
        <v>160</v>
      </c>
      <c r="B3" s="985"/>
      <c r="C3" s="985" t="s">
        <v>153</v>
      </c>
      <c r="D3" s="985"/>
      <c r="E3" s="985"/>
      <c r="F3" s="985"/>
      <c r="G3" s="985"/>
      <c r="H3" s="985"/>
      <c r="I3" s="985"/>
      <c r="J3" s="985"/>
      <c r="K3" s="985"/>
      <c r="L3" s="985"/>
      <c r="M3" s="985"/>
      <c r="N3" s="985"/>
      <c r="O3" s="985"/>
      <c r="P3" s="985"/>
      <c r="Q3" s="985"/>
      <c r="R3" s="985"/>
      <c r="S3" s="213"/>
      <c r="T3" s="213"/>
      <c r="U3" s="213"/>
      <c r="V3" s="213"/>
      <c r="W3" s="201"/>
      <c r="X3" s="201"/>
      <c r="Y3" s="201"/>
      <c r="Z3" s="201"/>
    </row>
    <row r="4" spans="1:75" x14ac:dyDescent="0.25">
      <c r="A4" s="158" t="s">
        <v>155</v>
      </c>
      <c r="B4" s="158"/>
      <c r="C4" s="158" t="s">
        <v>1174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213"/>
      <c r="T4" s="213"/>
      <c r="U4" s="213"/>
      <c r="V4" s="213"/>
      <c r="W4" s="201"/>
      <c r="X4" s="201"/>
      <c r="Y4" s="201"/>
      <c r="Z4" s="201"/>
    </row>
    <row r="5" spans="1:75" x14ac:dyDescent="0.25">
      <c r="A5" s="158" t="s">
        <v>867</v>
      </c>
      <c r="B5" s="158"/>
      <c r="C5" s="158" t="s">
        <v>159</v>
      </c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213"/>
      <c r="T5" s="213"/>
      <c r="U5" s="213"/>
      <c r="V5" s="213"/>
      <c r="W5" s="201"/>
      <c r="X5" s="201"/>
      <c r="Y5" s="201"/>
      <c r="Z5" s="201"/>
    </row>
    <row r="6" spans="1:75" x14ac:dyDescent="0.25">
      <c r="A6" s="214" t="s">
        <v>868</v>
      </c>
      <c r="B6" s="214"/>
      <c r="C6" s="214" t="s">
        <v>509</v>
      </c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3"/>
      <c r="T6" s="213"/>
      <c r="U6" s="213"/>
      <c r="V6" s="213"/>
      <c r="W6" s="201"/>
      <c r="X6" s="201"/>
      <c r="Y6" s="201"/>
      <c r="Z6" s="201"/>
    </row>
    <row r="7" spans="1:75" x14ac:dyDescent="0.25">
      <c r="A7" s="977"/>
      <c r="B7" s="978"/>
      <c r="C7" s="979"/>
      <c r="D7" s="207"/>
      <c r="E7" s="207"/>
      <c r="F7" s="977" t="s">
        <v>21</v>
      </c>
      <c r="G7" s="978"/>
      <c r="H7" s="979"/>
      <c r="I7" s="980" t="s">
        <v>151</v>
      </c>
      <c r="J7" s="981"/>
      <c r="K7" s="981"/>
      <c r="L7" s="981"/>
      <c r="M7" s="981"/>
      <c r="N7" s="981"/>
      <c r="O7" s="981"/>
      <c r="P7" s="981"/>
      <c r="Q7" s="981"/>
      <c r="R7" s="982"/>
      <c r="S7" s="986" t="s">
        <v>60</v>
      </c>
      <c r="T7" s="987"/>
      <c r="U7" s="987"/>
      <c r="V7" s="988"/>
      <c r="W7" s="967" t="s">
        <v>6</v>
      </c>
      <c r="X7" s="968"/>
      <c r="Y7" s="968"/>
      <c r="Z7" s="969"/>
      <c r="AA7" s="966" t="s">
        <v>179</v>
      </c>
      <c r="AB7" s="966"/>
      <c r="AC7" s="966" t="s">
        <v>180</v>
      </c>
      <c r="AD7" s="966"/>
      <c r="AE7" s="966" t="s">
        <v>181</v>
      </c>
      <c r="AF7" s="966"/>
      <c r="AG7" s="966" t="s">
        <v>182</v>
      </c>
      <c r="AH7" s="966"/>
      <c r="AI7" s="966" t="s">
        <v>183</v>
      </c>
      <c r="AJ7" s="966"/>
      <c r="AK7" s="966" t="s">
        <v>184</v>
      </c>
      <c r="AL7" s="966"/>
      <c r="AM7" s="966" t="s">
        <v>185</v>
      </c>
      <c r="AN7" s="966"/>
      <c r="AO7" s="966" t="s">
        <v>186</v>
      </c>
      <c r="AP7" s="966"/>
      <c r="AQ7" s="966" t="s">
        <v>187</v>
      </c>
      <c r="AR7" s="966"/>
      <c r="AS7" s="966" t="s">
        <v>188</v>
      </c>
      <c r="AT7" s="966"/>
      <c r="AU7" s="966" t="s">
        <v>189</v>
      </c>
      <c r="AV7" s="966"/>
      <c r="AW7" s="966" t="s">
        <v>190</v>
      </c>
      <c r="AX7" s="966"/>
      <c r="AY7" s="966" t="s">
        <v>191</v>
      </c>
      <c r="AZ7" s="966"/>
      <c r="BA7" s="966" t="s">
        <v>192</v>
      </c>
      <c r="BB7" s="966"/>
      <c r="BC7" s="966" t="s">
        <v>193</v>
      </c>
      <c r="BD7" s="966"/>
      <c r="BE7" s="966" t="s">
        <v>194</v>
      </c>
      <c r="BF7" s="966"/>
      <c r="BG7" s="966" t="s">
        <v>195</v>
      </c>
      <c r="BH7" s="966"/>
      <c r="BI7" s="966" t="s">
        <v>196</v>
      </c>
      <c r="BJ7" s="966"/>
      <c r="BK7" s="966" t="s">
        <v>17</v>
      </c>
      <c r="BL7" s="966"/>
      <c r="BM7" s="983" t="s">
        <v>229</v>
      </c>
    </row>
    <row r="8" spans="1:75" x14ac:dyDescent="0.25">
      <c r="A8" s="973" t="s">
        <v>13</v>
      </c>
      <c r="B8" s="966"/>
      <c r="C8" s="203" t="s">
        <v>14</v>
      </c>
      <c r="D8" s="203"/>
      <c r="E8" s="203" t="s">
        <v>358</v>
      </c>
      <c r="F8" s="966" t="s">
        <v>28</v>
      </c>
      <c r="G8" s="973" t="s">
        <v>30</v>
      </c>
      <c r="H8" s="975" t="s">
        <v>31</v>
      </c>
      <c r="I8" s="16" t="s">
        <v>199</v>
      </c>
      <c r="J8" s="16" t="s">
        <v>200</v>
      </c>
      <c r="K8" s="16" t="s">
        <v>201</v>
      </c>
      <c r="L8" s="16" t="s">
        <v>202</v>
      </c>
      <c r="M8" s="16" t="s">
        <v>203</v>
      </c>
      <c r="N8" s="16" t="s">
        <v>204</v>
      </c>
      <c r="O8" s="16" t="s">
        <v>889</v>
      </c>
      <c r="P8" s="16" t="s">
        <v>205</v>
      </c>
      <c r="Q8" s="16" t="s">
        <v>206</v>
      </c>
      <c r="R8" s="16" t="s">
        <v>740</v>
      </c>
      <c r="S8" s="989"/>
      <c r="T8" s="990"/>
      <c r="U8" s="990"/>
      <c r="V8" s="991"/>
      <c r="W8" s="970"/>
      <c r="X8" s="971"/>
      <c r="Y8" s="971"/>
      <c r="Z8" s="972"/>
      <c r="AA8" s="966"/>
      <c r="AB8" s="966"/>
      <c r="AC8" s="966" t="s">
        <v>43</v>
      </c>
      <c r="AD8" s="966"/>
      <c r="AE8" s="966" t="s">
        <v>44</v>
      </c>
      <c r="AF8" s="966"/>
      <c r="AG8" s="966" t="s">
        <v>45</v>
      </c>
      <c r="AH8" s="966"/>
      <c r="AI8" s="966" t="s">
        <v>46</v>
      </c>
      <c r="AJ8" s="966"/>
      <c r="AK8" s="966" t="s">
        <v>47</v>
      </c>
      <c r="AL8" s="966"/>
      <c r="AM8" s="966" t="s">
        <v>48</v>
      </c>
      <c r="AN8" s="966"/>
      <c r="AO8" s="966" t="s">
        <v>49</v>
      </c>
      <c r="AP8" s="966"/>
      <c r="AQ8" s="966" t="s">
        <v>50</v>
      </c>
      <c r="AR8" s="966"/>
      <c r="AS8" s="966" t="s">
        <v>51</v>
      </c>
      <c r="AT8" s="966"/>
      <c r="AU8" s="966" t="s">
        <v>52</v>
      </c>
      <c r="AV8" s="966"/>
      <c r="AW8" s="966" t="s">
        <v>53</v>
      </c>
      <c r="AX8" s="966"/>
      <c r="AY8" s="966" t="s">
        <v>54</v>
      </c>
      <c r="AZ8" s="966"/>
      <c r="BA8" s="966" t="s">
        <v>55</v>
      </c>
      <c r="BB8" s="966"/>
      <c r="BC8" s="966" t="s">
        <v>40</v>
      </c>
      <c r="BD8" s="966"/>
      <c r="BE8" s="966" t="s">
        <v>37</v>
      </c>
      <c r="BF8" s="966"/>
      <c r="BG8" s="966"/>
      <c r="BH8" s="966"/>
      <c r="BI8" s="966"/>
      <c r="BJ8" s="966"/>
      <c r="BK8" s="966"/>
      <c r="BL8" s="966"/>
      <c r="BM8" s="983"/>
      <c r="BO8" s="984" t="s">
        <v>227</v>
      </c>
      <c r="BP8" s="984"/>
      <c r="BQ8" s="984"/>
      <c r="BR8" s="984"/>
      <c r="BS8" s="984"/>
      <c r="BT8" s="984" t="s">
        <v>228</v>
      </c>
      <c r="BU8" s="984"/>
      <c r="BV8" s="984"/>
      <c r="BW8" s="983" t="s">
        <v>17</v>
      </c>
    </row>
    <row r="9" spans="1:75" ht="47.25" x14ac:dyDescent="0.25">
      <c r="A9" s="974"/>
      <c r="B9" s="966"/>
      <c r="C9" s="203"/>
      <c r="D9" s="203"/>
      <c r="E9" s="203"/>
      <c r="F9" s="966"/>
      <c r="G9" s="974"/>
      <c r="H9" s="976"/>
      <c r="I9" s="167"/>
      <c r="J9" s="167"/>
      <c r="K9" s="167"/>
      <c r="L9" s="167"/>
      <c r="M9" s="167">
        <v>0</v>
      </c>
      <c r="N9" s="167">
        <v>0</v>
      </c>
      <c r="O9" s="167">
        <v>0</v>
      </c>
      <c r="P9" s="167">
        <v>0</v>
      </c>
      <c r="Q9" s="167">
        <v>0</v>
      </c>
      <c r="R9" s="167">
        <v>0</v>
      </c>
      <c r="S9" s="215" t="s">
        <v>7</v>
      </c>
      <c r="T9" s="215" t="s">
        <v>8</v>
      </c>
      <c r="U9" s="215" t="s">
        <v>9</v>
      </c>
      <c r="V9" s="215" t="s">
        <v>10</v>
      </c>
      <c r="W9" s="172" t="s">
        <v>7</v>
      </c>
      <c r="X9" s="172" t="s">
        <v>8</v>
      </c>
      <c r="Y9" s="172" t="s">
        <v>9</v>
      </c>
      <c r="Z9" s="172" t="s">
        <v>10</v>
      </c>
      <c r="AA9" s="169" t="s">
        <v>14</v>
      </c>
      <c r="AB9" s="170" t="s">
        <v>15</v>
      </c>
      <c r="AC9" s="171" t="s">
        <v>14</v>
      </c>
      <c r="AD9" s="171" t="s">
        <v>15</v>
      </c>
      <c r="AE9" s="171" t="s">
        <v>14</v>
      </c>
      <c r="AF9" s="171" t="s">
        <v>15</v>
      </c>
      <c r="AG9" s="171" t="s">
        <v>14</v>
      </c>
      <c r="AH9" s="171" t="s">
        <v>15</v>
      </c>
      <c r="AI9" s="171" t="s">
        <v>14</v>
      </c>
      <c r="AJ9" s="171" t="s">
        <v>15</v>
      </c>
      <c r="AK9" s="171" t="s">
        <v>14</v>
      </c>
      <c r="AL9" s="171" t="s">
        <v>15</v>
      </c>
      <c r="AM9" s="171" t="s">
        <v>14</v>
      </c>
      <c r="AN9" s="171" t="s">
        <v>15</v>
      </c>
      <c r="AO9" s="171" t="s">
        <v>14</v>
      </c>
      <c r="AP9" s="171" t="s">
        <v>15</v>
      </c>
      <c r="AQ9" s="171" t="s">
        <v>14</v>
      </c>
      <c r="AR9" s="171" t="s">
        <v>15</v>
      </c>
      <c r="AS9" s="171" t="s">
        <v>14</v>
      </c>
      <c r="AT9" s="171" t="s">
        <v>15</v>
      </c>
      <c r="AU9" s="171" t="s">
        <v>14</v>
      </c>
      <c r="AV9" s="171" t="s">
        <v>15</v>
      </c>
      <c r="AW9" s="171" t="s">
        <v>14</v>
      </c>
      <c r="AX9" s="171" t="s">
        <v>15</v>
      </c>
      <c r="AY9" s="171" t="s">
        <v>14</v>
      </c>
      <c r="AZ9" s="171" t="s">
        <v>15</v>
      </c>
      <c r="BA9" s="171" t="s">
        <v>14</v>
      </c>
      <c r="BB9" s="171" t="s">
        <v>15</v>
      </c>
      <c r="BC9" s="171" t="s">
        <v>14</v>
      </c>
      <c r="BD9" s="171" t="s">
        <v>15</v>
      </c>
      <c r="BE9" s="171" t="s">
        <v>14</v>
      </c>
      <c r="BF9" s="171" t="s">
        <v>15</v>
      </c>
      <c r="BG9" s="171" t="s">
        <v>14</v>
      </c>
      <c r="BH9" s="171" t="s">
        <v>15</v>
      </c>
      <c r="BI9" s="171" t="s">
        <v>14</v>
      </c>
      <c r="BJ9" s="171" t="s">
        <v>15</v>
      </c>
      <c r="BK9" s="171" t="s">
        <v>14</v>
      </c>
      <c r="BL9" s="171" t="s">
        <v>15</v>
      </c>
      <c r="BM9" s="983"/>
      <c r="BO9" s="16" t="s">
        <v>218</v>
      </c>
      <c r="BP9" s="28" t="s">
        <v>219</v>
      </c>
      <c r="BQ9" s="28" t="s">
        <v>220</v>
      </c>
      <c r="BR9" s="206" t="s">
        <v>221</v>
      </c>
      <c r="BS9" s="28" t="s">
        <v>222</v>
      </c>
      <c r="BT9" s="28" t="s">
        <v>223</v>
      </c>
      <c r="BU9" s="28" t="s">
        <v>224</v>
      </c>
      <c r="BV9" s="28" t="s">
        <v>225</v>
      </c>
      <c r="BW9" s="983"/>
    </row>
    <row r="10" spans="1:75" x14ac:dyDescent="0.25">
      <c r="A10" s="966" t="s">
        <v>29</v>
      </c>
      <c r="B10" s="156"/>
      <c r="C10" s="148"/>
      <c r="D10" s="140" t="s">
        <v>314</v>
      </c>
      <c r="E10" s="141"/>
      <c r="F10" s="143" t="s">
        <v>111</v>
      </c>
      <c r="G10" s="156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6"/>
      <c r="S10" s="161"/>
      <c r="T10" s="161"/>
      <c r="U10" s="161"/>
      <c r="V10" s="161"/>
      <c r="W10" s="157"/>
      <c r="X10" s="157"/>
      <c r="Y10" s="157"/>
      <c r="Z10" s="157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O10" s="156"/>
      <c r="BP10" s="156"/>
      <c r="BQ10" s="156"/>
      <c r="BR10" s="156"/>
      <c r="BS10" s="157">
        <f t="shared" ref="BS10:BS15" si="0">BO10+BP10+BQ10+BR10</f>
        <v>0</v>
      </c>
      <c r="BT10" s="156"/>
      <c r="BU10" s="156"/>
      <c r="BV10" s="156">
        <f>BT10+BU10</f>
        <v>0</v>
      </c>
      <c r="BW10" s="157">
        <f>BS10+BV10</f>
        <v>0</v>
      </c>
    </row>
    <row r="11" spans="1:75" x14ac:dyDescent="0.25">
      <c r="A11" s="966"/>
      <c r="B11" s="212"/>
      <c r="C11" s="140" t="s">
        <v>350</v>
      </c>
      <c r="D11" s="148" t="s">
        <v>350</v>
      </c>
      <c r="E11" s="141"/>
      <c r="F11" s="141"/>
      <c r="G11" s="133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6"/>
      <c r="S11" s="161"/>
      <c r="T11" s="161"/>
      <c r="U11" s="161"/>
      <c r="V11" s="161"/>
      <c r="W11" s="157"/>
      <c r="X11" s="157"/>
      <c r="Y11" s="157"/>
      <c r="Z11" s="157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O11" s="156"/>
      <c r="BP11" s="156"/>
      <c r="BQ11" s="156"/>
      <c r="BR11" s="156"/>
      <c r="BS11" s="157">
        <f t="shared" si="0"/>
        <v>0</v>
      </c>
      <c r="BT11" s="156"/>
      <c r="BU11" s="156"/>
      <c r="BV11" s="156">
        <f t="shared" ref="BV11:BV17" si="1">BT11+BU11</f>
        <v>0</v>
      </c>
      <c r="BW11" s="157">
        <f t="shared" ref="BW11:BW34" si="2">BS11+BV11</f>
        <v>0</v>
      </c>
    </row>
    <row r="12" spans="1:75" x14ac:dyDescent="0.25">
      <c r="A12" s="966"/>
      <c r="B12" s="212" t="s">
        <v>1108</v>
      </c>
      <c r="C12" s="148"/>
      <c r="D12" s="719" t="s">
        <v>138</v>
      </c>
      <c r="E12" s="141" t="s">
        <v>139</v>
      </c>
      <c r="F12" s="143">
        <v>0</v>
      </c>
      <c r="G12" s="133">
        <f>BK12</f>
        <v>0</v>
      </c>
      <c r="H12" s="157">
        <f>G12*F12</f>
        <v>0</v>
      </c>
      <c r="I12" s="157">
        <f>H12*0.2</f>
        <v>0</v>
      </c>
      <c r="J12" s="157">
        <f>H12*0.8</f>
        <v>0</v>
      </c>
      <c r="K12" s="157"/>
      <c r="L12" s="157"/>
      <c r="M12" s="157"/>
      <c r="N12" s="157"/>
      <c r="O12" s="157"/>
      <c r="P12" s="157"/>
      <c r="Q12" s="157"/>
      <c r="R12" s="157"/>
      <c r="S12" s="161">
        <f>G12*0.25</f>
        <v>0</v>
      </c>
      <c r="T12" s="161">
        <f>G12*0.25</f>
        <v>0</v>
      </c>
      <c r="U12" s="161">
        <f>G12*0.25</f>
        <v>0</v>
      </c>
      <c r="V12" s="161">
        <f>G12*0.25</f>
        <v>0</v>
      </c>
      <c r="W12" s="157">
        <f>S12*F12</f>
        <v>0</v>
      </c>
      <c r="X12" s="157">
        <f>T12*F12</f>
        <v>0</v>
      </c>
      <c r="Y12" s="157">
        <f>U12*F12</f>
        <v>0</v>
      </c>
      <c r="Z12" s="157">
        <f>V12*F12</f>
        <v>0</v>
      </c>
      <c r="AA12" s="156"/>
      <c r="AB12" s="155">
        <f>AA12*F12</f>
        <v>0</v>
      </c>
      <c r="AC12" s="156"/>
      <c r="AD12" s="155">
        <f>AC12*F12</f>
        <v>0</v>
      </c>
      <c r="AE12" s="156"/>
      <c r="AF12" s="155">
        <f>AE12*F12</f>
        <v>0</v>
      </c>
      <c r="AG12" s="156"/>
      <c r="AH12" s="155">
        <f>AG12*F12</f>
        <v>0</v>
      </c>
      <c r="AI12" s="156"/>
      <c r="AJ12" s="155">
        <f>AI12*F12</f>
        <v>0</v>
      </c>
      <c r="AK12" s="156"/>
      <c r="AL12" s="155"/>
      <c r="AM12" s="156"/>
      <c r="AN12" s="155">
        <f>AM12*F12</f>
        <v>0</v>
      </c>
      <c r="AO12" s="156"/>
      <c r="AP12" s="155"/>
      <c r="AQ12" s="156"/>
      <c r="AR12" s="155">
        <f>AQ12*F12</f>
        <v>0</v>
      </c>
      <c r="AS12" s="156"/>
      <c r="AT12" s="155">
        <f>AS12*F12</f>
        <v>0</v>
      </c>
      <c r="AU12" s="156"/>
      <c r="AV12" s="155"/>
      <c r="AW12" s="156"/>
      <c r="AX12" s="155"/>
      <c r="AY12" s="156"/>
      <c r="AZ12" s="155"/>
      <c r="BA12" s="156"/>
      <c r="BB12" s="155">
        <f>BA12*F12</f>
        <v>0</v>
      </c>
      <c r="BC12" s="156"/>
      <c r="BD12" s="155"/>
      <c r="BE12" s="156"/>
      <c r="BF12" s="155"/>
      <c r="BG12" s="156"/>
      <c r="BH12" s="155"/>
      <c r="BI12" s="156">
        <v>0</v>
      </c>
      <c r="BJ12" s="155">
        <f>BI12*F12</f>
        <v>0</v>
      </c>
      <c r="BK12" s="7">
        <f>AA12+AC12+AE12+AG12+AI12+AK12+AM12+AO12+AQ12+AS12+AU12+AW12+AY12+BA12+BC12+BE12+BG12+BI12</f>
        <v>0</v>
      </c>
      <c r="BL12" s="7">
        <f>AB12+AD12+AF12+AH12+AJ12+AL12+AN12+AP12+AR12+AT12+AV12+AX12+AZ12+BB12+BD12+BF12+BH12+BJ12</f>
        <v>0</v>
      </c>
      <c r="BM12" s="216" t="s">
        <v>209</v>
      </c>
      <c r="BO12" s="156"/>
      <c r="BP12" s="157">
        <f>BL12</f>
        <v>0</v>
      </c>
      <c r="BQ12" s="156"/>
      <c r="BR12" s="156"/>
      <c r="BS12" s="157">
        <f t="shared" si="0"/>
        <v>0</v>
      </c>
      <c r="BT12" s="156"/>
      <c r="BU12" s="156"/>
      <c r="BV12" s="156">
        <f t="shared" si="1"/>
        <v>0</v>
      </c>
      <c r="BW12" s="157">
        <f t="shared" si="2"/>
        <v>0</v>
      </c>
    </row>
    <row r="13" spans="1:75" x14ac:dyDescent="0.25">
      <c r="A13" s="966"/>
      <c r="B13" s="212" t="s">
        <v>1109</v>
      </c>
      <c r="C13" s="148"/>
      <c r="D13" s="719" t="s">
        <v>140</v>
      </c>
      <c r="E13" s="141" t="s">
        <v>16</v>
      </c>
      <c r="F13" s="143">
        <v>0</v>
      </c>
      <c r="G13" s="133">
        <f>BK13</f>
        <v>0</v>
      </c>
      <c r="H13" s="157">
        <f>BL13</f>
        <v>0</v>
      </c>
      <c r="I13" s="157">
        <f>H13*0.2</f>
        <v>0</v>
      </c>
      <c r="J13" s="157">
        <f>H13*0.8</f>
        <v>0</v>
      </c>
      <c r="K13" s="157"/>
      <c r="L13" s="157"/>
      <c r="M13" s="157"/>
      <c r="N13" s="157"/>
      <c r="O13" s="157"/>
      <c r="P13" s="157"/>
      <c r="Q13" s="157"/>
      <c r="R13" s="157"/>
      <c r="S13" s="161">
        <f>G13*0.25</f>
        <v>0</v>
      </c>
      <c r="T13" s="161">
        <f>G13*0.25</f>
        <v>0</v>
      </c>
      <c r="U13" s="161">
        <f>G13*0.25</f>
        <v>0</v>
      </c>
      <c r="V13" s="161">
        <f>G13*0.25</f>
        <v>0</v>
      </c>
      <c r="W13" s="157">
        <f>H13*0.25</f>
        <v>0</v>
      </c>
      <c r="X13" s="157">
        <f>H13*0.25</f>
        <v>0</v>
      </c>
      <c r="Y13" s="157">
        <f>H13*0.25</f>
        <v>0</v>
      </c>
      <c r="Z13" s="157">
        <f>H13*0.25</f>
        <v>0</v>
      </c>
      <c r="AA13" s="156">
        <v>0</v>
      </c>
      <c r="AB13" s="155">
        <f t="shared" ref="AB13:AB33" si="3">AA13*F13</f>
        <v>0</v>
      </c>
      <c r="AC13" s="156">
        <v>0</v>
      </c>
      <c r="AD13" s="155">
        <f t="shared" ref="AD13:AD33" si="4">AC13*F13</f>
        <v>0</v>
      </c>
      <c r="AE13" s="156">
        <v>0</v>
      </c>
      <c r="AF13" s="155">
        <f t="shared" ref="AF13:AF33" si="5">AE13*F13</f>
        <v>0</v>
      </c>
      <c r="AG13" s="156">
        <v>0</v>
      </c>
      <c r="AH13" s="155">
        <f>AG13*F13</f>
        <v>0</v>
      </c>
      <c r="AI13" s="156">
        <v>0</v>
      </c>
      <c r="AJ13" s="155">
        <f t="shared" ref="AJ13:AJ33" si="6">AI13*F13</f>
        <v>0</v>
      </c>
      <c r="AK13" s="156">
        <v>0</v>
      </c>
      <c r="AL13" s="155">
        <f>AK13*F13</f>
        <v>0</v>
      </c>
      <c r="AM13" s="156">
        <v>0</v>
      </c>
      <c r="AN13" s="155">
        <f t="shared" ref="AN13:AN33" si="7">AM13*F13</f>
        <v>0</v>
      </c>
      <c r="AO13" s="156">
        <v>0</v>
      </c>
      <c r="AP13" s="155">
        <f>AO13*F13</f>
        <v>0</v>
      </c>
      <c r="AQ13" s="156">
        <v>0</v>
      </c>
      <c r="AR13" s="155">
        <f>AQ13*F13/2</f>
        <v>0</v>
      </c>
      <c r="AS13" s="156">
        <v>0</v>
      </c>
      <c r="AT13" s="155">
        <f t="shared" ref="AT13:AT33" si="8">AS13*F13</f>
        <v>0</v>
      </c>
      <c r="AU13" s="156">
        <v>0</v>
      </c>
      <c r="AV13" s="155">
        <f>AU13*F13</f>
        <v>0</v>
      </c>
      <c r="AW13" s="156">
        <v>0</v>
      </c>
      <c r="AX13" s="155">
        <f>AW13*F13</f>
        <v>0</v>
      </c>
      <c r="AY13" s="156">
        <v>0</v>
      </c>
      <c r="AZ13" s="155">
        <f>AY13*F13</f>
        <v>0</v>
      </c>
      <c r="BA13" s="156">
        <v>0</v>
      </c>
      <c r="BB13" s="155">
        <f t="shared" ref="BB13:BB33" si="9">BA13*F13</f>
        <v>0</v>
      </c>
      <c r="BC13" s="156">
        <v>0</v>
      </c>
      <c r="BD13" s="155">
        <f>BC13*F13</f>
        <v>0</v>
      </c>
      <c r="BE13" s="156">
        <v>0</v>
      </c>
      <c r="BF13" s="155">
        <f>BE13*F13*2</f>
        <v>0</v>
      </c>
      <c r="BG13" s="156">
        <v>0</v>
      </c>
      <c r="BH13" s="155">
        <f>BG13*F13</f>
        <v>0</v>
      </c>
      <c r="BI13" s="156">
        <v>0</v>
      </c>
      <c r="BJ13" s="155">
        <f>BI13*F13</f>
        <v>0</v>
      </c>
      <c r="BK13" s="7">
        <f>AA13+AC13+AE13+AG13+AI13+AK13+AM13+AO13+AQ13+AS13+AU13+AW13+AY13+BA13+BC13+BE13+BG13+BI13</f>
        <v>0</v>
      </c>
      <c r="BL13" s="7">
        <f>AB13+AD13+AF13+AH13+AJ13+AL13+AN13+AP13+AR13+AT13+AV13+AX13+AZ13+BB13+BD13+BF13+BH13+BJ13</f>
        <v>0</v>
      </c>
      <c r="BM13" s="216" t="s">
        <v>209</v>
      </c>
      <c r="BO13" s="156"/>
      <c r="BP13" s="157">
        <f>BL13</f>
        <v>0</v>
      </c>
      <c r="BQ13" s="156"/>
      <c r="BR13" s="156"/>
      <c r="BS13" s="157">
        <f t="shared" si="0"/>
        <v>0</v>
      </c>
      <c r="BT13" s="156"/>
      <c r="BU13" s="156"/>
      <c r="BV13" s="156">
        <f t="shared" si="1"/>
        <v>0</v>
      </c>
      <c r="BW13" s="157">
        <f t="shared" si="2"/>
        <v>0</v>
      </c>
    </row>
    <row r="14" spans="1:75" s="158" customFormat="1" x14ac:dyDescent="0.25">
      <c r="A14" s="966"/>
      <c r="B14" s="147"/>
      <c r="C14" s="140" t="s">
        <v>141</v>
      </c>
      <c r="D14" s="153" t="s">
        <v>141</v>
      </c>
      <c r="E14" s="141" t="s">
        <v>111</v>
      </c>
      <c r="F14" s="143"/>
      <c r="G14" s="160">
        <f t="shared" ref="G14:R14" si="10">SUM(G12:G13)</f>
        <v>0</v>
      </c>
      <c r="H14" s="160">
        <f t="shared" si="10"/>
        <v>0</v>
      </c>
      <c r="I14" s="160">
        <f t="shared" si="10"/>
        <v>0</v>
      </c>
      <c r="J14" s="160">
        <f t="shared" si="10"/>
        <v>0</v>
      </c>
      <c r="K14" s="160">
        <f t="shared" si="10"/>
        <v>0</v>
      </c>
      <c r="L14" s="160">
        <f t="shared" si="10"/>
        <v>0</v>
      </c>
      <c r="M14" s="160">
        <f t="shared" si="10"/>
        <v>0</v>
      </c>
      <c r="N14" s="160">
        <f t="shared" si="10"/>
        <v>0</v>
      </c>
      <c r="O14" s="160">
        <f t="shared" si="10"/>
        <v>0</v>
      </c>
      <c r="P14" s="160">
        <f t="shared" si="10"/>
        <v>0</v>
      </c>
      <c r="Q14" s="160">
        <f t="shared" si="10"/>
        <v>0</v>
      </c>
      <c r="R14" s="160">
        <f t="shared" si="10"/>
        <v>0</v>
      </c>
      <c r="S14" s="162">
        <f t="shared" ref="S14:Z14" si="11">SUM(S12:S13)</f>
        <v>0</v>
      </c>
      <c r="T14" s="162">
        <f t="shared" si="11"/>
        <v>0</v>
      </c>
      <c r="U14" s="162">
        <f t="shared" si="11"/>
        <v>0</v>
      </c>
      <c r="V14" s="162">
        <f t="shared" si="11"/>
        <v>0</v>
      </c>
      <c r="W14" s="160">
        <f t="shared" si="11"/>
        <v>0</v>
      </c>
      <c r="X14" s="160">
        <f t="shared" si="11"/>
        <v>0</v>
      </c>
      <c r="Y14" s="160">
        <f t="shared" si="11"/>
        <v>0</v>
      </c>
      <c r="Z14" s="160">
        <f t="shared" si="11"/>
        <v>0</v>
      </c>
      <c r="AA14" s="160">
        <f>SUM(AA12:AA13)</f>
        <v>0</v>
      </c>
      <c r="AB14" s="160">
        <f>SUM(AB12:AB13)</f>
        <v>0</v>
      </c>
      <c r="AC14" s="160">
        <f t="shared" ref="AC14:BB14" si="12">SUM(AC12:AC13)</f>
        <v>0</v>
      </c>
      <c r="AD14" s="160">
        <f t="shared" si="12"/>
        <v>0</v>
      </c>
      <c r="AE14" s="160">
        <f t="shared" si="12"/>
        <v>0</v>
      </c>
      <c r="AF14" s="160">
        <f t="shared" si="12"/>
        <v>0</v>
      </c>
      <c r="AG14" s="160">
        <f t="shared" si="12"/>
        <v>0</v>
      </c>
      <c r="AH14" s="160">
        <f t="shared" si="12"/>
        <v>0</v>
      </c>
      <c r="AI14" s="160">
        <f t="shared" si="12"/>
        <v>0</v>
      </c>
      <c r="AJ14" s="160">
        <f t="shared" si="12"/>
        <v>0</v>
      </c>
      <c r="AK14" s="160">
        <f t="shared" si="12"/>
        <v>0</v>
      </c>
      <c r="AL14" s="160">
        <f t="shared" si="12"/>
        <v>0</v>
      </c>
      <c r="AM14" s="160">
        <f t="shared" si="12"/>
        <v>0</v>
      </c>
      <c r="AN14" s="160">
        <f t="shared" si="12"/>
        <v>0</v>
      </c>
      <c r="AO14" s="160">
        <f t="shared" si="12"/>
        <v>0</v>
      </c>
      <c r="AP14" s="160">
        <f t="shared" si="12"/>
        <v>0</v>
      </c>
      <c r="AQ14" s="160">
        <f t="shared" si="12"/>
        <v>0</v>
      </c>
      <c r="AR14" s="160">
        <f t="shared" si="12"/>
        <v>0</v>
      </c>
      <c r="AS14" s="160">
        <f t="shared" si="12"/>
        <v>0</v>
      </c>
      <c r="AT14" s="160">
        <f t="shared" si="12"/>
        <v>0</v>
      </c>
      <c r="AU14" s="160">
        <f t="shared" si="12"/>
        <v>0</v>
      </c>
      <c r="AV14" s="160">
        <f t="shared" si="12"/>
        <v>0</v>
      </c>
      <c r="AW14" s="160">
        <f t="shared" si="12"/>
        <v>0</v>
      </c>
      <c r="AX14" s="160">
        <f t="shared" si="12"/>
        <v>0</v>
      </c>
      <c r="AY14" s="160">
        <f t="shared" si="12"/>
        <v>0</v>
      </c>
      <c r="AZ14" s="160">
        <f t="shared" si="12"/>
        <v>0</v>
      </c>
      <c r="BA14" s="160">
        <f t="shared" si="12"/>
        <v>0</v>
      </c>
      <c r="BB14" s="160">
        <f t="shared" si="12"/>
        <v>0</v>
      </c>
      <c r="BC14" s="160">
        <f t="shared" ref="BC14:BK14" si="13">SUM(BC12:BC13)</f>
        <v>0</v>
      </c>
      <c r="BD14" s="160">
        <f t="shared" si="13"/>
        <v>0</v>
      </c>
      <c r="BE14" s="160">
        <f t="shared" si="13"/>
        <v>0</v>
      </c>
      <c r="BF14" s="160">
        <f t="shared" si="13"/>
        <v>0</v>
      </c>
      <c r="BG14" s="160">
        <f t="shared" si="13"/>
        <v>0</v>
      </c>
      <c r="BH14" s="160">
        <f t="shared" si="13"/>
        <v>0</v>
      </c>
      <c r="BI14" s="160">
        <f t="shared" si="13"/>
        <v>0</v>
      </c>
      <c r="BJ14" s="160">
        <f t="shared" si="13"/>
        <v>0</v>
      </c>
      <c r="BK14" s="160">
        <f t="shared" si="13"/>
        <v>0</v>
      </c>
      <c r="BL14" s="160">
        <f t="shared" ref="BL14:BW14" si="14">SUM(BL12:BL13)</f>
        <v>0</v>
      </c>
      <c r="BM14" s="160"/>
      <c r="BN14" s="160">
        <f t="shared" si="14"/>
        <v>0</v>
      </c>
      <c r="BO14" s="160">
        <f t="shared" si="14"/>
        <v>0</v>
      </c>
      <c r="BP14" s="160">
        <f t="shared" si="14"/>
        <v>0</v>
      </c>
      <c r="BQ14" s="160">
        <f t="shared" si="14"/>
        <v>0</v>
      </c>
      <c r="BR14" s="160">
        <f t="shared" si="14"/>
        <v>0</v>
      </c>
      <c r="BS14" s="160">
        <f t="shared" si="14"/>
        <v>0</v>
      </c>
      <c r="BT14" s="160">
        <f t="shared" si="14"/>
        <v>0</v>
      </c>
      <c r="BU14" s="160">
        <f t="shared" si="14"/>
        <v>0</v>
      </c>
      <c r="BV14" s="160">
        <f t="shared" si="14"/>
        <v>0</v>
      </c>
      <c r="BW14" s="160">
        <f t="shared" si="14"/>
        <v>0</v>
      </c>
    </row>
    <row r="15" spans="1:75" x14ac:dyDescent="0.25">
      <c r="A15" s="966"/>
      <c r="B15" s="133"/>
      <c r="C15" s="140" t="s">
        <v>351</v>
      </c>
      <c r="D15" s="148" t="s">
        <v>351</v>
      </c>
      <c r="E15" s="141"/>
      <c r="F15" s="141"/>
      <c r="G15" s="133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6"/>
      <c r="S15" s="161"/>
      <c r="T15" s="161"/>
      <c r="U15" s="161"/>
      <c r="V15" s="161"/>
      <c r="W15" s="157"/>
      <c r="X15" s="157"/>
      <c r="Y15" s="157"/>
      <c r="Z15" s="157"/>
      <c r="AA15" s="156"/>
      <c r="AB15" s="155"/>
      <c r="AC15" s="156"/>
      <c r="AD15" s="155"/>
      <c r="AE15" s="156"/>
      <c r="AF15" s="155"/>
      <c r="AG15" s="156"/>
      <c r="AH15" s="155"/>
      <c r="AI15" s="156"/>
      <c r="AJ15" s="155"/>
      <c r="AK15" s="156"/>
      <c r="AL15" s="155"/>
      <c r="AM15" s="156"/>
      <c r="AN15" s="155"/>
      <c r="AO15" s="156"/>
      <c r="AP15" s="155"/>
      <c r="AQ15" s="156"/>
      <c r="AR15" s="155"/>
      <c r="AS15" s="156"/>
      <c r="AT15" s="155"/>
      <c r="AU15" s="156"/>
      <c r="AV15" s="155"/>
      <c r="AW15" s="156"/>
      <c r="AX15" s="155"/>
      <c r="AY15" s="156"/>
      <c r="AZ15" s="155"/>
      <c r="BA15" s="156"/>
      <c r="BB15" s="155"/>
      <c r="BC15" s="156"/>
      <c r="BD15" s="155"/>
      <c r="BE15" s="156"/>
      <c r="BF15" s="155"/>
      <c r="BG15" s="156"/>
      <c r="BH15" s="155"/>
      <c r="BI15" s="156"/>
      <c r="BJ15" s="155"/>
      <c r="BK15" s="8"/>
      <c r="BL15" s="7"/>
      <c r="BM15" s="156"/>
      <c r="BO15" s="156"/>
      <c r="BP15" s="156"/>
      <c r="BQ15" s="156"/>
      <c r="BR15" s="156"/>
      <c r="BS15" s="157">
        <f t="shared" si="0"/>
        <v>0</v>
      </c>
      <c r="BT15" s="156"/>
      <c r="BU15" s="156"/>
      <c r="BV15" s="156">
        <f t="shared" si="1"/>
        <v>0</v>
      </c>
      <c r="BW15" s="157">
        <f t="shared" si="2"/>
        <v>0</v>
      </c>
    </row>
    <row r="16" spans="1:75" x14ac:dyDescent="0.25">
      <c r="A16" s="966"/>
      <c r="B16" s="212" t="s">
        <v>1109</v>
      </c>
      <c r="C16" s="148"/>
      <c r="D16" s="142" t="s">
        <v>352</v>
      </c>
      <c r="E16" s="141" t="s">
        <v>93</v>
      </c>
      <c r="F16" s="143">
        <v>10000</v>
      </c>
      <c r="G16" s="133">
        <f>BK16</f>
        <v>34</v>
      </c>
      <c r="H16" s="157">
        <f>G16*F16</f>
        <v>340000</v>
      </c>
      <c r="I16" s="157">
        <f>H16*0.2</f>
        <v>68000</v>
      </c>
      <c r="J16" s="157">
        <f>H16*0.8</f>
        <v>272000</v>
      </c>
      <c r="K16" s="157"/>
      <c r="L16" s="157"/>
      <c r="M16" s="157"/>
      <c r="N16" s="157"/>
      <c r="O16" s="157"/>
      <c r="P16" s="157"/>
      <c r="Q16" s="157"/>
      <c r="R16" s="157"/>
      <c r="S16" s="161">
        <f>G16*0.25</f>
        <v>8.5</v>
      </c>
      <c r="T16" s="161">
        <f>G16*0.25</f>
        <v>8.5</v>
      </c>
      <c r="U16" s="161">
        <f>G16*0.25</f>
        <v>8.5</v>
      </c>
      <c r="V16" s="161">
        <f>G16*0.25</f>
        <v>8.5</v>
      </c>
      <c r="W16" s="157">
        <f>S16*F16</f>
        <v>85000</v>
      </c>
      <c r="X16" s="157">
        <f>T16*F16</f>
        <v>85000</v>
      </c>
      <c r="Y16" s="157">
        <f>U16*F16</f>
        <v>85000</v>
      </c>
      <c r="Z16" s="157">
        <f>V16*F16</f>
        <v>85000</v>
      </c>
      <c r="AA16" s="156">
        <v>2</v>
      </c>
      <c r="AB16" s="155">
        <f t="shared" si="3"/>
        <v>20000</v>
      </c>
      <c r="AC16" s="156">
        <v>2</v>
      </c>
      <c r="AD16" s="155">
        <f t="shared" si="4"/>
        <v>20000</v>
      </c>
      <c r="AE16" s="156">
        <v>2</v>
      </c>
      <c r="AF16" s="155">
        <f t="shared" si="5"/>
        <v>20000</v>
      </c>
      <c r="AG16" s="156">
        <v>2</v>
      </c>
      <c r="AH16" s="155">
        <f t="shared" ref="AH16:AH33" si="15">AG16*F16</f>
        <v>20000</v>
      </c>
      <c r="AI16" s="156">
        <v>2</v>
      </c>
      <c r="AJ16" s="155">
        <f t="shared" si="6"/>
        <v>20000</v>
      </c>
      <c r="AK16" s="156">
        <v>2</v>
      </c>
      <c r="AL16" s="155">
        <f>AK16*F16</f>
        <v>20000</v>
      </c>
      <c r="AM16" s="156">
        <v>2</v>
      </c>
      <c r="AN16" s="155">
        <f t="shared" si="7"/>
        <v>20000</v>
      </c>
      <c r="AO16" s="156">
        <v>2</v>
      </c>
      <c r="AP16" s="155">
        <f>AO16*F16</f>
        <v>20000</v>
      </c>
      <c r="AQ16" s="156">
        <v>2</v>
      </c>
      <c r="AR16" s="155">
        <f t="shared" ref="AR16:AR33" si="16">AQ16*F16</f>
        <v>20000</v>
      </c>
      <c r="AS16" s="156">
        <v>2</v>
      </c>
      <c r="AT16" s="155">
        <f t="shared" si="8"/>
        <v>20000</v>
      </c>
      <c r="AU16" s="156">
        <v>2</v>
      </c>
      <c r="AV16" s="155">
        <f>AU16*F16</f>
        <v>20000</v>
      </c>
      <c r="AW16" s="156">
        <v>2</v>
      </c>
      <c r="AX16" s="155">
        <f>AW16*F16</f>
        <v>20000</v>
      </c>
      <c r="AY16" s="156">
        <v>2</v>
      </c>
      <c r="AZ16" s="155">
        <f>AY16*F16</f>
        <v>20000</v>
      </c>
      <c r="BA16" s="156">
        <v>2</v>
      </c>
      <c r="BB16" s="155">
        <f t="shared" si="9"/>
        <v>20000</v>
      </c>
      <c r="BC16" s="156">
        <v>2</v>
      </c>
      <c r="BD16" s="155">
        <f>BC16*F16</f>
        <v>20000</v>
      </c>
      <c r="BE16" s="156">
        <v>2</v>
      </c>
      <c r="BF16" s="155">
        <f>BE16*F16</f>
        <v>20000</v>
      </c>
      <c r="BG16" s="156">
        <v>2</v>
      </c>
      <c r="BH16" s="155">
        <f>BG16*F16</f>
        <v>20000</v>
      </c>
      <c r="BI16" s="156">
        <v>0</v>
      </c>
      <c r="BJ16" s="155"/>
      <c r="BK16" s="7">
        <f>AA16+AC16+AE16+AG16+AI16+AK16+AM16+AO16+AQ16+AS16+AU16+AW16+AY16+BA16+BC16+BE16+BG16+BI16</f>
        <v>34</v>
      </c>
      <c r="BL16" s="7">
        <f>AB16+AD16+AF16+AH16+AJ16+AL16+AN16+AP16+AR16+AT16+AV16+AX16+AZ16+BB16+BD16+BF16+BH16+BJ16</f>
        <v>340000</v>
      </c>
      <c r="BM16" s="216" t="s">
        <v>209</v>
      </c>
      <c r="BO16" s="156"/>
      <c r="BP16" s="157">
        <f>H16</f>
        <v>340000</v>
      </c>
      <c r="BQ16" s="156"/>
      <c r="BR16" s="156"/>
      <c r="BS16" s="157">
        <f>BO16+BP16+BQ16+BR16</f>
        <v>340000</v>
      </c>
      <c r="BT16" s="156"/>
      <c r="BU16" s="156"/>
      <c r="BV16" s="156">
        <f t="shared" si="1"/>
        <v>0</v>
      </c>
      <c r="BW16" s="157">
        <f t="shared" si="2"/>
        <v>340000</v>
      </c>
    </row>
    <row r="17" spans="1:75" x14ac:dyDescent="0.25">
      <c r="A17" s="966"/>
      <c r="B17" s="212" t="s">
        <v>1110</v>
      </c>
      <c r="C17" s="148"/>
      <c r="D17" s="142" t="s">
        <v>353</v>
      </c>
      <c r="E17" s="141" t="s">
        <v>93</v>
      </c>
      <c r="F17" s="144">
        <v>0</v>
      </c>
      <c r="G17" s="133">
        <f>BK17</f>
        <v>0</v>
      </c>
      <c r="H17" s="157">
        <f>G17*F17</f>
        <v>0</v>
      </c>
      <c r="I17" s="157">
        <f>H17*0.2</f>
        <v>0</v>
      </c>
      <c r="J17" s="157">
        <f>H17*0.8</f>
        <v>0</v>
      </c>
      <c r="K17" s="157"/>
      <c r="L17" s="157"/>
      <c r="M17" s="157"/>
      <c r="N17" s="157"/>
      <c r="O17" s="157"/>
      <c r="P17" s="157"/>
      <c r="Q17" s="157"/>
      <c r="R17" s="157"/>
      <c r="S17" s="161"/>
      <c r="T17" s="161"/>
      <c r="U17" s="161">
        <f>G17</f>
        <v>0</v>
      </c>
      <c r="V17" s="161"/>
      <c r="W17" s="157">
        <f>S17*F17</f>
        <v>0</v>
      </c>
      <c r="X17" s="157">
        <f>T17*F17</f>
        <v>0</v>
      </c>
      <c r="Y17" s="157">
        <f>U17*F17</f>
        <v>0</v>
      </c>
      <c r="Z17" s="157">
        <f>V17*F17</f>
        <v>0</v>
      </c>
      <c r="AA17" s="156"/>
      <c r="AB17" s="155">
        <f t="shared" si="3"/>
        <v>0</v>
      </c>
      <c r="AC17" s="156"/>
      <c r="AD17" s="155">
        <f t="shared" si="4"/>
        <v>0</v>
      </c>
      <c r="AE17" s="156"/>
      <c r="AF17" s="155">
        <f t="shared" si="5"/>
        <v>0</v>
      </c>
      <c r="AG17" s="156"/>
      <c r="AH17" s="155">
        <f t="shared" si="15"/>
        <v>0</v>
      </c>
      <c r="AI17" s="156"/>
      <c r="AJ17" s="155">
        <f t="shared" si="6"/>
        <v>0</v>
      </c>
      <c r="AK17" s="156"/>
      <c r="AL17" s="155"/>
      <c r="AM17" s="156"/>
      <c r="AN17" s="155">
        <f t="shared" si="7"/>
        <v>0</v>
      </c>
      <c r="AO17" s="156"/>
      <c r="AP17" s="155"/>
      <c r="AQ17" s="156"/>
      <c r="AR17" s="155">
        <f t="shared" si="16"/>
        <v>0</v>
      </c>
      <c r="AS17" s="156"/>
      <c r="AT17" s="155">
        <f t="shared" si="8"/>
        <v>0</v>
      </c>
      <c r="AU17" s="156"/>
      <c r="AV17" s="155"/>
      <c r="AW17" s="156"/>
      <c r="AX17" s="155"/>
      <c r="AY17" s="156"/>
      <c r="AZ17" s="155"/>
      <c r="BA17" s="156"/>
      <c r="BB17" s="155">
        <f t="shared" si="9"/>
        <v>0</v>
      </c>
      <c r="BC17" s="156"/>
      <c r="BD17" s="155"/>
      <c r="BE17" s="156"/>
      <c r="BF17" s="155"/>
      <c r="BG17" s="156"/>
      <c r="BH17" s="155"/>
      <c r="BI17" s="156">
        <v>0</v>
      </c>
      <c r="BJ17" s="155">
        <f>BI17*F17</f>
        <v>0</v>
      </c>
      <c r="BK17" s="7">
        <f>AA17+AC17+AE17+AG17+AI17+AK17+AM17+AO17+AQ17+AS17+AU17+AW17+AY17+BA17+BC17+BE17+BG17+BI17</f>
        <v>0</v>
      </c>
      <c r="BL17" s="7">
        <f>AB17+AD17+AF17+AH17+AJ17+AL17+AN17+AP17+AR17+AT17+AV17+AX17+AZ17+BB17+BD17+BF17+BH17+BJ17</f>
        <v>0</v>
      </c>
      <c r="BM17" s="216" t="s">
        <v>209</v>
      </c>
      <c r="BO17" s="156"/>
      <c r="BP17" s="157">
        <f>H17</f>
        <v>0</v>
      </c>
      <c r="BQ17" s="156"/>
      <c r="BR17" s="156"/>
      <c r="BS17" s="157">
        <f>BO17+BP17+BQ17+BR17</f>
        <v>0</v>
      </c>
      <c r="BT17" s="156"/>
      <c r="BU17" s="156"/>
      <c r="BV17" s="156">
        <f t="shared" si="1"/>
        <v>0</v>
      </c>
      <c r="BW17" s="157">
        <f t="shared" si="2"/>
        <v>0</v>
      </c>
    </row>
    <row r="18" spans="1:75" s="158" customFormat="1" x14ac:dyDescent="0.25">
      <c r="A18" s="966"/>
      <c r="B18" s="147"/>
      <c r="C18" s="140" t="s">
        <v>142</v>
      </c>
      <c r="D18" s="153" t="s">
        <v>142</v>
      </c>
      <c r="E18" s="141" t="s">
        <v>111</v>
      </c>
      <c r="F18" s="143"/>
      <c r="G18" s="160">
        <f t="shared" ref="G18:BR18" si="17">SUM(G16:G17)</f>
        <v>34</v>
      </c>
      <c r="H18" s="160">
        <f t="shared" si="17"/>
        <v>340000</v>
      </c>
      <c r="I18" s="160">
        <f t="shared" si="17"/>
        <v>68000</v>
      </c>
      <c r="J18" s="160">
        <f t="shared" si="17"/>
        <v>272000</v>
      </c>
      <c r="K18" s="160">
        <f t="shared" si="17"/>
        <v>0</v>
      </c>
      <c r="L18" s="160">
        <f t="shared" si="17"/>
        <v>0</v>
      </c>
      <c r="M18" s="160">
        <f t="shared" si="17"/>
        <v>0</v>
      </c>
      <c r="N18" s="160">
        <f t="shared" si="17"/>
        <v>0</v>
      </c>
      <c r="O18" s="160">
        <f t="shared" si="17"/>
        <v>0</v>
      </c>
      <c r="P18" s="160">
        <f t="shared" si="17"/>
        <v>0</v>
      </c>
      <c r="Q18" s="160">
        <f t="shared" si="17"/>
        <v>0</v>
      </c>
      <c r="R18" s="160">
        <f t="shared" si="17"/>
        <v>0</v>
      </c>
      <c r="S18" s="160">
        <f t="shared" si="17"/>
        <v>8.5</v>
      </c>
      <c r="T18" s="160">
        <f t="shared" si="17"/>
        <v>8.5</v>
      </c>
      <c r="U18" s="160">
        <f t="shared" si="17"/>
        <v>8.5</v>
      </c>
      <c r="V18" s="160">
        <f t="shared" si="17"/>
        <v>8.5</v>
      </c>
      <c r="W18" s="160">
        <f t="shared" si="17"/>
        <v>85000</v>
      </c>
      <c r="X18" s="160">
        <f t="shared" si="17"/>
        <v>85000</v>
      </c>
      <c r="Y18" s="160">
        <f t="shared" si="17"/>
        <v>85000</v>
      </c>
      <c r="Z18" s="160">
        <f t="shared" si="17"/>
        <v>85000</v>
      </c>
      <c r="AA18" s="160">
        <f t="shared" si="17"/>
        <v>2</v>
      </c>
      <c r="AB18" s="160">
        <f t="shared" si="17"/>
        <v>20000</v>
      </c>
      <c r="AC18" s="160">
        <f t="shared" si="17"/>
        <v>2</v>
      </c>
      <c r="AD18" s="160">
        <f t="shared" si="17"/>
        <v>20000</v>
      </c>
      <c r="AE18" s="160">
        <f t="shared" si="17"/>
        <v>2</v>
      </c>
      <c r="AF18" s="160">
        <f t="shared" si="17"/>
        <v>20000</v>
      </c>
      <c r="AG18" s="160">
        <f t="shared" si="17"/>
        <v>2</v>
      </c>
      <c r="AH18" s="160">
        <f t="shared" si="17"/>
        <v>20000</v>
      </c>
      <c r="AI18" s="160">
        <f t="shared" si="17"/>
        <v>2</v>
      </c>
      <c r="AJ18" s="160">
        <f t="shared" si="17"/>
        <v>20000</v>
      </c>
      <c r="AK18" s="160">
        <f t="shared" si="17"/>
        <v>2</v>
      </c>
      <c r="AL18" s="160">
        <f t="shared" si="17"/>
        <v>20000</v>
      </c>
      <c r="AM18" s="160">
        <f t="shared" si="17"/>
        <v>2</v>
      </c>
      <c r="AN18" s="160">
        <f t="shared" si="17"/>
        <v>20000</v>
      </c>
      <c r="AO18" s="160">
        <f t="shared" si="17"/>
        <v>2</v>
      </c>
      <c r="AP18" s="160">
        <f t="shared" si="17"/>
        <v>20000</v>
      </c>
      <c r="AQ18" s="160">
        <f t="shared" si="17"/>
        <v>2</v>
      </c>
      <c r="AR18" s="160">
        <f t="shared" si="17"/>
        <v>20000</v>
      </c>
      <c r="AS18" s="160">
        <f t="shared" si="17"/>
        <v>2</v>
      </c>
      <c r="AT18" s="160">
        <f t="shared" si="17"/>
        <v>20000</v>
      </c>
      <c r="AU18" s="160">
        <f t="shared" si="17"/>
        <v>2</v>
      </c>
      <c r="AV18" s="160">
        <f t="shared" si="17"/>
        <v>20000</v>
      </c>
      <c r="AW18" s="160">
        <f t="shared" si="17"/>
        <v>2</v>
      </c>
      <c r="AX18" s="160">
        <f t="shared" si="17"/>
        <v>20000</v>
      </c>
      <c r="AY18" s="160">
        <f t="shared" si="17"/>
        <v>2</v>
      </c>
      <c r="AZ18" s="160">
        <f t="shared" si="17"/>
        <v>20000</v>
      </c>
      <c r="BA18" s="160">
        <f t="shared" si="17"/>
        <v>2</v>
      </c>
      <c r="BB18" s="160">
        <f t="shared" si="17"/>
        <v>20000</v>
      </c>
      <c r="BC18" s="160">
        <f t="shared" si="17"/>
        <v>2</v>
      </c>
      <c r="BD18" s="160">
        <f t="shared" si="17"/>
        <v>20000</v>
      </c>
      <c r="BE18" s="160">
        <f t="shared" si="17"/>
        <v>2</v>
      </c>
      <c r="BF18" s="160">
        <f t="shared" si="17"/>
        <v>20000</v>
      </c>
      <c r="BG18" s="160">
        <f t="shared" si="17"/>
        <v>2</v>
      </c>
      <c r="BH18" s="160">
        <f t="shared" si="17"/>
        <v>20000</v>
      </c>
      <c r="BI18" s="160">
        <f t="shared" si="17"/>
        <v>0</v>
      </c>
      <c r="BJ18" s="160">
        <f t="shared" si="17"/>
        <v>0</v>
      </c>
      <c r="BK18" s="160">
        <f t="shared" si="17"/>
        <v>34</v>
      </c>
      <c r="BL18" s="160">
        <f t="shared" si="17"/>
        <v>340000</v>
      </c>
      <c r="BM18" s="160"/>
      <c r="BN18" s="160">
        <f t="shared" si="17"/>
        <v>0</v>
      </c>
      <c r="BO18" s="160">
        <f t="shared" si="17"/>
        <v>0</v>
      </c>
      <c r="BP18" s="160">
        <f t="shared" si="17"/>
        <v>340000</v>
      </c>
      <c r="BQ18" s="160">
        <f t="shared" si="17"/>
        <v>0</v>
      </c>
      <c r="BR18" s="160">
        <f t="shared" si="17"/>
        <v>0</v>
      </c>
      <c r="BS18" s="160">
        <f>SUM(BS16:BS17)</f>
        <v>340000</v>
      </c>
      <c r="BT18" s="160">
        <f>SUM(BT16:BT17)</f>
        <v>0</v>
      </c>
      <c r="BU18" s="160">
        <f>SUM(BU16:BU17)</f>
        <v>0</v>
      </c>
      <c r="BV18" s="160">
        <f>SUM(BV16:BV17)</f>
        <v>0</v>
      </c>
      <c r="BW18" s="160">
        <f>SUM(BW16:BW17)</f>
        <v>340000</v>
      </c>
    </row>
    <row r="19" spans="1:75" x14ac:dyDescent="0.25">
      <c r="A19" s="966"/>
      <c r="B19" s="133"/>
      <c r="C19" s="140" t="s">
        <v>354</v>
      </c>
      <c r="D19" s="148" t="s">
        <v>354</v>
      </c>
      <c r="E19" s="141"/>
      <c r="F19" s="141"/>
      <c r="G19" s="133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6"/>
      <c r="S19" s="161"/>
      <c r="T19" s="161"/>
      <c r="U19" s="161"/>
      <c r="V19" s="161"/>
      <c r="W19" s="157"/>
      <c r="X19" s="157"/>
      <c r="Y19" s="157"/>
      <c r="Z19" s="157"/>
      <c r="AA19" s="156"/>
      <c r="AB19" s="155">
        <f t="shared" si="3"/>
        <v>0</v>
      </c>
      <c r="AC19" s="156"/>
      <c r="AD19" s="155">
        <f t="shared" si="4"/>
        <v>0</v>
      </c>
      <c r="AE19" s="156"/>
      <c r="AF19" s="155">
        <f t="shared" si="5"/>
        <v>0</v>
      </c>
      <c r="AG19" s="156"/>
      <c r="AH19" s="155">
        <f t="shared" si="15"/>
        <v>0</v>
      </c>
      <c r="AI19" s="156"/>
      <c r="AJ19" s="155">
        <f t="shared" si="6"/>
        <v>0</v>
      </c>
      <c r="AK19" s="156"/>
      <c r="AL19" s="155"/>
      <c r="AM19" s="156"/>
      <c r="AN19" s="155" t="s">
        <v>36</v>
      </c>
      <c r="AO19" s="156"/>
      <c r="AP19" s="155"/>
      <c r="AQ19" s="156"/>
      <c r="AR19" s="155">
        <f t="shared" si="16"/>
        <v>0</v>
      </c>
      <c r="AS19" s="156"/>
      <c r="AT19" s="155">
        <f t="shared" si="8"/>
        <v>0</v>
      </c>
      <c r="AU19" s="156"/>
      <c r="AV19" s="155"/>
      <c r="AW19" s="156"/>
      <c r="AX19" s="155"/>
      <c r="AY19" s="156"/>
      <c r="AZ19" s="155"/>
      <c r="BA19" s="156"/>
      <c r="BB19" s="155">
        <f t="shared" si="9"/>
        <v>0</v>
      </c>
      <c r="BC19" s="156"/>
      <c r="BD19" s="155"/>
      <c r="BE19" s="156"/>
      <c r="BF19" s="155"/>
      <c r="BG19" s="156"/>
      <c r="BH19" s="155"/>
      <c r="BI19" s="156"/>
      <c r="BJ19" s="155"/>
      <c r="BK19" s="7">
        <f>AA19+AC19+AE19+AG19+AI19+AK19+AM19+AO19+AQ19+AS19+AU19+AW19+AY19+BA19+BC19+BE19+BG19+BI19</f>
        <v>0</v>
      </c>
      <c r="BL19" s="7"/>
      <c r="BM19" s="156"/>
      <c r="BO19" s="156"/>
      <c r="BP19" s="156"/>
      <c r="BQ19" s="156"/>
      <c r="BR19" s="156"/>
      <c r="BS19" s="157">
        <f>BO19+BP19+BQ19+BR19</f>
        <v>0</v>
      </c>
      <c r="BT19" s="156"/>
      <c r="BU19" s="156"/>
      <c r="BV19" s="156">
        <f>BT19+BU19</f>
        <v>0</v>
      </c>
      <c r="BW19" s="157">
        <f t="shared" si="2"/>
        <v>0</v>
      </c>
    </row>
    <row r="20" spans="1:75" x14ac:dyDescent="0.25">
      <c r="A20" s="966"/>
      <c r="B20" s="212" t="s">
        <v>1111</v>
      </c>
      <c r="C20" s="148"/>
      <c r="D20" s="142" t="s">
        <v>1239</v>
      </c>
      <c r="E20" s="141" t="s">
        <v>16</v>
      </c>
      <c r="F20" s="144">
        <v>2500000</v>
      </c>
      <c r="G20" s="133">
        <v>1</v>
      </c>
      <c r="H20" s="157">
        <f>G20*F20</f>
        <v>2500000</v>
      </c>
      <c r="I20" s="157">
        <f>H20*0.2</f>
        <v>500000</v>
      </c>
      <c r="J20" s="157">
        <f>H20*0.8</f>
        <v>2000000</v>
      </c>
      <c r="K20" s="157"/>
      <c r="L20" s="157"/>
      <c r="M20" s="157"/>
      <c r="N20" s="157"/>
      <c r="O20" s="157"/>
      <c r="P20" s="157"/>
      <c r="Q20" s="157"/>
      <c r="R20" s="157"/>
      <c r="S20" s="161">
        <v>0.5</v>
      </c>
      <c r="T20" s="161">
        <v>0.5</v>
      </c>
      <c r="U20" s="161"/>
      <c r="V20" s="161"/>
      <c r="W20" s="157">
        <f>S20*F20</f>
        <v>1250000</v>
      </c>
      <c r="X20" s="157">
        <f>T20*F20</f>
        <v>1250000</v>
      </c>
      <c r="Y20" s="157">
        <f>U20*F20</f>
        <v>0</v>
      </c>
      <c r="Z20" s="157">
        <f>V20*F20</f>
        <v>0</v>
      </c>
      <c r="AA20" s="156"/>
      <c r="AB20" s="155">
        <f t="shared" si="3"/>
        <v>0</v>
      </c>
      <c r="AC20" s="156"/>
      <c r="AD20" s="155">
        <f t="shared" si="4"/>
        <v>0</v>
      </c>
      <c r="AE20" s="156"/>
      <c r="AF20" s="155">
        <f t="shared" si="5"/>
        <v>0</v>
      </c>
      <c r="AG20" s="156"/>
      <c r="AH20" s="155">
        <f t="shared" si="15"/>
        <v>0</v>
      </c>
      <c r="AI20" s="156"/>
      <c r="AJ20" s="155">
        <f t="shared" si="6"/>
        <v>0</v>
      </c>
      <c r="AK20" s="156">
        <v>0</v>
      </c>
      <c r="AL20" s="155"/>
      <c r="AM20" s="156"/>
      <c r="AN20" s="155">
        <f t="shared" si="7"/>
        <v>0</v>
      </c>
      <c r="AO20" s="156"/>
      <c r="AP20" s="155"/>
      <c r="AQ20" s="156"/>
      <c r="AR20" s="155">
        <f t="shared" si="16"/>
        <v>0</v>
      </c>
      <c r="AS20" s="156"/>
      <c r="AT20" s="155">
        <f t="shared" si="8"/>
        <v>0</v>
      </c>
      <c r="AU20" s="156"/>
      <c r="AV20" s="155"/>
      <c r="AW20" s="156"/>
      <c r="AX20" s="155"/>
      <c r="AY20" s="156"/>
      <c r="AZ20" s="155"/>
      <c r="BA20" s="156"/>
      <c r="BB20" s="155">
        <f t="shared" si="9"/>
        <v>0</v>
      </c>
      <c r="BC20" s="156"/>
      <c r="BD20" s="155"/>
      <c r="BE20" s="156"/>
      <c r="BF20" s="155"/>
      <c r="BG20" s="156"/>
      <c r="BH20" s="155"/>
      <c r="BI20" s="156">
        <v>1</v>
      </c>
      <c r="BJ20" s="155">
        <f>BI20*F20</f>
        <v>2500000</v>
      </c>
      <c r="BK20" s="7">
        <f>AA20+AC20+AE20+AG20+AI20+AK20+AM20+AO20+AQ20+AS20+AU20+AW20+AY20+BA20+BC20+BE20+BG20+BI20</f>
        <v>1</v>
      </c>
      <c r="BL20" s="7">
        <f>AB20+AD20+AF20+AH20+AJ20+AL20+AN20+AP20+AR20+AT20+AV20+AX20+AZ20+BB20+BD20+BF20+BH20+BJ20</f>
        <v>2500000</v>
      </c>
      <c r="BM20" s="216" t="s">
        <v>209</v>
      </c>
      <c r="BO20" s="156"/>
      <c r="BP20" s="157">
        <f>H20</f>
        <v>2500000</v>
      </c>
      <c r="BQ20" s="156"/>
      <c r="BR20" s="156"/>
      <c r="BS20" s="157">
        <f>BO20+BP20+BQ20+BR20</f>
        <v>2500000</v>
      </c>
      <c r="BT20" s="156"/>
      <c r="BU20" s="156"/>
      <c r="BV20" s="156">
        <f>BT20+BU20</f>
        <v>0</v>
      </c>
      <c r="BW20" s="157">
        <f t="shared" si="2"/>
        <v>2500000</v>
      </c>
    </row>
    <row r="21" spans="1:75" x14ac:dyDescent="0.25">
      <c r="A21" s="966"/>
      <c r="B21" s="212" t="s">
        <v>1112</v>
      </c>
      <c r="C21" s="148"/>
      <c r="D21" s="142" t="s">
        <v>1251</v>
      </c>
      <c r="E21" s="141" t="s">
        <v>16</v>
      </c>
      <c r="F21" s="745">
        <v>2000000</v>
      </c>
      <c r="G21" s="133">
        <f>BK21</f>
        <v>1</v>
      </c>
      <c r="H21" s="157">
        <f>G21*F21</f>
        <v>2000000</v>
      </c>
      <c r="I21" s="157">
        <f>H21*0.2</f>
        <v>400000</v>
      </c>
      <c r="J21" s="157">
        <f>H21*0.8</f>
        <v>1600000</v>
      </c>
      <c r="K21" s="157"/>
      <c r="L21" s="157"/>
      <c r="M21" s="157"/>
      <c r="N21" s="157"/>
      <c r="O21" s="157"/>
      <c r="P21" s="157"/>
      <c r="Q21" s="157"/>
      <c r="R21" s="157"/>
      <c r="S21" s="161"/>
      <c r="T21" s="161"/>
      <c r="U21" s="161">
        <f>G21</f>
        <v>1</v>
      </c>
      <c r="V21" s="161"/>
      <c r="W21" s="157">
        <f>S21*F21</f>
        <v>0</v>
      </c>
      <c r="X21" s="157">
        <f>T21*F21</f>
        <v>0</v>
      </c>
      <c r="Y21" s="157">
        <f>U21*F21</f>
        <v>2000000</v>
      </c>
      <c r="Z21" s="157">
        <f>V21*F21</f>
        <v>0</v>
      </c>
      <c r="AA21" s="156"/>
      <c r="AB21" s="155">
        <f t="shared" si="3"/>
        <v>0</v>
      </c>
      <c r="AC21" s="156"/>
      <c r="AD21" s="155">
        <f t="shared" si="4"/>
        <v>0</v>
      </c>
      <c r="AE21" s="156"/>
      <c r="AF21" s="155">
        <f t="shared" si="5"/>
        <v>0</v>
      </c>
      <c r="AG21" s="156"/>
      <c r="AH21" s="155">
        <f t="shared" si="15"/>
        <v>0</v>
      </c>
      <c r="AI21" s="156"/>
      <c r="AJ21" s="155">
        <f t="shared" si="6"/>
        <v>0</v>
      </c>
      <c r="AK21" s="156"/>
      <c r="AL21" s="155"/>
      <c r="AM21" s="156"/>
      <c r="AN21" s="155">
        <f t="shared" si="7"/>
        <v>0</v>
      </c>
      <c r="AO21" s="156"/>
      <c r="AP21" s="155"/>
      <c r="AQ21" s="156"/>
      <c r="AR21" s="155">
        <f t="shared" si="16"/>
        <v>0</v>
      </c>
      <c r="AS21" s="156"/>
      <c r="AT21" s="155">
        <f t="shared" si="8"/>
        <v>0</v>
      </c>
      <c r="AU21" s="156"/>
      <c r="AV21" s="155"/>
      <c r="AW21" s="156"/>
      <c r="AX21" s="155"/>
      <c r="AY21" s="156"/>
      <c r="AZ21" s="155"/>
      <c r="BA21" s="156"/>
      <c r="BB21" s="155">
        <f t="shared" si="9"/>
        <v>0</v>
      </c>
      <c r="BC21" s="156"/>
      <c r="BD21" s="155"/>
      <c r="BE21" s="156"/>
      <c r="BF21" s="155"/>
      <c r="BG21" s="156"/>
      <c r="BH21" s="155"/>
      <c r="BI21" s="156">
        <v>1</v>
      </c>
      <c r="BJ21" s="155">
        <f>BI21*F21</f>
        <v>2000000</v>
      </c>
      <c r="BK21" s="7">
        <f>AA21+AC21+AE21+AG21+AI21+AK21+AM21+AO21+AQ21+AS21+AU21+AW21+AY21+BA21+BC21+BE21+BG21+BI21</f>
        <v>1</v>
      </c>
      <c r="BL21" s="7">
        <f>AB21+AD21+AF21+AH21+AJ21+AL21+AN21+AP21+AR21+AT21+AV21+AX21+AZ21+BB21+BD21+BF21+BH21+BJ21</f>
        <v>2000000</v>
      </c>
      <c r="BM21" s="216" t="s">
        <v>209</v>
      </c>
      <c r="BO21" s="156"/>
      <c r="BP21" s="157">
        <f>H21</f>
        <v>2000000</v>
      </c>
      <c r="BQ21" s="156"/>
      <c r="BR21" s="156"/>
      <c r="BS21" s="157">
        <f>BO21+BP21+BQ21+BR21</f>
        <v>2000000</v>
      </c>
      <c r="BT21" s="156"/>
      <c r="BU21" s="156"/>
      <c r="BV21" s="156">
        <f>BT21+BU21</f>
        <v>0</v>
      </c>
      <c r="BW21" s="157">
        <f t="shared" si="2"/>
        <v>2000000</v>
      </c>
    </row>
    <row r="22" spans="1:75" s="158" customFormat="1" x14ac:dyDescent="0.25">
      <c r="A22" s="966"/>
      <c r="B22" s="147"/>
      <c r="C22" s="140" t="s">
        <v>143</v>
      </c>
      <c r="D22" s="153" t="s">
        <v>143</v>
      </c>
      <c r="E22" s="145" t="s">
        <v>111</v>
      </c>
      <c r="F22" s="146" t="s">
        <v>347</v>
      </c>
      <c r="G22" s="160">
        <f t="shared" ref="G22:BR22" si="18">G21+G20</f>
        <v>2</v>
      </c>
      <c r="H22" s="160">
        <f t="shared" si="18"/>
        <v>4500000</v>
      </c>
      <c r="I22" s="160">
        <f t="shared" si="18"/>
        <v>900000</v>
      </c>
      <c r="J22" s="160">
        <f t="shared" si="18"/>
        <v>3600000</v>
      </c>
      <c r="K22" s="160">
        <f t="shared" si="18"/>
        <v>0</v>
      </c>
      <c r="L22" s="160">
        <f t="shared" si="18"/>
        <v>0</v>
      </c>
      <c r="M22" s="160">
        <f t="shared" si="18"/>
        <v>0</v>
      </c>
      <c r="N22" s="160">
        <f t="shared" si="18"/>
        <v>0</v>
      </c>
      <c r="O22" s="160">
        <f t="shared" si="18"/>
        <v>0</v>
      </c>
      <c r="P22" s="160">
        <f t="shared" si="18"/>
        <v>0</v>
      </c>
      <c r="Q22" s="160">
        <f t="shared" si="18"/>
        <v>0</v>
      </c>
      <c r="R22" s="160">
        <f t="shared" si="18"/>
        <v>0</v>
      </c>
      <c r="S22" s="160">
        <f t="shared" si="18"/>
        <v>0.5</v>
      </c>
      <c r="T22" s="160">
        <f t="shared" si="18"/>
        <v>0.5</v>
      </c>
      <c r="U22" s="160">
        <f t="shared" si="18"/>
        <v>1</v>
      </c>
      <c r="V22" s="160">
        <f t="shared" si="18"/>
        <v>0</v>
      </c>
      <c r="W22" s="160">
        <f t="shared" si="18"/>
        <v>1250000</v>
      </c>
      <c r="X22" s="160">
        <f t="shared" si="18"/>
        <v>1250000</v>
      </c>
      <c r="Y22" s="160">
        <f t="shared" si="18"/>
        <v>2000000</v>
      </c>
      <c r="Z22" s="160">
        <f t="shared" si="18"/>
        <v>0</v>
      </c>
      <c r="AA22" s="160">
        <f t="shared" si="18"/>
        <v>0</v>
      </c>
      <c r="AB22" s="160">
        <f t="shared" si="18"/>
        <v>0</v>
      </c>
      <c r="AC22" s="160">
        <f t="shared" si="18"/>
        <v>0</v>
      </c>
      <c r="AD22" s="160">
        <f t="shared" si="18"/>
        <v>0</v>
      </c>
      <c r="AE22" s="160">
        <f t="shared" si="18"/>
        <v>0</v>
      </c>
      <c r="AF22" s="160">
        <f t="shared" si="18"/>
        <v>0</v>
      </c>
      <c r="AG22" s="160">
        <f t="shared" si="18"/>
        <v>0</v>
      </c>
      <c r="AH22" s="160">
        <f t="shared" si="18"/>
        <v>0</v>
      </c>
      <c r="AI22" s="160">
        <f t="shared" si="18"/>
        <v>0</v>
      </c>
      <c r="AJ22" s="160">
        <f t="shared" si="18"/>
        <v>0</v>
      </c>
      <c r="AK22" s="160">
        <f t="shared" si="18"/>
        <v>0</v>
      </c>
      <c r="AL22" s="160">
        <f t="shared" si="18"/>
        <v>0</v>
      </c>
      <c r="AM22" s="160">
        <f t="shared" si="18"/>
        <v>0</v>
      </c>
      <c r="AN22" s="160">
        <f t="shared" si="18"/>
        <v>0</v>
      </c>
      <c r="AO22" s="160">
        <f t="shared" si="18"/>
        <v>0</v>
      </c>
      <c r="AP22" s="160">
        <f t="shared" si="18"/>
        <v>0</v>
      </c>
      <c r="AQ22" s="160">
        <f t="shared" si="18"/>
        <v>0</v>
      </c>
      <c r="AR22" s="160">
        <f t="shared" si="18"/>
        <v>0</v>
      </c>
      <c r="AS22" s="160">
        <f t="shared" si="18"/>
        <v>0</v>
      </c>
      <c r="AT22" s="160">
        <f t="shared" si="18"/>
        <v>0</v>
      </c>
      <c r="AU22" s="160">
        <f t="shared" si="18"/>
        <v>0</v>
      </c>
      <c r="AV22" s="160">
        <f t="shared" si="18"/>
        <v>0</v>
      </c>
      <c r="AW22" s="160">
        <f t="shared" si="18"/>
        <v>0</v>
      </c>
      <c r="AX22" s="160">
        <f t="shared" si="18"/>
        <v>0</v>
      </c>
      <c r="AY22" s="160">
        <f t="shared" si="18"/>
        <v>0</v>
      </c>
      <c r="AZ22" s="160">
        <f t="shared" si="18"/>
        <v>0</v>
      </c>
      <c r="BA22" s="160">
        <f t="shared" si="18"/>
        <v>0</v>
      </c>
      <c r="BB22" s="160">
        <f t="shared" si="18"/>
        <v>0</v>
      </c>
      <c r="BC22" s="160">
        <f t="shared" si="18"/>
        <v>0</v>
      </c>
      <c r="BD22" s="160">
        <f t="shared" si="18"/>
        <v>0</v>
      </c>
      <c r="BE22" s="160">
        <f t="shared" si="18"/>
        <v>0</v>
      </c>
      <c r="BF22" s="160">
        <f t="shared" si="18"/>
        <v>0</v>
      </c>
      <c r="BG22" s="160">
        <f t="shared" si="18"/>
        <v>0</v>
      </c>
      <c r="BH22" s="160">
        <f t="shared" si="18"/>
        <v>0</v>
      </c>
      <c r="BI22" s="160">
        <f t="shared" si="18"/>
        <v>2</v>
      </c>
      <c r="BJ22" s="160">
        <f t="shared" si="18"/>
        <v>4500000</v>
      </c>
      <c r="BK22" s="160">
        <f t="shared" si="18"/>
        <v>2</v>
      </c>
      <c r="BL22" s="160">
        <f t="shared" si="18"/>
        <v>4500000</v>
      </c>
      <c r="BM22" s="160"/>
      <c r="BN22" s="160">
        <f t="shared" si="18"/>
        <v>0</v>
      </c>
      <c r="BO22" s="160">
        <f t="shared" si="18"/>
        <v>0</v>
      </c>
      <c r="BP22" s="160">
        <f t="shared" si="18"/>
        <v>4500000</v>
      </c>
      <c r="BQ22" s="160">
        <f t="shared" si="18"/>
        <v>0</v>
      </c>
      <c r="BR22" s="160">
        <f t="shared" si="18"/>
        <v>0</v>
      </c>
      <c r="BS22" s="160">
        <f>BS21+BS20</f>
        <v>4500000</v>
      </c>
      <c r="BT22" s="160">
        <f>BT21+BT20</f>
        <v>0</v>
      </c>
      <c r="BU22" s="160">
        <f>BU21+BU20</f>
        <v>0</v>
      </c>
      <c r="BV22" s="160">
        <f>BV21+BV20</f>
        <v>0</v>
      </c>
      <c r="BW22" s="160">
        <f>BW21+BW20</f>
        <v>4500000</v>
      </c>
    </row>
    <row r="23" spans="1:75" s="158" customFormat="1" x14ac:dyDescent="0.25">
      <c r="A23" s="966"/>
      <c r="B23" s="147"/>
      <c r="C23" s="140" t="s">
        <v>355</v>
      </c>
      <c r="D23" s="153" t="s">
        <v>355</v>
      </c>
      <c r="E23" s="141"/>
      <c r="F23" s="143"/>
      <c r="G23" s="204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2"/>
      <c r="T23" s="162"/>
      <c r="U23" s="162"/>
      <c r="V23" s="162"/>
      <c r="W23" s="160"/>
      <c r="X23" s="160"/>
      <c r="Y23" s="160"/>
      <c r="Z23" s="160"/>
      <c r="AA23" s="156"/>
      <c r="AB23" s="155">
        <f t="shared" si="3"/>
        <v>0</v>
      </c>
      <c r="AC23" s="156"/>
      <c r="AD23" s="155">
        <f t="shared" si="4"/>
        <v>0</v>
      </c>
      <c r="AE23" s="156"/>
      <c r="AF23" s="155">
        <f t="shared" si="5"/>
        <v>0</v>
      </c>
      <c r="AG23" s="156"/>
      <c r="AH23" s="155">
        <f t="shared" si="15"/>
        <v>0</v>
      </c>
      <c r="AI23" s="156"/>
      <c r="AJ23" s="155">
        <f t="shared" si="6"/>
        <v>0</v>
      </c>
      <c r="AK23" s="156"/>
      <c r="AL23" s="155"/>
      <c r="AM23" s="156"/>
      <c r="AN23" s="155">
        <f t="shared" si="7"/>
        <v>0</v>
      </c>
      <c r="AO23" s="156"/>
      <c r="AP23" s="155"/>
      <c r="AQ23" s="156"/>
      <c r="AR23" s="155">
        <f t="shared" si="16"/>
        <v>0</v>
      </c>
      <c r="AS23" s="156"/>
      <c r="AT23" s="155">
        <f t="shared" si="8"/>
        <v>0</v>
      </c>
      <c r="AU23" s="156"/>
      <c r="AV23" s="155"/>
      <c r="AW23" s="156"/>
      <c r="AX23" s="155"/>
      <c r="AY23" s="156"/>
      <c r="AZ23" s="155"/>
      <c r="BA23" s="156"/>
      <c r="BB23" s="155">
        <f t="shared" si="9"/>
        <v>0</v>
      </c>
      <c r="BC23" s="156"/>
      <c r="BD23" s="155"/>
      <c r="BE23" s="156"/>
      <c r="BF23" s="155"/>
      <c r="BG23" s="156"/>
      <c r="BH23" s="155"/>
      <c r="BI23" s="156"/>
      <c r="BJ23" s="155"/>
      <c r="BK23" s="7">
        <f t="shared" ref="BK23:BL26" si="19">AA23+AC23+AE23+AG23+AI23+AK23+AM23+AO23+AQ23+AS23+AU23+AW23+AY23+BA23+BC23+BE23+BG23+BI23</f>
        <v>0</v>
      </c>
      <c r="BL23" s="7">
        <f t="shared" si="19"/>
        <v>0</v>
      </c>
      <c r="BM23" s="152"/>
      <c r="BO23" s="160"/>
      <c r="BP23" s="160"/>
      <c r="BQ23" s="160"/>
      <c r="BR23" s="160"/>
      <c r="BS23" s="160"/>
      <c r="BT23" s="160"/>
      <c r="BU23" s="160"/>
      <c r="BV23" s="160"/>
      <c r="BW23" s="160"/>
    </row>
    <row r="24" spans="1:75" x14ac:dyDescent="0.25">
      <c r="A24" s="966"/>
      <c r="B24" s="212" t="s">
        <v>1113</v>
      </c>
      <c r="C24" s="148"/>
      <c r="D24" s="142" t="s">
        <v>144</v>
      </c>
      <c r="E24" s="141" t="s">
        <v>16</v>
      </c>
      <c r="F24" s="143">
        <v>100000</v>
      </c>
      <c r="G24" s="133">
        <f>BK24</f>
        <v>0</v>
      </c>
      <c r="H24" s="174">
        <f>G24*F24</f>
        <v>0</v>
      </c>
      <c r="I24" s="174"/>
      <c r="J24" s="174"/>
      <c r="K24" s="174"/>
      <c r="L24" s="174"/>
      <c r="M24" s="174"/>
      <c r="N24" s="174"/>
      <c r="O24" s="174"/>
      <c r="P24" s="174"/>
      <c r="Q24" s="174"/>
      <c r="R24" s="173"/>
      <c r="S24" s="217"/>
      <c r="T24" s="217"/>
      <c r="U24" s="217"/>
      <c r="V24" s="217">
        <f>G24</f>
        <v>0</v>
      </c>
      <c r="W24" s="157"/>
      <c r="X24" s="157"/>
      <c r="Y24" s="157"/>
      <c r="Z24" s="157">
        <f>V24*F24</f>
        <v>0</v>
      </c>
      <c r="AA24" s="156"/>
      <c r="AB24" s="155">
        <f t="shared" si="3"/>
        <v>0</v>
      </c>
      <c r="AC24" s="156"/>
      <c r="AD24" s="155">
        <f t="shared" si="4"/>
        <v>0</v>
      </c>
      <c r="AE24" s="156"/>
      <c r="AF24" s="155">
        <f t="shared" si="5"/>
        <v>0</v>
      </c>
      <c r="AG24" s="156"/>
      <c r="AH24" s="155">
        <f t="shared" si="15"/>
        <v>0</v>
      </c>
      <c r="AI24" s="156"/>
      <c r="AJ24" s="155">
        <f t="shared" si="6"/>
        <v>0</v>
      </c>
      <c r="AK24" s="156"/>
      <c r="AL24" s="155"/>
      <c r="AM24" s="156"/>
      <c r="AN24" s="155">
        <f t="shared" si="7"/>
        <v>0</v>
      </c>
      <c r="AO24" s="156"/>
      <c r="AP24" s="155"/>
      <c r="AQ24" s="156"/>
      <c r="AR24" s="155">
        <f t="shared" si="16"/>
        <v>0</v>
      </c>
      <c r="AS24" s="156"/>
      <c r="AT24" s="155">
        <f t="shared" si="8"/>
        <v>0</v>
      </c>
      <c r="AU24" s="156"/>
      <c r="AV24" s="155"/>
      <c r="AW24" s="156"/>
      <c r="AX24" s="155"/>
      <c r="AY24" s="156"/>
      <c r="AZ24" s="155"/>
      <c r="BA24" s="156"/>
      <c r="BB24" s="155">
        <f t="shared" si="9"/>
        <v>0</v>
      </c>
      <c r="BC24" s="156"/>
      <c r="BD24" s="155"/>
      <c r="BE24" s="156"/>
      <c r="BF24" s="155"/>
      <c r="BG24" s="156"/>
      <c r="BH24" s="155"/>
      <c r="BI24" s="156">
        <v>0</v>
      </c>
      <c r="BJ24" s="155">
        <f>BI24*F24</f>
        <v>0</v>
      </c>
      <c r="BK24" s="7">
        <f t="shared" si="19"/>
        <v>0</v>
      </c>
      <c r="BL24" s="7">
        <f t="shared" si="19"/>
        <v>0</v>
      </c>
      <c r="BM24" s="156"/>
      <c r="BO24" s="156"/>
      <c r="BP24" s="156"/>
      <c r="BQ24" s="156"/>
      <c r="BR24" s="156"/>
      <c r="BS24" s="157">
        <f t="shared" ref="BS24:BS34" si="20">BO24+BP24+BQ24+BR24</f>
        <v>0</v>
      </c>
      <c r="BT24" s="156"/>
      <c r="BU24" s="156"/>
      <c r="BV24" s="156">
        <f t="shared" ref="BV24:BV32" si="21">BT24+BU24</f>
        <v>0</v>
      </c>
      <c r="BW24" s="157">
        <f t="shared" si="2"/>
        <v>0</v>
      </c>
    </row>
    <row r="25" spans="1:75" x14ac:dyDescent="0.25">
      <c r="A25" s="966"/>
      <c r="B25" s="212" t="s">
        <v>1114</v>
      </c>
      <c r="C25" s="148"/>
      <c r="D25" s="142" t="s">
        <v>145</v>
      </c>
      <c r="E25" s="141" t="s">
        <v>16</v>
      </c>
      <c r="F25" s="143" t="s">
        <v>360</v>
      </c>
      <c r="G25" s="133">
        <f>BK25</f>
        <v>0</v>
      </c>
      <c r="H25" s="174">
        <f>G25*F25</f>
        <v>0</v>
      </c>
      <c r="I25" s="157">
        <f>H25*0.2</f>
        <v>0</v>
      </c>
      <c r="J25" s="157">
        <f>H25*0.8</f>
        <v>0</v>
      </c>
      <c r="K25" s="157"/>
      <c r="L25" s="157"/>
      <c r="M25" s="157"/>
      <c r="N25" s="157"/>
      <c r="O25" s="157"/>
      <c r="P25" s="157"/>
      <c r="Q25" s="157"/>
      <c r="R25" s="157"/>
      <c r="S25" s="161"/>
      <c r="T25" s="161"/>
      <c r="U25" s="161"/>
      <c r="V25" s="217">
        <f>G25</f>
        <v>0</v>
      </c>
      <c r="W25" s="157">
        <f>S25*F25</f>
        <v>0</v>
      </c>
      <c r="X25" s="157">
        <f>T25*F25</f>
        <v>0</v>
      </c>
      <c r="Y25" s="157">
        <f>U25*F25</f>
        <v>0</v>
      </c>
      <c r="Z25" s="157">
        <f>V25*F25</f>
        <v>0</v>
      </c>
      <c r="AA25" s="156"/>
      <c r="AB25" s="155">
        <f t="shared" si="3"/>
        <v>0</v>
      </c>
      <c r="AC25" s="156"/>
      <c r="AD25" s="155">
        <f t="shared" si="4"/>
        <v>0</v>
      </c>
      <c r="AE25" s="156"/>
      <c r="AF25" s="155">
        <f t="shared" si="5"/>
        <v>0</v>
      </c>
      <c r="AG25" s="156"/>
      <c r="AH25" s="155">
        <f t="shared" si="15"/>
        <v>0</v>
      </c>
      <c r="AI25" s="156"/>
      <c r="AJ25" s="155">
        <f t="shared" si="6"/>
        <v>0</v>
      </c>
      <c r="AK25" s="156"/>
      <c r="AL25" s="155"/>
      <c r="AM25" s="156"/>
      <c r="AN25" s="155">
        <f t="shared" si="7"/>
        <v>0</v>
      </c>
      <c r="AO25" s="156"/>
      <c r="AP25" s="155"/>
      <c r="AQ25" s="156"/>
      <c r="AR25" s="155">
        <f t="shared" si="16"/>
        <v>0</v>
      </c>
      <c r="AS25" s="156"/>
      <c r="AT25" s="155">
        <f t="shared" si="8"/>
        <v>0</v>
      </c>
      <c r="AU25" s="156"/>
      <c r="AV25" s="155"/>
      <c r="AW25" s="156"/>
      <c r="AX25" s="155"/>
      <c r="AY25" s="156"/>
      <c r="AZ25" s="155"/>
      <c r="BA25" s="156"/>
      <c r="BB25" s="155">
        <f t="shared" si="9"/>
        <v>0</v>
      </c>
      <c r="BC25" s="156"/>
      <c r="BD25" s="155"/>
      <c r="BE25" s="156"/>
      <c r="BF25" s="155"/>
      <c r="BG25" s="156"/>
      <c r="BH25" s="155"/>
      <c r="BI25" s="156"/>
      <c r="BJ25" s="155">
        <f>BI25*F25</f>
        <v>0</v>
      </c>
      <c r="BK25" s="7">
        <f t="shared" si="19"/>
        <v>0</v>
      </c>
      <c r="BL25" s="7">
        <f t="shared" si="19"/>
        <v>0</v>
      </c>
      <c r="BM25" s="216" t="s">
        <v>209</v>
      </c>
      <c r="BO25" s="156"/>
      <c r="BP25" s="157">
        <f>H25</f>
        <v>0</v>
      </c>
      <c r="BQ25" s="156"/>
      <c r="BR25" s="156"/>
      <c r="BS25" s="157">
        <f t="shared" si="20"/>
        <v>0</v>
      </c>
      <c r="BT25" s="156"/>
      <c r="BU25" s="156"/>
      <c r="BV25" s="156">
        <f t="shared" si="21"/>
        <v>0</v>
      </c>
      <c r="BW25" s="157">
        <f t="shared" si="2"/>
        <v>0</v>
      </c>
    </row>
    <row r="26" spans="1:75" x14ac:dyDescent="0.25">
      <c r="A26" s="966"/>
      <c r="B26" s="212" t="s">
        <v>1115</v>
      </c>
      <c r="C26" s="148"/>
      <c r="D26" s="142" t="s">
        <v>146</v>
      </c>
      <c r="E26" s="141" t="s">
        <v>16</v>
      </c>
      <c r="F26" s="143">
        <v>100000</v>
      </c>
      <c r="G26" s="133">
        <f>BK26</f>
        <v>0</v>
      </c>
      <c r="H26" s="174">
        <f>G26*F26</f>
        <v>0</v>
      </c>
      <c r="I26" s="157">
        <f>H26*0.2</f>
        <v>0</v>
      </c>
      <c r="J26" s="157">
        <f>H26*0.8</f>
        <v>0</v>
      </c>
      <c r="K26" s="157"/>
      <c r="L26" s="157"/>
      <c r="M26" s="157"/>
      <c r="N26" s="157"/>
      <c r="O26" s="157"/>
      <c r="P26" s="157"/>
      <c r="Q26" s="157"/>
      <c r="R26" s="157"/>
      <c r="S26" s="161"/>
      <c r="T26" s="161"/>
      <c r="U26" s="161"/>
      <c r="V26" s="217">
        <f>G26</f>
        <v>0</v>
      </c>
      <c r="W26" s="157">
        <f>S26*F26</f>
        <v>0</v>
      </c>
      <c r="X26" s="157">
        <f>T26*F26</f>
        <v>0</v>
      </c>
      <c r="Y26" s="157">
        <f>U26*F26</f>
        <v>0</v>
      </c>
      <c r="Z26" s="157">
        <f>V26*F26</f>
        <v>0</v>
      </c>
      <c r="AA26" s="156"/>
      <c r="AB26" s="155">
        <f t="shared" si="3"/>
        <v>0</v>
      </c>
      <c r="AC26" s="156"/>
      <c r="AD26" s="155">
        <f t="shared" si="4"/>
        <v>0</v>
      </c>
      <c r="AE26" s="156"/>
      <c r="AF26" s="155">
        <f t="shared" si="5"/>
        <v>0</v>
      </c>
      <c r="AG26" s="156"/>
      <c r="AH26" s="155">
        <f t="shared" si="15"/>
        <v>0</v>
      </c>
      <c r="AI26" s="156"/>
      <c r="AJ26" s="155">
        <f t="shared" si="6"/>
        <v>0</v>
      </c>
      <c r="AK26" s="156"/>
      <c r="AL26" s="155"/>
      <c r="AM26" s="156"/>
      <c r="AN26" s="155">
        <f t="shared" si="7"/>
        <v>0</v>
      </c>
      <c r="AO26" s="156"/>
      <c r="AP26" s="155"/>
      <c r="AQ26" s="156"/>
      <c r="AR26" s="155">
        <f t="shared" si="16"/>
        <v>0</v>
      </c>
      <c r="AS26" s="156"/>
      <c r="AT26" s="155">
        <f t="shared" si="8"/>
        <v>0</v>
      </c>
      <c r="AU26" s="156"/>
      <c r="AV26" s="155"/>
      <c r="AW26" s="156"/>
      <c r="AX26" s="155"/>
      <c r="AY26" s="156"/>
      <c r="AZ26" s="155"/>
      <c r="BA26" s="156"/>
      <c r="BB26" s="155">
        <f t="shared" si="9"/>
        <v>0</v>
      </c>
      <c r="BC26" s="156"/>
      <c r="BD26" s="155"/>
      <c r="BE26" s="156"/>
      <c r="BF26" s="155"/>
      <c r="BG26" s="156"/>
      <c r="BH26" s="155"/>
      <c r="BI26" s="156">
        <v>0</v>
      </c>
      <c r="BJ26" s="155">
        <f>BI26*F26</f>
        <v>0</v>
      </c>
      <c r="BK26" s="7">
        <f t="shared" si="19"/>
        <v>0</v>
      </c>
      <c r="BL26" s="7">
        <f t="shared" si="19"/>
        <v>0</v>
      </c>
      <c r="BM26" s="216" t="s">
        <v>209</v>
      </c>
      <c r="BO26" s="156"/>
      <c r="BP26" s="157">
        <f>H26</f>
        <v>0</v>
      </c>
      <c r="BQ26" s="156"/>
      <c r="BR26" s="156"/>
      <c r="BS26" s="157">
        <f t="shared" si="20"/>
        <v>0</v>
      </c>
      <c r="BT26" s="156"/>
      <c r="BU26" s="156"/>
      <c r="BV26" s="156">
        <f t="shared" si="21"/>
        <v>0</v>
      </c>
      <c r="BW26" s="157">
        <f t="shared" si="2"/>
        <v>0</v>
      </c>
    </row>
    <row r="27" spans="1:75" s="158" customFormat="1" x14ac:dyDescent="0.25">
      <c r="A27" s="966"/>
      <c r="B27" s="147"/>
      <c r="C27" s="140" t="s">
        <v>147</v>
      </c>
      <c r="D27" s="153" t="s">
        <v>147</v>
      </c>
      <c r="E27" s="141" t="s">
        <v>111</v>
      </c>
      <c r="F27" s="143" t="s">
        <v>361</v>
      </c>
      <c r="G27" s="160">
        <f t="shared" ref="G27:BR27" si="22">G26+G25+G24</f>
        <v>0</v>
      </c>
      <c r="H27" s="160">
        <f t="shared" si="22"/>
        <v>0</v>
      </c>
      <c r="I27" s="160">
        <f t="shared" si="22"/>
        <v>0</v>
      </c>
      <c r="J27" s="160">
        <f t="shared" si="22"/>
        <v>0</v>
      </c>
      <c r="K27" s="160">
        <f t="shared" si="22"/>
        <v>0</v>
      </c>
      <c r="L27" s="160">
        <f t="shared" si="22"/>
        <v>0</v>
      </c>
      <c r="M27" s="160">
        <f t="shared" si="22"/>
        <v>0</v>
      </c>
      <c r="N27" s="160">
        <f t="shared" si="22"/>
        <v>0</v>
      </c>
      <c r="O27" s="160">
        <f t="shared" si="22"/>
        <v>0</v>
      </c>
      <c r="P27" s="160">
        <f t="shared" si="22"/>
        <v>0</v>
      </c>
      <c r="Q27" s="160">
        <f t="shared" si="22"/>
        <v>0</v>
      </c>
      <c r="R27" s="160">
        <f t="shared" si="22"/>
        <v>0</v>
      </c>
      <c r="S27" s="160">
        <f t="shared" si="22"/>
        <v>0</v>
      </c>
      <c r="T27" s="160">
        <f t="shared" si="22"/>
        <v>0</v>
      </c>
      <c r="U27" s="160">
        <f t="shared" si="22"/>
        <v>0</v>
      </c>
      <c r="V27" s="160">
        <f t="shared" si="22"/>
        <v>0</v>
      </c>
      <c r="W27" s="160">
        <f t="shared" si="22"/>
        <v>0</v>
      </c>
      <c r="X27" s="160">
        <f t="shared" si="22"/>
        <v>0</v>
      </c>
      <c r="Y27" s="160">
        <f t="shared" si="22"/>
        <v>0</v>
      </c>
      <c r="Z27" s="160">
        <f t="shared" si="22"/>
        <v>0</v>
      </c>
      <c r="AA27" s="160">
        <f t="shared" si="22"/>
        <v>0</v>
      </c>
      <c r="AB27" s="160">
        <f t="shared" si="22"/>
        <v>0</v>
      </c>
      <c r="AC27" s="160">
        <f t="shared" si="22"/>
        <v>0</v>
      </c>
      <c r="AD27" s="160">
        <f t="shared" si="22"/>
        <v>0</v>
      </c>
      <c r="AE27" s="160">
        <f t="shared" si="22"/>
        <v>0</v>
      </c>
      <c r="AF27" s="160">
        <f t="shared" si="22"/>
        <v>0</v>
      </c>
      <c r="AG27" s="160">
        <f t="shared" si="22"/>
        <v>0</v>
      </c>
      <c r="AH27" s="160">
        <f t="shared" si="22"/>
        <v>0</v>
      </c>
      <c r="AI27" s="160">
        <f t="shared" si="22"/>
        <v>0</v>
      </c>
      <c r="AJ27" s="160">
        <f t="shared" si="22"/>
        <v>0</v>
      </c>
      <c r="AK27" s="160">
        <f t="shared" si="22"/>
        <v>0</v>
      </c>
      <c r="AL27" s="160">
        <f t="shared" si="22"/>
        <v>0</v>
      </c>
      <c r="AM27" s="160">
        <f t="shared" si="22"/>
        <v>0</v>
      </c>
      <c r="AN27" s="160">
        <f t="shared" si="22"/>
        <v>0</v>
      </c>
      <c r="AO27" s="160">
        <f t="shared" si="22"/>
        <v>0</v>
      </c>
      <c r="AP27" s="160">
        <f t="shared" si="22"/>
        <v>0</v>
      </c>
      <c r="AQ27" s="160">
        <f t="shared" si="22"/>
        <v>0</v>
      </c>
      <c r="AR27" s="160">
        <f t="shared" si="22"/>
        <v>0</v>
      </c>
      <c r="AS27" s="160">
        <f t="shared" si="22"/>
        <v>0</v>
      </c>
      <c r="AT27" s="160">
        <f t="shared" si="22"/>
        <v>0</v>
      </c>
      <c r="AU27" s="160">
        <f t="shared" si="22"/>
        <v>0</v>
      </c>
      <c r="AV27" s="160">
        <f t="shared" si="22"/>
        <v>0</v>
      </c>
      <c r="AW27" s="160">
        <f t="shared" si="22"/>
        <v>0</v>
      </c>
      <c r="AX27" s="160">
        <f t="shared" si="22"/>
        <v>0</v>
      </c>
      <c r="AY27" s="160">
        <f t="shared" si="22"/>
        <v>0</v>
      </c>
      <c r="AZ27" s="160">
        <f t="shared" si="22"/>
        <v>0</v>
      </c>
      <c r="BA27" s="160">
        <f t="shared" si="22"/>
        <v>0</v>
      </c>
      <c r="BB27" s="160">
        <f t="shared" si="22"/>
        <v>0</v>
      </c>
      <c r="BC27" s="160">
        <f t="shared" si="22"/>
        <v>0</v>
      </c>
      <c r="BD27" s="160">
        <f t="shared" si="22"/>
        <v>0</v>
      </c>
      <c r="BE27" s="160">
        <f t="shared" si="22"/>
        <v>0</v>
      </c>
      <c r="BF27" s="160">
        <f t="shared" si="22"/>
        <v>0</v>
      </c>
      <c r="BG27" s="160">
        <f t="shared" si="22"/>
        <v>0</v>
      </c>
      <c r="BH27" s="160">
        <f t="shared" si="22"/>
        <v>0</v>
      </c>
      <c r="BI27" s="160">
        <f t="shared" si="22"/>
        <v>0</v>
      </c>
      <c r="BJ27" s="160">
        <f t="shared" si="22"/>
        <v>0</v>
      </c>
      <c r="BK27" s="160">
        <f t="shared" si="22"/>
        <v>0</v>
      </c>
      <c r="BL27" s="160">
        <f t="shared" si="22"/>
        <v>0</v>
      </c>
      <c r="BM27" s="160"/>
      <c r="BN27" s="160">
        <f t="shared" si="22"/>
        <v>0</v>
      </c>
      <c r="BO27" s="160">
        <f t="shared" si="22"/>
        <v>0</v>
      </c>
      <c r="BP27" s="160">
        <f t="shared" si="22"/>
        <v>0</v>
      </c>
      <c r="BQ27" s="160">
        <f t="shared" si="22"/>
        <v>0</v>
      </c>
      <c r="BR27" s="160">
        <f t="shared" si="22"/>
        <v>0</v>
      </c>
      <c r="BS27" s="160">
        <f>BS26+BS25+BS24</f>
        <v>0</v>
      </c>
      <c r="BT27" s="160">
        <f>BT26+BT25+BT24</f>
        <v>0</v>
      </c>
      <c r="BU27" s="160">
        <f>BU26+BU25+BU24</f>
        <v>0</v>
      </c>
      <c r="BV27" s="160">
        <f>BV26+BV25+BV24</f>
        <v>0</v>
      </c>
      <c r="BW27" s="160">
        <f>BW26+BW25+BW24</f>
        <v>0</v>
      </c>
    </row>
    <row r="28" spans="1:75" x14ac:dyDescent="0.25">
      <c r="A28" s="966"/>
      <c r="B28" s="133"/>
      <c r="C28" s="140" t="s">
        <v>356</v>
      </c>
      <c r="D28" s="153" t="s">
        <v>356</v>
      </c>
      <c r="E28" s="141"/>
      <c r="F28" s="143"/>
      <c r="G28" s="133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6"/>
      <c r="S28" s="161"/>
      <c r="T28" s="161" t="s">
        <v>36</v>
      </c>
      <c r="U28" s="161"/>
      <c r="V28" s="161"/>
      <c r="W28" s="157"/>
      <c r="X28" s="157"/>
      <c r="Y28" s="157"/>
      <c r="Z28" s="157"/>
      <c r="AA28" s="156"/>
      <c r="AB28" s="155">
        <f t="shared" si="3"/>
        <v>0</v>
      </c>
      <c r="AC28" s="156"/>
      <c r="AD28" s="155">
        <f t="shared" si="4"/>
        <v>0</v>
      </c>
      <c r="AE28" s="156"/>
      <c r="AF28" s="155">
        <f t="shared" si="5"/>
        <v>0</v>
      </c>
      <c r="AG28" s="156"/>
      <c r="AH28" s="155">
        <f t="shared" si="15"/>
        <v>0</v>
      </c>
      <c r="AI28" s="156"/>
      <c r="AJ28" s="155">
        <f t="shared" si="6"/>
        <v>0</v>
      </c>
      <c r="AK28" s="156"/>
      <c r="AL28" s="155"/>
      <c r="AM28" s="156"/>
      <c r="AN28" s="155">
        <f t="shared" si="7"/>
        <v>0</v>
      </c>
      <c r="AO28" s="156"/>
      <c r="AP28" s="155"/>
      <c r="AQ28" s="156"/>
      <c r="AR28" s="155">
        <f t="shared" si="16"/>
        <v>0</v>
      </c>
      <c r="AS28" s="156"/>
      <c r="AT28" s="155">
        <f t="shared" si="8"/>
        <v>0</v>
      </c>
      <c r="AU28" s="156"/>
      <c r="AV28" s="155"/>
      <c r="AW28" s="156"/>
      <c r="AX28" s="155"/>
      <c r="AY28" s="156"/>
      <c r="AZ28" s="155"/>
      <c r="BA28" s="156"/>
      <c r="BB28" s="155">
        <f t="shared" si="9"/>
        <v>0</v>
      </c>
      <c r="BC28" s="156"/>
      <c r="BD28" s="155"/>
      <c r="BE28" s="156"/>
      <c r="BF28" s="155"/>
      <c r="BG28" s="156"/>
      <c r="BH28" s="155"/>
      <c r="BI28" s="156"/>
      <c r="BJ28" s="155"/>
      <c r="BK28" s="7">
        <f t="shared" ref="BK28:BK33" si="23">AA28+AC28+AE28+AG28+AI28+AK28+AM28+AO28+AQ28+AS28+AU28+AW28+AY28+BA28+BC28+BE28+BG28+BI28</f>
        <v>0</v>
      </c>
      <c r="BL28" s="7">
        <f t="shared" ref="BL28:BL33" si="24">AB28+AD28+AF28+AH28+AJ28+AL28+AN28+AP28+AR28+AT28+AV28+AX28+AZ28+BB28+BD28+BF28+BH28+BJ28</f>
        <v>0</v>
      </c>
      <c r="BM28" s="156"/>
      <c r="BO28" s="156"/>
      <c r="BP28" s="156"/>
      <c r="BQ28" s="156"/>
      <c r="BR28" s="156"/>
      <c r="BS28" s="157">
        <f t="shared" si="20"/>
        <v>0</v>
      </c>
      <c r="BT28" s="156"/>
      <c r="BU28" s="156"/>
      <c r="BV28" s="156">
        <f t="shared" si="21"/>
        <v>0</v>
      </c>
      <c r="BW28" s="157">
        <f t="shared" si="2"/>
        <v>0</v>
      </c>
    </row>
    <row r="29" spans="1:75" x14ac:dyDescent="0.25">
      <c r="A29" s="966"/>
      <c r="B29" s="212" t="s">
        <v>1116</v>
      </c>
      <c r="C29" s="148"/>
      <c r="D29" s="142" t="s">
        <v>148</v>
      </c>
      <c r="E29" s="141" t="s">
        <v>16</v>
      </c>
      <c r="F29" s="143" t="s">
        <v>342</v>
      </c>
      <c r="G29" s="133">
        <f>BK29</f>
        <v>0</v>
      </c>
      <c r="H29" s="157">
        <f>G29*F29</f>
        <v>0</v>
      </c>
      <c r="I29" s="157">
        <f>H29*0.2</f>
        <v>0</v>
      </c>
      <c r="J29" s="157">
        <f>H29*0.8</f>
        <v>0</v>
      </c>
      <c r="K29" s="157"/>
      <c r="L29" s="157"/>
      <c r="M29" s="157"/>
      <c r="N29" s="157"/>
      <c r="O29" s="157"/>
      <c r="P29" s="157"/>
      <c r="Q29" s="157"/>
      <c r="R29" s="157"/>
      <c r="S29" s="161"/>
      <c r="T29" s="161"/>
      <c r="U29" s="161"/>
      <c r="V29" s="161"/>
      <c r="W29" s="157">
        <f>S29*F29</f>
        <v>0</v>
      </c>
      <c r="X29" s="157">
        <f>T29*F29</f>
        <v>0</v>
      </c>
      <c r="Y29" s="157">
        <f>U29*F29</f>
        <v>0</v>
      </c>
      <c r="Z29" s="157">
        <f>V29*F29</f>
        <v>0</v>
      </c>
      <c r="AA29" s="156"/>
      <c r="AB29" s="155">
        <f t="shared" si="3"/>
        <v>0</v>
      </c>
      <c r="AC29" s="156"/>
      <c r="AD29" s="155">
        <f t="shared" si="4"/>
        <v>0</v>
      </c>
      <c r="AE29" s="156"/>
      <c r="AF29" s="155">
        <f t="shared" si="5"/>
        <v>0</v>
      </c>
      <c r="AG29" s="156"/>
      <c r="AH29" s="155">
        <f t="shared" si="15"/>
        <v>0</v>
      </c>
      <c r="AI29" s="156"/>
      <c r="AJ29" s="155">
        <f t="shared" si="6"/>
        <v>0</v>
      </c>
      <c r="AK29" s="156"/>
      <c r="AL29" s="155"/>
      <c r="AM29" s="156"/>
      <c r="AN29" s="155">
        <f t="shared" si="7"/>
        <v>0</v>
      </c>
      <c r="AO29" s="156"/>
      <c r="AP29" s="155"/>
      <c r="AQ29" s="156"/>
      <c r="AR29" s="155">
        <f t="shared" si="16"/>
        <v>0</v>
      </c>
      <c r="AS29" s="156"/>
      <c r="AT29" s="155">
        <f t="shared" si="8"/>
        <v>0</v>
      </c>
      <c r="AU29" s="156"/>
      <c r="AV29" s="155"/>
      <c r="AW29" s="156"/>
      <c r="AX29" s="155"/>
      <c r="AY29" s="156"/>
      <c r="AZ29" s="155"/>
      <c r="BA29" s="156"/>
      <c r="BB29" s="155">
        <f t="shared" si="9"/>
        <v>0</v>
      </c>
      <c r="BC29" s="156"/>
      <c r="BD29" s="155"/>
      <c r="BE29" s="156"/>
      <c r="BF29" s="155"/>
      <c r="BG29" s="156"/>
      <c r="BH29" s="155"/>
      <c r="BI29" s="156"/>
      <c r="BJ29" s="155"/>
      <c r="BK29" s="7">
        <f t="shared" si="23"/>
        <v>0</v>
      </c>
      <c r="BL29" s="7">
        <f t="shared" si="24"/>
        <v>0</v>
      </c>
      <c r="BM29" s="216" t="s">
        <v>209</v>
      </c>
      <c r="BO29" s="156"/>
      <c r="BP29" s="157"/>
      <c r="BQ29" s="156"/>
      <c r="BR29" s="156"/>
      <c r="BS29" s="157">
        <f t="shared" si="20"/>
        <v>0</v>
      </c>
      <c r="BT29" s="156"/>
      <c r="BU29" s="156"/>
      <c r="BV29" s="156">
        <f t="shared" si="21"/>
        <v>0</v>
      </c>
      <c r="BW29" s="157">
        <f t="shared" si="2"/>
        <v>0</v>
      </c>
    </row>
    <row r="30" spans="1:75" ht="30" customHeight="1" x14ac:dyDescent="0.25">
      <c r="A30" s="966"/>
      <c r="B30" s="212" t="s">
        <v>1117</v>
      </c>
      <c r="C30" s="148"/>
      <c r="D30" s="344" t="s">
        <v>1148</v>
      </c>
      <c r="E30" s="141" t="s">
        <v>16</v>
      </c>
      <c r="F30" s="143">
        <v>400000</v>
      </c>
      <c r="G30" s="133">
        <f>BK30</f>
        <v>1</v>
      </c>
      <c r="H30" s="157">
        <f>G30*F30</f>
        <v>400000</v>
      </c>
      <c r="I30" s="157">
        <f>H30*0.2</f>
        <v>80000</v>
      </c>
      <c r="J30" s="157">
        <f>H30*0.8</f>
        <v>320000</v>
      </c>
      <c r="K30" s="157"/>
      <c r="L30" s="157"/>
      <c r="M30" s="157"/>
      <c r="N30" s="157"/>
      <c r="O30" s="157"/>
      <c r="P30" s="157"/>
      <c r="Q30" s="157"/>
      <c r="R30" s="157"/>
      <c r="S30" s="161"/>
      <c r="T30" s="161">
        <f>G30</f>
        <v>1</v>
      </c>
      <c r="U30" s="161"/>
      <c r="V30" s="161"/>
      <c r="W30" s="157">
        <f>S30*F30</f>
        <v>0</v>
      </c>
      <c r="X30" s="157">
        <f>T30*F30</f>
        <v>400000</v>
      </c>
      <c r="Y30" s="157">
        <f>U30*F30</f>
        <v>0</v>
      </c>
      <c r="Z30" s="157">
        <f>V30*F30</f>
        <v>0</v>
      </c>
      <c r="AA30" s="156"/>
      <c r="AB30" s="155">
        <f t="shared" si="3"/>
        <v>0</v>
      </c>
      <c r="AC30" s="156"/>
      <c r="AD30" s="155">
        <f t="shared" si="4"/>
        <v>0</v>
      </c>
      <c r="AE30" s="156"/>
      <c r="AF30" s="155">
        <f t="shared" si="5"/>
        <v>0</v>
      </c>
      <c r="AG30" s="156"/>
      <c r="AH30" s="155">
        <f t="shared" si="15"/>
        <v>0</v>
      </c>
      <c r="AI30" s="156"/>
      <c r="AJ30" s="155">
        <f t="shared" si="6"/>
        <v>0</v>
      </c>
      <c r="AK30" s="156"/>
      <c r="AL30" s="155"/>
      <c r="AM30" s="156"/>
      <c r="AN30" s="155">
        <f t="shared" si="7"/>
        <v>0</v>
      </c>
      <c r="AO30" s="156"/>
      <c r="AP30" s="155"/>
      <c r="AQ30" s="156"/>
      <c r="AR30" s="155">
        <f t="shared" si="16"/>
        <v>0</v>
      </c>
      <c r="AS30" s="156"/>
      <c r="AT30" s="155">
        <f t="shared" si="8"/>
        <v>0</v>
      </c>
      <c r="AU30" s="156"/>
      <c r="AV30" s="155"/>
      <c r="AW30" s="156"/>
      <c r="AX30" s="155"/>
      <c r="AY30" s="156"/>
      <c r="AZ30" s="155"/>
      <c r="BA30" s="156"/>
      <c r="BB30" s="155">
        <f t="shared" si="9"/>
        <v>0</v>
      </c>
      <c r="BC30" s="156"/>
      <c r="BD30" s="155"/>
      <c r="BE30" s="156"/>
      <c r="BF30" s="155"/>
      <c r="BG30" s="156"/>
      <c r="BH30" s="155"/>
      <c r="BI30" s="156">
        <v>1</v>
      </c>
      <c r="BJ30" s="155">
        <f>BI30*F30</f>
        <v>400000</v>
      </c>
      <c r="BK30" s="7">
        <f t="shared" si="23"/>
        <v>1</v>
      </c>
      <c r="BL30" s="7">
        <f t="shared" si="24"/>
        <v>400000</v>
      </c>
      <c r="BM30" s="216" t="s">
        <v>209</v>
      </c>
      <c r="BO30" s="156"/>
      <c r="BP30" s="157"/>
      <c r="BQ30" s="157">
        <f>H30</f>
        <v>400000</v>
      </c>
      <c r="BR30" s="156"/>
      <c r="BS30" s="157">
        <f t="shared" si="20"/>
        <v>400000</v>
      </c>
      <c r="BT30" s="156"/>
      <c r="BU30" s="156"/>
      <c r="BV30" s="156">
        <f t="shared" si="21"/>
        <v>0</v>
      </c>
      <c r="BW30" s="157">
        <f t="shared" si="2"/>
        <v>400000</v>
      </c>
    </row>
    <row r="31" spans="1:75" ht="47.25" x14ac:dyDescent="0.25">
      <c r="A31" s="966"/>
      <c r="B31" s="212" t="s">
        <v>1118</v>
      </c>
      <c r="C31" s="148"/>
      <c r="D31" s="344" t="s">
        <v>1170</v>
      </c>
      <c r="E31" s="141" t="s">
        <v>16</v>
      </c>
      <c r="F31" s="143">
        <v>1000000</v>
      </c>
      <c r="G31" s="133">
        <f>BK31</f>
        <v>1</v>
      </c>
      <c r="H31" s="157">
        <f>G31*F31</f>
        <v>1000000</v>
      </c>
      <c r="I31" s="157">
        <f>H31*0.2</f>
        <v>200000</v>
      </c>
      <c r="J31" s="157">
        <f>H31*0.8</f>
        <v>800000</v>
      </c>
      <c r="K31" s="157"/>
      <c r="L31" s="157"/>
      <c r="M31" s="157"/>
      <c r="N31" s="157"/>
      <c r="O31" s="157"/>
      <c r="P31" s="157"/>
      <c r="Q31" s="157"/>
      <c r="R31" s="157"/>
      <c r="S31" s="217"/>
      <c r="T31" s="217">
        <v>1</v>
      </c>
      <c r="U31" s="217"/>
      <c r="V31" s="217"/>
      <c r="W31" s="157">
        <f>S31*F31</f>
        <v>0</v>
      </c>
      <c r="X31" s="157">
        <f>T31*F31</f>
        <v>1000000</v>
      </c>
      <c r="Y31" s="157">
        <f>U31*F31</f>
        <v>0</v>
      </c>
      <c r="Z31" s="157">
        <f>V31*F31</f>
        <v>0</v>
      </c>
      <c r="AA31" s="156"/>
      <c r="AB31" s="155">
        <f t="shared" si="3"/>
        <v>0</v>
      </c>
      <c r="AC31" s="156"/>
      <c r="AD31" s="155">
        <f t="shared" si="4"/>
        <v>0</v>
      </c>
      <c r="AE31" s="156"/>
      <c r="AF31" s="155">
        <f t="shared" si="5"/>
        <v>0</v>
      </c>
      <c r="AG31" s="156"/>
      <c r="AH31" s="155">
        <f t="shared" si="15"/>
        <v>0</v>
      </c>
      <c r="AI31" s="156"/>
      <c r="AJ31" s="155">
        <f t="shared" si="6"/>
        <v>0</v>
      </c>
      <c r="AK31" s="156"/>
      <c r="AL31" s="155"/>
      <c r="AM31" s="156"/>
      <c r="AN31" s="155">
        <f t="shared" si="7"/>
        <v>0</v>
      </c>
      <c r="AO31" s="156"/>
      <c r="AP31" s="155"/>
      <c r="AQ31" s="156"/>
      <c r="AR31" s="155">
        <f t="shared" si="16"/>
        <v>0</v>
      </c>
      <c r="AS31" s="156"/>
      <c r="AT31" s="155">
        <f t="shared" si="8"/>
        <v>0</v>
      </c>
      <c r="AU31" s="156"/>
      <c r="AV31" s="155"/>
      <c r="AW31" s="156"/>
      <c r="AX31" s="155"/>
      <c r="AY31" s="156"/>
      <c r="AZ31" s="155"/>
      <c r="BA31" s="156"/>
      <c r="BB31" s="155">
        <f t="shared" si="9"/>
        <v>0</v>
      </c>
      <c r="BC31" s="156"/>
      <c r="BD31" s="155"/>
      <c r="BE31" s="156"/>
      <c r="BF31" s="155"/>
      <c r="BG31" s="156"/>
      <c r="BH31" s="155"/>
      <c r="BI31" s="156">
        <v>1</v>
      </c>
      <c r="BJ31" s="155">
        <f>BI31*F31</f>
        <v>1000000</v>
      </c>
      <c r="BK31" s="7">
        <f t="shared" si="23"/>
        <v>1</v>
      </c>
      <c r="BL31" s="7">
        <f t="shared" si="24"/>
        <v>1000000</v>
      </c>
      <c r="BM31" s="216" t="s">
        <v>209</v>
      </c>
      <c r="BO31" s="156"/>
      <c r="BP31" s="157"/>
      <c r="BQ31" s="157">
        <f>H31</f>
        <v>1000000</v>
      </c>
      <c r="BR31" s="156"/>
      <c r="BS31" s="157">
        <f t="shared" si="20"/>
        <v>1000000</v>
      </c>
      <c r="BT31" s="156"/>
      <c r="BU31" s="156"/>
      <c r="BV31" s="156">
        <f t="shared" si="21"/>
        <v>0</v>
      </c>
      <c r="BW31" s="157">
        <f t="shared" si="2"/>
        <v>1000000</v>
      </c>
    </row>
    <row r="32" spans="1:75" x14ac:dyDescent="0.25">
      <c r="A32" s="966"/>
      <c r="B32" s="212" t="s">
        <v>1119</v>
      </c>
      <c r="C32" s="148"/>
      <c r="D32" s="142" t="s">
        <v>149</v>
      </c>
      <c r="E32" s="141" t="s">
        <v>65</v>
      </c>
      <c r="F32" s="176">
        <v>125000</v>
      </c>
      <c r="G32" s="133">
        <f>BK32</f>
        <v>0</v>
      </c>
      <c r="H32" s="157">
        <f>G32*F32</f>
        <v>0</v>
      </c>
      <c r="I32" s="157">
        <f>H32*0.2</f>
        <v>0</v>
      </c>
      <c r="J32" s="157">
        <f>H32*0.8</f>
        <v>0</v>
      </c>
      <c r="K32" s="157"/>
      <c r="L32" s="157"/>
      <c r="M32" s="157"/>
      <c r="N32" s="157"/>
      <c r="O32" s="157"/>
      <c r="P32" s="157"/>
      <c r="Q32" s="157"/>
      <c r="R32" s="157"/>
      <c r="S32" s="161"/>
      <c r="T32" s="161"/>
      <c r="U32" s="161"/>
      <c r="V32" s="161"/>
      <c r="W32" s="157">
        <f>S32*F32</f>
        <v>0</v>
      </c>
      <c r="X32" s="157">
        <f>T32*F32</f>
        <v>0</v>
      </c>
      <c r="Y32" s="157">
        <f>U32*F32</f>
        <v>0</v>
      </c>
      <c r="Z32" s="157">
        <f>V32*F32</f>
        <v>0</v>
      </c>
      <c r="AA32" s="156"/>
      <c r="AB32" s="155">
        <f t="shared" si="3"/>
        <v>0</v>
      </c>
      <c r="AC32" s="156"/>
      <c r="AD32" s="155">
        <f t="shared" si="4"/>
        <v>0</v>
      </c>
      <c r="AE32" s="156"/>
      <c r="AF32" s="155">
        <f t="shared" si="5"/>
        <v>0</v>
      </c>
      <c r="AG32" s="156"/>
      <c r="AH32" s="155">
        <f t="shared" si="15"/>
        <v>0</v>
      </c>
      <c r="AI32" s="156"/>
      <c r="AJ32" s="155">
        <f t="shared" si="6"/>
        <v>0</v>
      </c>
      <c r="AK32" s="156"/>
      <c r="AL32" s="155"/>
      <c r="AM32" s="156"/>
      <c r="AN32" s="155">
        <f t="shared" si="7"/>
        <v>0</v>
      </c>
      <c r="AO32" s="156"/>
      <c r="AP32" s="155"/>
      <c r="AQ32" s="156"/>
      <c r="AR32" s="155">
        <f t="shared" si="16"/>
        <v>0</v>
      </c>
      <c r="AS32" s="156"/>
      <c r="AT32" s="155">
        <f t="shared" si="8"/>
        <v>0</v>
      </c>
      <c r="AU32" s="156"/>
      <c r="AV32" s="155"/>
      <c r="AW32" s="156"/>
      <c r="AX32" s="155"/>
      <c r="AY32" s="156"/>
      <c r="AZ32" s="155"/>
      <c r="BA32" s="156"/>
      <c r="BB32" s="155">
        <f t="shared" si="9"/>
        <v>0</v>
      </c>
      <c r="BC32" s="156"/>
      <c r="BD32" s="155"/>
      <c r="BE32" s="156"/>
      <c r="BF32" s="155"/>
      <c r="BG32" s="156"/>
      <c r="BH32" s="155"/>
      <c r="BI32" s="156"/>
      <c r="BJ32" s="155">
        <f>BI32*F32</f>
        <v>0</v>
      </c>
      <c r="BK32" s="7">
        <f t="shared" si="23"/>
        <v>0</v>
      </c>
      <c r="BL32" s="7">
        <f t="shared" si="24"/>
        <v>0</v>
      </c>
      <c r="BM32" s="216" t="s">
        <v>209</v>
      </c>
      <c r="BO32" s="156"/>
      <c r="BP32" s="156"/>
      <c r="BQ32" s="157">
        <f>H32</f>
        <v>0</v>
      </c>
      <c r="BR32" s="156"/>
      <c r="BS32" s="157">
        <f t="shared" si="20"/>
        <v>0</v>
      </c>
      <c r="BT32" s="156"/>
      <c r="BU32" s="156"/>
      <c r="BV32" s="156">
        <f t="shared" si="21"/>
        <v>0</v>
      </c>
      <c r="BW32" s="157">
        <f t="shared" si="2"/>
        <v>0</v>
      </c>
    </row>
    <row r="33" spans="1:75" s="158" customFormat="1" x14ac:dyDescent="0.25">
      <c r="A33" s="966"/>
      <c r="B33" s="212" t="s">
        <v>1120</v>
      </c>
      <c r="C33" s="148"/>
      <c r="D33" s="142" t="s">
        <v>150</v>
      </c>
      <c r="E33" s="141" t="s">
        <v>16</v>
      </c>
      <c r="F33" s="154">
        <v>200000</v>
      </c>
      <c r="G33" s="133">
        <f>BK33</f>
        <v>0</v>
      </c>
      <c r="H33" s="157">
        <f>G33*F33</f>
        <v>0</v>
      </c>
      <c r="I33" s="157">
        <f>H33*0.2</f>
        <v>0</v>
      </c>
      <c r="J33" s="157">
        <f>H33*0.8</f>
        <v>0</v>
      </c>
      <c r="K33" s="157"/>
      <c r="L33" s="157"/>
      <c r="M33" s="157"/>
      <c r="N33" s="157"/>
      <c r="O33" s="157"/>
      <c r="P33" s="157"/>
      <c r="Q33" s="157"/>
      <c r="R33" s="157"/>
      <c r="S33" s="161"/>
      <c r="T33" s="161"/>
      <c r="U33" s="161">
        <v>0</v>
      </c>
      <c r="V33" s="161"/>
      <c r="W33" s="157">
        <f>SUM(W29:W32)</f>
        <v>0</v>
      </c>
      <c r="X33" s="157"/>
      <c r="Y33" s="157">
        <f>U33*F33</f>
        <v>0</v>
      </c>
      <c r="Z33" s="157">
        <f>SUM(Z29:Z32)</f>
        <v>0</v>
      </c>
      <c r="AA33" s="156"/>
      <c r="AB33" s="155">
        <f t="shared" si="3"/>
        <v>0</v>
      </c>
      <c r="AC33" s="156"/>
      <c r="AD33" s="155">
        <f t="shared" si="4"/>
        <v>0</v>
      </c>
      <c r="AE33" s="156"/>
      <c r="AF33" s="155">
        <f t="shared" si="5"/>
        <v>0</v>
      </c>
      <c r="AG33" s="156"/>
      <c r="AH33" s="155">
        <f t="shared" si="15"/>
        <v>0</v>
      </c>
      <c r="AI33" s="156"/>
      <c r="AJ33" s="155">
        <f t="shared" si="6"/>
        <v>0</v>
      </c>
      <c r="AK33" s="156"/>
      <c r="AL33" s="155"/>
      <c r="AM33" s="156"/>
      <c r="AN33" s="155">
        <f t="shared" si="7"/>
        <v>0</v>
      </c>
      <c r="AO33" s="156"/>
      <c r="AP33" s="155"/>
      <c r="AQ33" s="156"/>
      <c r="AR33" s="155">
        <f t="shared" si="16"/>
        <v>0</v>
      </c>
      <c r="AS33" s="156"/>
      <c r="AT33" s="155">
        <f t="shared" si="8"/>
        <v>0</v>
      </c>
      <c r="AU33" s="156"/>
      <c r="AV33" s="155"/>
      <c r="AW33" s="156"/>
      <c r="AX33" s="155"/>
      <c r="AY33" s="156"/>
      <c r="AZ33" s="155"/>
      <c r="BA33" s="156"/>
      <c r="BB33" s="155">
        <f t="shared" si="9"/>
        <v>0</v>
      </c>
      <c r="BC33" s="156"/>
      <c r="BD33" s="155"/>
      <c r="BE33" s="156"/>
      <c r="BF33" s="155"/>
      <c r="BG33" s="156"/>
      <c r="BH33" s="155"/>
      <c r="BI33" s="156"/>
      <c r="BJ33" s="155">
        <f>BI33*F33</f>
        <v>0</v>
      </c>
      <c r="BK33" s="7">
        <f t="shared" si="23"/>
        <v>0</v>
      </c>
      <c r="BL33" s="7">
        <f t="shared" si="24"/>
        <v>0</v>
      </c>
      <c r="BM33" s="216" t="s">
        <v>209</v>
      </c>
      <c r="BO33" s="160">
        <f t="shared" ref="BO33:BV33" si="25">SUM(BO29:BO32)</f>
        <v>0</v>
      </c>
      <c r="BP33" s="160"/>
      <c r="BQ33" s="157">
        <f>H33</f>
        <v>0</v>
      </c>
      <c r="BR33" s="160">
        <f t="shared" si="25"/>
        <v>0</v>
      </c>
      <c r="BS33" s="157">
        <f t="shared" si="20"/>
        <v>0</v>
      </c>
      <c r="BT33" s="160">
        <f t="shared" si="25"/>
        <v>0</v>
      </c>
      <c r="BU33" s="160">
        <f t="shared" si="25"/>
        <v>0</v>
      </c>
      <c r="BV33" s="160">
        <f t="shared" si="25"/>
        <v>0</v>
      </c>
      <c r="BW33" s="157">
        <f t="shared" si="2"/>
        <v>0</v>
      </c>
    </row>
    <row r="34" spans="1:75" s="158" customFormat="1" x14ac:dyDescent="0.25">
      <c r="A34" s="966"/>
      <c r="B34" s="147"/>
      <c r="C34" s="140" t="s">
        <v>115</v>
      </c>
      <c r="D34" s="153" t="s">
        <v>115</v>
      </c>
      <c r="E34" s="145" t="s">
        <v>111</v>
      </c>
      <c r="F34" s="175"/>
      <c r="G34" s="168">
        <f t="shared" ref="G34:BR34" si="26">G33+G32+G31+G30+G29</f>
        <v>2</v>
      </c>
      <c r="H34" s="205">
        <f t="shared" si="26"/>
        <v>1400000</v>
      </c>
      <c r="I34" s="205">
        <f t="shared" si="26"/>
        <v>280000</v>
      </c>
      <c r="J34" s="205">
        <f t="shared" si="26"/>
        <v>1120000</v>
      </c>
      <c r="K34" s="205">
        <f t="shared" si="26"/>
        <v>0</v>
      </c>
      <c r="L34" s="205">
        <f t="shared" si="26"/>
        <v>0</v>
      </c>
      <c r="M34" s="205">
        <f t="shared" si="26"/>
        <v>0</v>
      </c>
      <c r="N34" s="205">
        <f t="shared" si="26"/>
        <v>0</v>
      </c>
      <c r="O34" s="205">
        <f t="shared" si="26"/>
        <v>0</v>
      </c>
      <c r="P34" s="205">
        <f t="shared" si="26"/>
        <v>0</v>
      </c>
      <c r="Q34" s="205">
        <f t="shared" si="26"/>
        <v>0</v>
      </c>
      <c r="R34" s="205">
        <f t="shared" si="26"/>
        <v>0</v>
      </c>
      <c r="S34" s="205">
        <f t="shared" si="26"/>
        <v>0</v>
      </c>
      <c r="T34" s="205">
        <f t="shared" si="26"/>
        <v>2</v>
      </c>
      <c r="U34" s="205">
        <f t="shared" si="26"/>
        <v>0</v>
      </c>
      <c r="V34" s="205">
        <f t="shared" si="26"/>
        <v>0</v>
      </c>
      <c r="W34" s="205">
        <f t="shared" si="26"/>
        <v>0</v>
      </c>
      <c r="X34" s="205">
        <f t="shared" si="26"/>
        <v>1400000</v>
      </c>
      <c r="Y34" s="205">
        <f t="shared" si="26"/>
        <v>0</v>
      </c>
      <c r="Z34" s="205">
        <f t="shared" si="26"/>
        <v>0</v>
      </c>
      <c r="AA34" s="205">
        <f t="shared" si="26"/>
        <v>0</v>
      </c>
      <c r="AB34" s="205">
        <f t="shared" si="26"/>
        <v>0</v>
      </c>
      <c r="AC34" s="205">
        <f t="shared" si="26"/>
        <v>0</v>
      </c>
      <c r="AD34" s="205">
        <f t="shared" si="26"/>
        <v>0</v>
      </c>
      <c r="AE34" s="205">
        <f t="shared" si="26"/>
        <v>0</v>
      </c>
      <c r="AF34" s="205">
        <f t="shared" si="26"/>
        <v>0</v>
      </c>
      <c r="AG34" s="205">
        <f t="shared" si="26"/>
        <v>0</v>
      </c>
      <c r="AH34" s="205">
        <f t="shared" si="26"/>
        <v>0</v>
      </c>
      <c r="AI34" s="205">
        <f t="shared" si="26"/>
        <v>0</v>
      </c>
      <c r="AJ34" s="205">
        <f t="shared" si="26"/>
        <v>0</v>
      </c>
      <c r="AK34" s="205">
        <f t="shared" si="26"/>
        <v>0</v>
      </c>
      <c r="AL34" s="205">
        <f t="shared" si="26"/>
        <v>0</v>
      </c>
      <c r="AM34" s="205">
        <f t="shared" si="26"/>
        <v>0</v>
      </c>
      <c r="AN34" s="205">
        <f t="shared" si="26"/>
        <v>0</v>
      </c>
      <c r="AO34" s="205">
        <f t="shared" si="26"/>
        <v>0</v>
      </c>
      <c r="AP34" s="205">
        <f t="shared" si="26"/>
        <v>0</v>
      </c>
      <c r="AQ34" s="205">
        <f t="shared" si="26"/>
        <v>0</v>
      </c>
      <c r="AR34" s="205">
        <f t="shared" si="26"/>
        <v>0</v>
      </c>
      <c r="AS34" s="205">
        <f t="shared" si="26"/>
        <v>0</v>
      </c>
      <c r="AT34" s="205">
        <f t="shared" si="26"/>
        <v>0</v>
      </c>
      <c r="AU34" s="205">
        <f t="shared" si="26"/>
        <v>0</v>
      </c>
      <c r="AV34" s="205">
        <f t="shared" si="26"/>
        <v>0</v>
      </c>
      <c r="AW34" s="205">
        <f t="shared" si="26"/>
        <v>0</v>
      </c>
      <c r="AX34" s="205">
        <f t="shared" si="26"/>
        <v>0</v>
      </c>
      <c r="AY34" s="205">
        <f t="shared" si="26"/>
        <v>0</v>
      </c>
      <c r="AZ34" s="205">
        <f t="shared" si="26"/>
        <v>0</v>
      </c>
      <c r="BA34" s="205">
        <f t="shared" si="26"/>
        <v>0</v>
      </c>
      <c r="BB34" s="205">
        <f t="shared" si="26"/>
        <v>0</v>
      </c>
      <c r="BC34" s="205">
        <f t="shared" si="26"/>
        <v>0</v>
      </c>
      <c r="BD34" s="205">
        <f t="shared" si="26"/>
        <v>0</v>
      </c>
      <c r="BE34" s="205">
        <f t="shared" si="26"/>
        <v>0</v>
      </c>
      <c r="BF34" s="205">
        <f t="shared" si="26"/>
        <v>0</v>
      </c>
      <c r="BG34" s="205">
        <f t="shared" si="26"/>
        <v>0</v>
      </c>
      <c r="BH34" s="205">
        <f t="shared" si="26"/>
        <v>0</v>
      </c>
      <c r="BI34" s="205">
        <f t="shared" si="26"/>
        <v>2</v>
      </c>
      <c r="BJ34" s="205">
        <f t="shared" si="26"/>
        <v>1400000</v>
      </c>
      <c r="BK34" s="205">
        <f t="shared" si="26"/>
        <v>2</v>
      </c>
      <c r="BL34" s="205">
        <f t="shared" si="26"/>
        <v>1400000</v>
      </c>
      <c r="BM34" s="205"/>
      <c r="BN34" s="205">
        <f t="shared" si="26"/>
        <v>0</v>
      </c>
      <c r="BO34" s="205">
        <f t="shared" si="26"/>
        <v>0</v>
      </c>
      <c r="BP34" s="205">
        <f t="shared" si="26"/>
        <v>0</v>
      </c>
      <c r="BQ34" s="205">
        <f t="shared" si="26"/>
        <v>1400000</v>
      </c>
      <c r="BR34" s="205">
        <f t="shared" si="26"/>
        <v>0</v>
      </c>
      <c r="BS34" s="157">
        <f t="shared" si="20"/>
        <v>1400000</v>
      </c>
      <c r="BT34" s="205">
        <f>BT33+BT32+BT31+BT30+BT29</f>
        <v>0</v>
      </c>
      <c r="BU34" s="205">
        <f>BU33+BU32+BU31+BU30+BU29</f>
        <v>0</v>
      </c>
      <c r="BV34" s="205">
        <f>BV33+BV32+BV31+BV30+BV29</f>
        <v>0</v>
      </c>
      <c r="BW34" s="157">
        <f t="shared" si="2"/>
        <v>1400000</v>
      </c>
    </row>
    <row r="35" spans="1:75" s="158" customFormat="1" x14ac:dyDescent="0.2">
      <c r="A35" s="966"/>
      <c r="B35" s="147"/>
      <c r="C35" s="218" t="s">
        <v>357</v>
      </c>
      <c r="D35" s="166" t="s">
        <v>333</v>
      </c>
      <c r="E35" s="219" t="s">
        <v>64</v>
      </c>
      <c r="F35" s="220"/>
      <c r="G35" s="160">
        <f t="shared" ref="G35:BR35" si="27">G34+G27+G22+G18+G14</f>
        <v>38</v>
      </c>
      <c r="H35" s="160">
        <f t="shared" si="27"/>
        <v>6240000</v>
      </c>
      <c r="I35" s="160">
        <f t="shared" si="27"/>
        <v>1248000</v>
      </c>
      <c r="J35" s="160">
        <f>J34+J27+J22+J18+J14</f>
        <v>4992000</v>
      </c>
      <c r="K35" s="160">
        <f t="shared" si="27"/>
        <v>0</v>
      </c>
      <c r="L35" s="160">
        <f t="shared" si="27"/>
        <v>0</v>
      </c>
      <c r="M35" s="160">
        <f t="shared" si="27"/>
        <v>0</v>
      </c>
      <c r="N35" s="160">
        <f t="shared" si="27"/>
        <v>0</v>
      </c>
      <c r="O35" s="160">
        <f t="shared" si="27"/>
        <v>0</v>
      </c>
      <c r="P35" s="160">
        <f t="shared" si="27"/>
        <v>0</v>
      </c>
      <c r="Q35" s="160">
        <f t="shared" si="27"/>
        <v>0</v>
      </c>
      <c r="R35" s="160">
        <f t="shared" si="27"/>
        <v>0</v>
      </c>
      <c r="S35" s="160">
        <f t="shared" si="27"/>
        <v>9</v>
      </c>
      <c r="T35" s="160">
        <f t="shared" si="27"/>
        <v>11</v>
      </c>
      <c r="U35" s="160">
        <f t="shared" si="27"/>
        <v>9.5</v>
      </c>
      <c r="V35" s="160">
        <f t="shared" si="27"/>
        <v>8.5</v>
      </c>
      <c r="W35" s="160">
        <f t="shared" si="27"/>
        <v>1335000</v>
      </c>
      <c r="X35" s="160">
        <f t="shared" si="27"/>
        <v>2735000</v>
      </c>
      <c r="Y35" s="160">
        <f t="shared" si="27"/>
        <v>2085000</v>
      </c>
      <c r="Z35" s="160">
        <f t="shared" si="27"/>
        <v>85000</v>
      </c>
      <c r="AA35" s="160">
        <f t="shared" si="27"/>
        <v>2</v>
      </c>
      <c r="AB35" s="160">
        <f t="shared" si="27"/>
        <v>20000</v>
      </c>
      <c r="AC35" s="160">
        <f t="shared" si="27"/>
        <v>2</v>
      </c>
      <c r="AD35" s="160">
        <f t="shared" si="27"/>
        <v>20000</v>
      </c>
      <c r="AE35" s="160">
        <f t="shared" si="27"/>
        <v>2</v>
      </c>
      <c r="AF35" s="160">
        <f t="shared" si="27"/>
        <v>20000</v>
      </c>
      <c r="AG35" s="160">
        <f t="shared" si="27"/>
        <v>2</v>
      </c>
      <c r="AH35" s="160">
        <f t="shared" si="27"/>
        <v>20000</v>
      </c>
      <c r="AI35" s="160">
        <f t="shared" si="27"/>
        <v>2</v>
      </c>
      <c r="AJ35" s="160">
        <f t="shared" si="27"/>
        <v>20000</v>
      </c>
      <c r="AK35" s="160">
        <f t="shared" si="27"/>
        <v>2</v>
      </c>
      <c r="AL35" s="160">
        <f t="shared" si="27"/>
        <v>20000</v>
      </c>
      <c r="AM35" s="160">
        <f t="shared" si="27"/>
        <v>2</v>
      </c>
      <c r="AN35" s="160">
        <f t="shared" si="27"/>
        <v>20000</v>
      </c>
      <c r="AO35" s="160">
        <f t="shared" si="27"/>
        <v>2</v>
      </c>
      <c r="AP35" s="160">
        <f t="shared" si="27"/>
        <v>20000</v>
      </c>
      <c r="AQ35" s="160">
        <f t="shared" si="27"/>
        <v>2</v>
      </c>
      <c r="AR35" s="160">
        <f t="shared" si="27"/>
        <v>20000</v>
      </c>
      <c r="AS35" s="160">
        <f t="shared" si="27"/>
        <v>2</v>
      </c>
      <c r="AT35" s="160">
        <f t="shared" si="27"/>
        <v>20000</v>
      </c>
      <c r="AU35" s="160">
        <f t="shared" si="27"/>
        <v>2</v>
      </c>
      <c r="AV35" s="160">
        <f t="shared" si="27"/>
        <v>20000</v>
      </c>
      <c r="AW35" s="160">
        <f t="shared" si="27"/>
        <v>2</v>
      </c>
      <c r="AX35" s="160">
        <f t="shared" si="27"/>
        <v>20000</v>
      </c>
      <c r="AY35" s="160">
        <f t="shared" si="27"/>
        <v>2</v>
      </c>
      <c r="AZ35" s="160">
        <f t="shared" si="27"/>
        <v>20000</v>
      </c>
      <c r="BA35" s="160">
        <f t="shared" si="27"/>
        <v>2</v>
      </c>
      <c r="BB35" s="160">
        <f t="shared" si="27"/>
        <v>20000</v>
      </c>
      <c r="BC35" s="160">
        <f t="shared" si="27"/>
        <v>2</v>
      </c>
      <c r="BD35" s="160">
        <f t="shared" si="27"/>
        <v>20000</v>
      </c>
      <c r="BE35" s="160">
        <f t="shared" si="27"/>
        <v>2</v>
      </c>
      <c r="BF35" s="160">
        <f t="shared" si="27"/>
        <v>20000</v>
      </c>
      <c r="BG35" s="160">
        <f t="shared" si="27"/>
        <v>2</v>
      </c>
      <c r="BH35" s="160">
        <f t="shared" si="27"/>
        <v>20000</v>
      </c>
      <c r="BI35" s="160">
        <f t="shared" si="27"/>
        <v>4</v>
      </c>
      <c r="BJ35" s="160">
        <f t="shared" si="27"/>
        <v>5900000</v>
      </c>
      <c r="BK35" s="160">
        <f t="shared" si="27"/>
        <v>38</v>
      </c>
      <c r="BL35" s="160">
        <f t="shared" si="27"/>
        <v>6240000</v>
      </c>
      <c r="BM35" s="160">
        <f t="shared" si="27"/>
        <v>0</v>
      </c>
      <c r="BN35" s="160">
        <f t="shared" si="27"/>
        <v>0</v>
      </c>
      <c r="BO35" s="160">
        <f t="shared" si="27"/>
        <v>0</v>
      </c>
      <c r="BP35" s="160">
        <f t="shared" si="27"/>
        <v>4840000</v>
      </c>
      <c r="BQ35" s="160">
        <f t="shared" si="27"/>
        <v>1400000</v>
      </c>
      <c r="BR35" s="160">
        <f t="shared" si="27"/>
        <v>0</v>
      </c>
      <c r="BS35" s="160">
        <f>BS34+BS27+BS22+BS18+BS14</f>
        <v>6240000</v>
      </c>
      <c r="BT35" s="160">
        <f>BT34+BT27+BT22+BT18+BT14</f>
        <v>0</v>
      </c>
      <c r="BU35" s="160">
        <f>BU34+BU27+BU22+BU18+BU14</f>
        <v>0</v>
      </c>
      <c r="BV35" s="160">
        <f>BV34+BV27+BV22+BV18+BV14</f>
        <v>0</v>
      </c>
      <c r="BW35" s="160">
        <f>BW34+BW27+BW22+BW18+BW14</f>
        <v>6240000</v>
      </c>
    </row>
    <row r="36" spans="1:75" x14ac:dyDescent="0.25">
      <c r="F36" s="221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1"/>
      <c r="S36" s="223"/>
      <c r="T36" s="223"/>
      <c r="U36" s="223"/>
      <c r="V36" s="223"/>
    </row>
    <row r="38" spans="1:75" x14ac:dyDescent="0.25">
      <c r="H38" s="200">
        <f>H35-BL35</f>
        <v>0</v>
      </c>
    </row>
    <row r="39" spans="1:75" x14ac:dyDescent="0.25">
      <c r="W39" s="200">
        <f>SUM(W35:Z35)</f>
        <v>6240000</v>
      </c>
    </row>
    <row r="40" spans="1:75" x14ac:dyDescent="0.25">
      <c r="W40" s="200">
        <f>H35-W39</f>
        <v>0</v>
      </c>
    </row>
  </sheetData>
  <mergeCells count="38">
    <mergeCell ref="BM7:BM9"/>
    <mergeCell ref="BO8:BS8"/>
    <mergeCell ref="BT8:BV8"/>
    <mergeCell ref="BW8:BW9"/>
    <mergeCell ref="A2:B2"/>
    <mergeCell ref="C2:R2"/>
    <mergeCell ref="A3:B3"/>
    <mergeCell ref="C3:R3"/>
    <mergeCell ref="BK7:BL8"/>
    <mergeCell ref="B8:B9"/>
    <mergeCell ref="F8:F9"/>
    <mergeCell ref="AS7:AT8"/>
    <mergeCell ref="S7:V8"/>
    <mergeCell ref="BC7:BD8"/>
    <mergeCell ref="BI7:BJ8"/>
    <mergeCell ref="AE7:AF8"/>
    <mergeCell ref="A10:A35"/>
    <mergeCell ref="AK7:AL8"/>
    <mergeCell ref="BG7:BH8"/>
    <mergeCell ref="G8:G9"/>
    <mergeCell ref="H8:H9"/>
    <mergeCell ref="AU7:AV8"/>
    <mergeCell ref="AW7:AX8"/>
    <mergeCell ref="AG7:AH8"/>
    <mergeCell ref="AI7:AJ8"/>
    <mergeCell ref="BA7:BB8"/>
    <mergeCell ref="AO7:AP8"/>
    <mergeCell ref="A7:C7"/>
    <mergeCell ref="F7:H7"/>
    <mergeCell ref="I7:R7"/>
    <mergeCell ref="BE7:BF8"/>
    <mergeCell ref="A8:A9"/>
    <mergeCell ref="AY7:AZ8"/>
    <mergeCell ref="AM7:AN8"/>
    <mergeCell ref="W7:Z8"/>
    <mergeCell ref="AC7:AD8"/>
    <mergeCell ref="AQ7:AR8"/>
    <mergeCell ref="AA7:AB8"/>
  </mergeCells>
  <phoneticPr fontId="28" type="noConversion"/>
  <pageMargins left="0.2" right="0.25" top="0.75" bottom="0.75" header="0.3" footer="0.3"/>
  <pageSetup paperSize="9" scale="11" fitToHeight="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C1:G118"/>
  <sheetViews>
    <sheetView topLeftCell="A98" workbookViewId="0">
      <selection activeCell="E126" sqref="E126"/>
    </sheetView>
  </sheetViews>
  <sheetFormatPr defaultRowHeight="15" x14ac:dyDescent="0.25"/>
  <cols>
    <col min="3" max="3" width="43.28515625" style="183" bestFit="1" customWidth="1"/>
    <col min="4" max="4" width="11.28515625" customWidth="1"/>
    <col min="5" max="5" width="16.140625" customWidth="1"/>
    <col min="6" max="6" width="28.140625" customWidth="1"/>
  </cols>
  <sheetData>
    <row r="1" spans="3:6" ht="18.75" x14ac:dyDescent="0.3">
      <c r="C1" s="995" t="s">
        <v>1199</v>
      </c>
      <c r="D1" s="996"/>
      <c r="E1" s="996"/>
      <c r="F1" s="992"/>
    </row>
    <row r="2" spans="3:6" ht="18.75" x14ac:dyDescent="0.3">
      <c r="C2" s="994" t="s">
        <v>1121</v>
      </c>
      <c r="D2" s="994" t="s">
        <v>1122</v>
      </c>
      <c r="E2" s="992" t="s">
        <v>1231</v>
      </c>
      <c r="F2" s="993"/>
    </row>
    <row r="3" spans="3:6" ht="15.75" thickBot="1" x14ac:dyDescent="0.3">
      <c r="C3" s="994"/>
      <c r="D3" s="994"/>
      <c r="E3" s="256" t="s">
        <v>1123</v>
      </c>
      <c r="F3" s="256" t="s">
        <v>1124</v>
      </c>
    </row>
    <row r="4" spans="3:6" ht="26.25" hidden="1" x14ac:dyDescent="0.25">
      <c r="C4" s="746" t="str">
        <f>'1.1'!D12</f>
        <v xml:space="preserve">Exposure visit to Outside state on different themes for 5 days	</v>
      </c>
      <c r="D4" s="746" t="str">
        <f>'1.1'!E12</f>
        <v>LS</v>
      </c>
      <c r="E4" s="747">
        <f>'1.1'!G12</f>
        <v>1</v>
      </c>
      <c r="F4" s="748">
        <f>'1.1'!H12</f>
        <v>1000000</v>
      </c>
    </row>
    <row r="5" spans="3:6" hidden="1" x14ac:dyDescent="0.25">
      <c r="C5" s="746" t="s">
        <v>1232</v>
      </c>
      <c r="D5" s="746" t="str">
        <f>'1.1'!E10</f>
        <v>MPA</v>
      </c>
      <c r="E5" s="747">
        <f>'1.1'!G10</f>
        <v>17</v>
      </c>
      <c r="F5" s="748">
        <f>'1.1'!H10</f>
        <v>121152000</v>
      </c>
    </row>
    <row r="6" spans="3:6" ht="26.25" hidden="1" x14ac:dyDescent="0.25">
      <c r="C6" s="746" t="str">
        <f>'1.1'!D13</f>
        <v>Exposure visit to inside state on different themes for 3 days	 /b</v>
      </c>
      <c r="D6" s="746" t="str">
        <f>'1.1'!E13</f>
        <v>pers_days</v>
      </c>
      <c r="E6" s="747">
        <f>'1.1'!G13</f>
        <v>0</v>
      </c>
      <c r="F6" s="748">
        <f>'1.1'!H13</f>
        <v>0</v>
      </c>
    </row>
    <row r="7" spans="3:6" ht="26.25" hidden="1" x14ac:dyDescent="0.25">
      <c r="C7" s="746" t="str">
        <f>'1.1'!D14</f>
        <v>Specialised training on various themes including ToT on PLA</v>
      </c>
      <c r="D7" s="746" t="str">
        <f>'1.1'!E14</f>
        <v>LS</v>
      </c>
      <c r="E7" s="747">
        <f>'1.1'!G14</f>
        <v>1</v>
      </c>
      <c r="F7" s="748">
        <f>'1.1'!H14</f>
        <v>1000000</v>
      </c>
    </row>
    <row r="8" spans="3:6" ht="26.25" hidden="1" x14ac:dyDescent="0.25">
      <c r="C8" s="746" t="str">
        <f>'1.1'!D15</f>
        <v>State level training programme on different theme/aspects</v>
      </c>
      <c r="D8" s="746" t="str">
        <f>'1.1'!E15</f>
        <v>LS</v>
      </c>
      <c r="E8" s="747">
        <f>'1.1'!G15</f>
        <v>1</v>
      </c>
      <c r="F8" s="748">
        <f>'1.1'!H15</f>
        <v>8000000</v>
      </c>
    </row>
    <row r="9" spans="3:6" ht="26.25" hidden="1" x14ac:dyDescent="0.25">
      <c r="C9" s="746" t="str">
        <f>'1.1'!D18</f>
        <v>Exposure visit on different themes including VDC members to other programme (inter district)</v>
      </c>
      <c r="D9" s="746" t="str">
        <f>'1.1'!E18</f>
        <v>pers_days</v>
      </c>
      <c r="E9" s="747">
        <f>'1.1'!G18</f>
        <v>3201</v>
      </c>
      <c r="F9" s="748">
        <f>'1.1'!H18</f>
        <v>2560800</v>
      </c>
    </row>
    <row r="10" spans="3:6" ht="27.75" hidden="1" customHeight="1" x14ac:dyDescent="0.25">
      <c r="C10" s="746" t="str">
        <f>'1.1'!D21</f>
        <v xml:space="preserve">Exposure Visit programme on nutrition </v>
      </c>
      <c r="D10" s="746" t="str">
        <f>'1.1'!E21</f>
        <v>Per exposure</v>
      </c>
      <c r="E10" s="747">
        <f>'1.1'!G21</f>
        <v>21</v>
      </c>
      <c r="F10" s="748">
        <f>'1.1'!H21</f>
        <v>630000</v>
      </c>
    </row>
    <row r="11" spans="3:6" ht="27.75" hidden="1" customHeight="1" x14ac:dyDescent="0.25">
      <c r="C11" s="746" t="str">
        <f>'1.1'!D22</f>
        <v>MPA level training on PLA</v>
      </c>
      <c r="D11" s="746" t="str">
        <f>'1.1'!E22</f>
        <v>pers_days</v>
      </c>
      <c r="E11" s="747">
        <f>'1.1'!G22</f>
        <v>3928.7</v>
      </c>
      <c r="F11" s="748">
        <f>'1.1'!H22</f>
        <v>1178610</v>
      </c>
    </row>
    <row r="12" spans="3:6" ht="26.25" hidden="1" x14ac:dyDescent="0.25">
      <c r="C12" s="746" t="str">
        <f>'1.1'!D23</f>
        <v>Creche workers / SHGMembers-15 days for a year at MPA level</v>
      </c>
      <c r="D12" s="746" t="str">
        <f>'1.1'!E23</f>
        <v xml:space="preserve">Person days </v>
      </c>
      <c r="E12" s="747">
        <f>'1.1'!G23</f>
        <v>10230</v>
      </c>
      <c r="F12" s="748">
        <f>'1.1'!H23</f>
        <v>3069000</v>
      </c>
    </row>
    <row r="13" spans="3:6" ht="26.25" hidden="1" x14ac:dyDescent="0.25">
      <c r="C13" s="746" t="str">
        <f>'1.1'!D24</f>
        <v>Training / exposure to GPNA on different aspects for a period of 13 days</v>
      </c>
      <c r="D13" s="746" t="str">
        <f>'1.1'!E24</f>
        <v xml:space="preserve">Person days </v>
      </c>
      <c r="E13" s="747">
        <f>'1.1'!G24</f>
        <v>0</v>
      </c>
      <c r="F13" s="748">
        <f>'1.1'!H24</f>
        <v>0</v>
      </c>
    </row>
    <row r="14" spans="3:6" ht="26.25" hidden="1" x14ac:dyDescent="0.25">
      <c r="C14" s="746" t="str">
        <f>'1.1'!D25</f>
        <v>Orientation to SHG Members on SFC / MSFC management for 2 days</v>
      </c>
      <c r="D14" s="746" t="str">
        <f>'1.1'!E25</f>
        <v>LS</v>
      </c>
      <c r="E14" s="747">
        <f>'1.1'!G25</f>
        <v>2208</v>
      </c>
      <c r="F14" s="748">
        <f>'1.1'!H25</f>
        <v>662400</v>
      </c>
    </row>
    <row r="15" spans="3:6" ht="26.25" hidden="1" x14ac:dyDescent="0.25">
      <c r="C15" s="746" t="str">
        <f>'1.1'!D27</f>
        <v>1 day Training to VDC Members on various Govt. Schemes / Programmes at MPA level</v>
      </c>
      <c r="D15" s="746" t="str">
        <f>'1.1'!E27</f>
        <v>VDC</v>
      </c>
      <c r="E15" s="747">
        <f>'1.1'!G27</f>
        <v>0</v>
      </c>
      <c r="F15" s="748">
        <f>'1.1'!H27</f>
        <v>0</v>
      </c>
    </row>
    <row r="16" spans="3:6" ht="26.25" hidden="1" x14ac:dyDescent="0.25">
      <c r="C16" s="746" t="str">
        <f>'1.1'!D28</f>
        <v xml:space="preserve">State level training for PRI members 2 days for 500 members </v>
      </c>
      <c r="D16" s="746" t="str">
        <f>'1.1'!E28</f>
        <v>Person</v>
      </c>
      <c r="E16" s="747">
        <f>'1.1'!G28</f>
        <v>1000</v>
      </c>
      <c r="F16" s="748">
        <f>'1.1'!H28</f>
        <v>1500000</v>
      </c>
    </row>
    <row r="17" spans="3:6" ht="39" hidden="1" x14ac:dyDescent="0.25">
      <c r="C17" s="746" t="str">
        <f>'1.1'!D29</f>
        <v>Various Thematic training to CRPS &amp; VDC members including AWPB, VDP, MGNREGS etc. /d</v>
      </c>
      <c r="D17" s="746" t="str">
        <f>'1.1'!E29</f>
        <v>person</v>
      </c>
      <c r="E17" s="747">
        <f>'1.1'!G29</f>
        <v>0</v>
      </c>
      <c r="F17" s="748">
        <f>'1.1'!H29</f>
        <v>0</v>
      </c>
    </row>
    <row r="18" spans="3:6" hidden="1" x14ac:dyDescent="0.25">
      <c r="C18" s="746" t="str">
        <f>'1.1'!D33</f>
        <v>Imparting ToT &amp; developing training Modules</v>
      </c>
      <c r="D18" s="746" t="str">
        <f>'1.1'!E33</f>
        <v>LS</v>
      </c>
      <c r="E18" s="747">
        <f>'1.1'!G33</f>
        <v>0</v>
      </c>
      <c r="F18" s="748">
        <f>'1.1'!H33</f>
        <v>0</v>
      </c>
    </row>
    <row r="19" spans="3:6" hidden="1" x14ac:dyDescent="0.25">
      <c r="C19" s="746" t="str">
        <f>'1.1'!D34</f>
        <v>Collaboration with ICRISAT</v>
      </c>
      <c r="D19" s="746" t="str">
        <f>'1.1'!E34</f>
        <v>LS</v>
      </c>
      <c r="E19" s="747">
        <f>'1.1'!G34</f>
        <v>1</v>
      </c>
      <c r="F19" s="748">
        <f>'1.1'!H34</f>
        <v>18946000</v>
      </c>
    </row>
    <row r="20" spans="3:6" hidden="1" x14ac:dyDescent="0.25">
      <c r="C20" s="746" t="str">
        <f>'1.1'!D35</f>
        <v>Knowledge Management &amp; IGA</v>
      </c>
      <c r="D20" s="746" t="str">
        <f>'1.1'!E35</f>
        <v>LS</v>
      </c>
      <c r="E20" s="747">
        <f>'1.1'!G35</f>
        <v>1</v>
      </c>
      <c r="F20" s="748">
        <f>'1.1'!H35</f>
        <v>4000000</v>
      </c>
    </row>
    <row r="21" spans="3:6" hidden="1" x14ac:dyDescent="0.25">
      <c r="C21" s="746" t="s">
        <v>1125</v>
      </c>
      <c r="D21" s="746" t="str">
        <f>'1.1'!E50</f>
        <v/>
      </c>
      <c r="E21" s="747">
        <f>'1.1'!G50</f>
        <v>23476</v>
      </c>
      <c r="F21" s="748">
        <f>'1.1'!H50</f>
        <v>42209500</v>
      </c>
    </row>
    <row r="22" spans="3:6" hidden="1" x14ac:dyDescent="0.25">
      <c r="C22" s="749" t="str">
        <f>'1.1'!D53</f>
        <v xml:space="preserve">Confidence Building Measures PVTG Villages </v>
      </c>
      <c r="D22" s="746" t="str">
        <f>'1.1'!E53</f>
        <v>village</v>
      </c>
      <c r="E22" s="747">
        <f>'1.1'!G53</f>
        <v>11</v>
      </c>
      <c r="F22" s="748">
        <f>'1.1'!H53</f>
        <v>2750000</v>
      </c>
    </row>
    <row r="23" spans="3:6" hidden="1" x14ac:dyDescent="0.25">
      <c r="C23" s="749" t="str">
        <f>'1.1'!D54</f>
        <v>Confidence Building Measures diffcult areas</v>
      </c>
      <c r="D23" s="746" t="str">
        <f>'1.1'!E54</f>
        <v>village</v>
      </c>
      <c r="E23" s="747">
        <f>'1.1'!G54</f>
        <v>121</v>
      </c>
      <c r="F23" s="748">
        <f>'1.1'!H54</f>
        <v>36300000</v>
      </c>
    </row>
    <row r="24" spans="3:6" hidden="1" x14ac:dyDescent="0.25">
      <c r="C24" s="750" t="str">
        <f>'1.1'!D56</f>
        <v xml:space="preserve">Total </v>
      </c>
      <c r="D24" s="750">
        <f>'1.1'!E56</f>
        <v>0</v>
      </c>
      <c r="E24" s="751">
        <f>SUM(E4:E23)</f>
        <v>44218.7</v>
      </c>
      <c r="F24" s="752">
        <f>SUM(F4:F23)</f>
        <v>244958310</v>
      </c>
    </row>
    <row r="25" spans="3:6" hidden="1" x14ac:dyDescent="0.25">
      <c r="C25" s="750"/>
      <c r="D25" s="750"/>
      <c r="E25" s="751"/>
      <c r="F25" s="752"/>
    </row>
    <row r="26" spans="3:6" hidden="1" x14ac:dyDescent="0.25">
      <c r="C26" s="746"/>
      <c r="D26" s="753"/>
      <c r="E26" s="747"/>
      <c r="F26" s="748"/>
    </row>
    <row r="27" spans="3:6" ht="26.25" hidden="1" x14ac:dyDescent="0.25">
      <c r="C27" s="746" t="str">
        <f>'1.2'!B12</f>
        <v>Promotion/Revival of SHG (incentives to CRP) (600)</v>
      </c>
      <c r="D27" s="746" t="str">
        <f>'1.2'!C12</f>
        <v>SHG</v>
      </c>
      <c r="E27" s="747">
        <v>0</v>
      </c>
      <c r="F27" s="748">
        <f>'1.2'!F12</f>
        <v>0</v>
      </c>
    </row>
    <row r="28" spans="3:6" ht="21" hidden="1" customHeight="1" x14ac:dyDescent="0.25">
      <c r="C28" s="746" t="str">
        <f>'1.2'!B13</f>
        <v>Organising meeting with defunct SHG members</v>
      </c>
      <c r="D28" s="746" t="str">
        <f>'1.2'!C13</f>
        <v>Nos</v>
      </c>
      <c r="E28" s="747">
        <f>'1.2'!E13</f>
        <v>242</v>
      </c>
      <c r="F28" s="748">
        <f>'1.2'!F13</f>
        <v>242000</v>
      </c>
    </row>
    <row r="29" spans="3:6" ht="39" hidden="1" x14ac:dyDescent="0.25">
      <c r="C29" s="746" t="str">
        <f>'1.2'!B14</f>
        <v>Thematic exposure visits ofSHG members + CINO, RFO SM &amp; CRPs on SHG (3 visit x 17MPA x 15 members)</v>
      </c>
      <c r="D29" s="746" t="str">
        <f>'1.2'!C14</f>
        <v>Person _days</v>
      </c>
      <c r="E29" s="747">
        <f>'1.2'!E14</f>
        <v>765</v>
      </c>
      <c r="F29" s="748">
        <f>'1.2'!F14</f>
        <v>900000</v>
      </c>
    </row>
    <row r="30" spans="3:6" ht="33.75" hidden="1" customHeight="1" x14ac:dyDescent="0.25">
      <c r="C30" s="746" t="str">
        <f>'1.2'!B16</f>
        <v>2. SHG equipment: A/c books as per OLM format (Cash book, member pass book &amp; Minutes book)</v>
      </c>
      <c r="D30" s="746" t="str">
        <f>'1.2'!C16</f>
        <v>SHG</v>
      </c>
      <c r="E30" s="746">
        <v>0</v>
      </c>
      <c r="F30" s="748">
        <f>'1.2'!F16</f>
        <v>0</v>
      </c>
    </row>
    <row r="31" spans="3:6" ht="26.25" hidden="1" x14ac:dyDescent="0.25">
      <c r="C31" s="746" t="str">
        <f>'1.2'!B19</f>
        <v>1. SHG functioning</v>
      </c>
      <c r="D31" s="746" t="str">
        <f>'1.2'!C24</f>
        <v>Person _days</v>
      </c>
      <c r="E31" s="747">
        <f>'1.2'!E25</f>
        <v>7575.5</v>
      </c>
      <c r="F31" s="748">
        <f>'1.2'!F25</f>
        <v>1136325</v>
      </c>
    </row>
    <row r="32" spans="3:6" ht="26.25" hidden="1" x14ac:dyDescent="0.25">
      <c r="C32" s="746" t="str">
        <f>'1.2'!B26</f>
        <v>2. Gender Financial management with financial literacy/awreness on RF</v>
      </c>
      <c r="D32" s="746" t="str">
        <f>'1.2'!C31</f>
        <v>Person _days</v>
      </c>
      <c r="E32" s="747">
        <f>'1.2'!E33</f>
        <v>1182</v>
      </c>
      <c r="F32" s="748">
        <f>'1.2'!F33</f>
        <v>5910000</v>
      </c>
    </row>
    <row r="33" spans="3:6" hidden="1" x14ac:dyDescent="0.25">
      <c r="C33" s="746" t="str">
        <f>'1.2'!B38</f>
        <v>1. Functioning of CLF/GPLF /i</v>
      </c>
      <c r="D33" s="753" t="str">
        <f>'1.2'!C41</f>
        <v>person</v>
      </c>
      <c r="E33" s="747">
        <v>0</v>
      </c>
      <c r="F33" s="748">
        <f>'1.2'!F43</f>
        <v>0</v>
      </c>
    </row>
    <row r="34" spans="3:6" ht="39" hidden="1" x14ac:dyDescent="0.25">
      <c r="C34" s="746" t="str">
        <f>'1.2'!B44</f>
        <v xml:space="preserve">2. GPLF building &amp; strenthening 5 training theme for each GPLF 90*5 cost norm 150 per persomn 6000 per trg </v>
      </c>
      <c r="D34" s="746" t="str">
        <f>'1.2'!C52</f>
        <v>person_days</v>
      </c>
      <c r="E34" s="747">
        <f>'1.2'!E53</f>
        <v>6879</v>
      </c>
      <c r="F34" s="748">
        <f>'1.2'!F53</f>
        <v>3027500</v>
      </c>
    </row>
    <row r="35" spans="3:6" hidden="1" x14ac:dyDescent="0.25">
      <c r="C35" s="746" t="str">
        <f>'1.2'!B55</f>
        <v>Revolving Funds at GPLF Level</v>
      </c>
      <c r="D35" s="753" t="str">
        <f>'1.2'!C55</f>
        <v>LS</v>
      </c>
      <c r="E35" s="747">
        <v>0</v>
      </c>
      <c r="F35" s="748">
        <f>'1.2'!F55</f>
        <v>0</v>
      </c>
    </row>
    <row r="36" spans="3:6" hidden="1" x14ac:dyDescent="0.25">
      <c r="C36" s="746" t="str">
        <f>'1.2'!B64</f>
        <v>Late marriage incentives to girls</v>
      </c>
      <c r="D36" s="753" t="str">
        <f>'1.2'!C64</f>
        <v>person</v>
      </c>
      <c r="E36" s="747">
        <f>'1.2'!E64</f>
        <v>425</v>
      </c>
      <c r="F36" s="748">
        <f>'1.2'!F64</f>
        <v>8200000</v>
      </c>
    </row>
    <row r="37" spans="3:6" hidden="1" x14ac:dyDescent="0.25">
      <c r="C37" s="750" t="s">
        <v>17</v>
      </c>
      <c r="D37" s="754"/>
      <c r="E37" s="751">
        <f>SUM(E27:E36)</f>
        <v>17068.5</v>
      </c>
      <c r="F37" s="752">
        <f>SUM(F27:F36)</f>
        <v>19415825</v>
      </c>
    </row>
    <row r="38" spans="3:6" hidden="1" x14ac:dyDescent="0.25">
      <c r="C38" s="746"/>
      <c r="D38" s="753"/>
      <c r="E38" s="747"/>
      <c r="F38" s="748"/>
    </row>
    <row r="39" spans="3:6" hidden="1" x14ac:dyDescent="0.25">
      <c r="C39" s="746"/>
      <c r="D39" s="753"/>
      <c r="E39" s="747"/>
      <c r="F39" s="748"/>
    </row>
    <row r="40" spans="3:6" hidden="1" x14ac:dyDescent="0.25">
      <c r="C40" s="746" t="str">
        <f>'2.1'!C11</f>
        <v xml:space="preserve">A. Agriculture Training </v>
      </c>
      <c r="D40" s="753" t="str">
        <f>'2.1'!D15</f>
        <v>person</v>
      </c>
      <c r="E40" s="747">
        <f>'2.1'!F17</f>
        <v>1128</v>
      </c>
      <c r="F40" s="748">
        <f>'2.1'!G17</f>
        <v>9024000</v>
      </c>
    </row>
    <row r="41" spans="3:6" hidden="1" x14ac:dyDescent="0.25">
      <c r="C41" s="746" t="str">
        <f>'2.1'!C18</f>
        <v>B. Land Rights Allocation- IFAD</v>
      </c>
      <c r="D41" s="753" t="s">
        <v>16</v>
      </c>
      <c r="E41" s="747">
        <f>'2.1'!F22</f>
        <v>205</v>
      </c>
      <c r="F41" s="748">
        <f>'2.1'!G22</f>
        <v>3340000</v>
      </c>
    </row>
    <row r="42" spans="3:6" hidden="1" x14ac:dyDescent="0.25">
      <c r="C42" s="746" t="str">
        <f>'2.1'!C26</f>
        <v>Land Levelling/development  - IFAD</v>
      </c>
      <c r="D42" s="753" t="str">
        <f>'2.1'!D26</f>
        <v>ha.</v>
      </c>
      <c r="E42" s="747">
        <f>'2.1'!F26</f>
        <v>500</v>
      </c>
      <c r="F42" s="748">
        <f>'2.1'!G26</f>
        <v>10000000</v>
      </c>
    </row>
    <row r="43" spans="3:6" hidden="1" x14ac:dyDescent="0.25">
      <c r="C43" s="746" t="str">
        <f>'2.1'!C27</f>
        <v>Water related infrastructure-IFAD</v>
      </c>
      <c r="D43" s="753" t="str">
        <f>'2.1'!D27</f>
        <v>Nos</v>
      </c>
      <c r="E43" s="747">
        <f>'2.1'!F27</f>
        <v>106</v>
      </c>
      <c r="F43" s="748">
        <f>'2.1'!G27</f>
        <v>63800000</v>
      </c>
    </row>
    <row r="44" spans="3:6" hidden="1" x14ac:dyDescent="0.25">
      <c r="C44" s="746" t="str">
        <f>'2.1'!C29</f>
        <v>Land Reclamation</v>
      </c>
      <c r="D44" s="753" t="str">
        <f>'2.1'!D29</f>
        <v>ha.</v>
      </c>
      <c r="E44" s="747">
        <f>'2.1'!F29</f>
        <v>365</v>
      </c>
      <c r="F44" s="748">
        <f>'2.1'!G29</f>
        <v>1825000</v>
      </c>
    </row>
    <row r="45" spans="3:6" hidden="1" x14ac:dyDescent="0.25">
      <c r="C45" s="746" t="str">
        <f>'2.1'!C30</f>
        <v>Soil Testing</v>
      </c>
      <c r="D45" s="753" t="str">
        <f>'2.1'!D30</f>
        <v>LS</v>
      </c>
      <c r="E45" s="747">
        <f>'2.1'!F30</f>
        <v>0</v>
      </c>
      <c r="F45" s="748">
        <f>'2.1'!G30</f>
        <v>0</v>
      </c>
    </row>
    <row r="46" spans="3:6" hidden="1" x14ac:dyDescent="0.25">
      <c r="C46" s="746" t="str">
        <f>'2.1'!C93</f>
        <v>Pine Apple IFAD</v>
      </c>
      <c r="D46" s="753" t="str">
        <f>'2.1'!D93</f>
        <v>ha</v>
      </c>
      <c r="E46" s="747">
        <f>'2.1'!F93</f>
        <v>0</v>
      </c>
      <c r="F46" s="748">
        <f>'2.1'!G93</f>
        <v>0</v>
      </c>
    </row>
    <row r="47" spans="3:6" hidden="1" x14ac:dyDescent="0.25">
      <c r="C47" s="746" t="str">
        <f>'2.1'!C95</f>
        <v>Banana-IFAD</v>
      </c>
      <c r="D47" s="753" t="str">
        <f>'2.1'!D95</f>
        <v>ha</v>
      </c>
      <c r="E47" s="747">
        <f>'2.1'!F95</f>
        <v>2</v>
      </c>
      <c r="F47" s="748">
        <f>'2.1'!G95</f>
        <v>92000</v>
      </c>
    </row>
    <row r="48" spans="3:6" hidden="1" x14ac:dyDescent="0.25">
      <c r="C48" s="746" t="str">
        <f>'2.1'!C101</f>
        <v>Apple ber -IFAD</v>
      </c>
      <c r="D48" s="753" t="str">
        <f>'2.1'!D101</f>
        <v>ha</v>
      </c>
      <c r="E48" s="747">
        <f>'2.1'!F101</f>
        <v>2</v>
      </c>
      <c r="F48" s="748">
        <f>'2.1'!G101</f>
        <v>160000</v>
      </c>
    </row>
    <row r="49" spans="3:7" hidden="1" x14ac:dyDescent="0.25">
      <c r="C49" s="746" t="str">
        <f>'2.1'!C102</f>
        <v xml:space="preserve">Black peper </v>
      </c>
      <c r="D49" s="753" t="str">
        <f>'2.1'!D102</f>
        <v>ha</v>
      </c>
      <c r="E49" s="747">
        <f>'2.1'!F102</f>
        <v>2</v>
      </c>
      <c r="F49" s="748">
        <f>'2.1'!G102</f>
        <v>200000</v>
      </c>
    </row>
    <row r="50" spans="3:7" hidden="1" x14ac:dyDescent="0.25">
      <c r="C50" s="746" t="str">
        <f>'2.1'!C103</f>
        <v xml:space="preserve">Dragon fruit </v>
      </c>
      <c r="D50" s="753" t="str">
        <f>'2.1'!D103</f>
        <v>ha</v>
      </c>
      <c r="E50" s="747">
        <f>'2.1'!F103</f>
        <v>0</v>
      </c>
      <c r="F50" s="748">
        <f>'2.1'!G103</f>
        <v>0</v>
      </c>
    </row>
    <row r="51" spans="3:7" hidden="1" x14ac:dyDescent="0.25">
      <c r="C51" s="746" t="str">
        <f>'2.1'!C104</f>
        <v xml:space="preserve">colour capsicum </v>
      </c>
      <c r="D51" s="753" t="str">
        <f>'2.1'!D104</f>
        <v>ha</v>
      </c>
      <c r="E51" s="747">
        <f>'2.1'!F104</f>
        <v>7</v>
      </c>
      <c r="F51" s="748">
        <f>'2.1'!G104</f>
        <v>420000</v>
      </c>
    </row>
    <row r="52" spans="3:7" hidden="1" x14ac:dyDescent="0.25">
      <c r="C52" s="746" t="str">
        <f>'2.1'!C105</f>
        <v xml:space="preserve">Strawberry </v>
      </c>
      <c r="D52" s="753" t="str">
        <f>'2.1'!D105</f>
        <v>ha</v>
      </c>
      <c r="E52" s="747">
        <f>'2.1'!F105</f>
        <v>24</v>
      </c>
      <c r="F52" s="748">
        <f>'2.1'!G105</f>
        <v>12000000</v>
      </c>
    </row>
    <row r="53" spans="3:7" hidden="1" x14ac:dyDescent="0.25">
      <c r="C53" s="746" t="str">
        <f>'2.1'!C100</f>
        <v>Drumstick-IFAD</v>
      </c>
      <c r="D53" s="753" t="str">
        <f>'2.1'!D100</f>
        <v>ha</v>
      </c>
      <c r="E53" s="747">
        <f>'2.1'!F100</f>
        <v>0</v>
      </c>
      <c r="F53" s="748">
        <f>'2.1'!G100</f>
        <v>0</v>
      </c>
    </row>
    <row r="54" spans="3:7" hidden="1" x14ac:dyDescent="0.25">
      <c r="C54" s="750" t="s">
        <v>17</v>
      </c>
      <c r="D54" s="754"/>
      <c r="E54" s="751">
        <f>SUM(E40:E53)</f>
        <v>2341</v>
      </c>
      <c r="F54" s="752">
        <f>SUM(F40:F53)</f>
        <v>100861000</v>
      </c>
      <c r="G54" s="226"/>
    </row>
    <row r="55" spans="3:7" hidden="1" x14ac:dyDescent="0.25">
      <c r="C55" s="746"/>
      <c r="D55" s="753"/>
      <c r="E55" s="747"/>
      <c r="F55" s="748"/>
    </row>
    <row r="56" spans="3:7" hidden="1" x14ac:dyDescent="0.25">
      <c r="C56" s="746"/>
      <c r="D56" s="753"/>
      <c r="E56" s="747"/>
      <c r="F56" s="748"/>
    </row>
    <row r="57" spans="3:7" hidden="1" x14ac:dyDescent="0.25">
      <c r="C57" s="746" t="str">
        <f>'2.2'!D15</f>
        <v>Formation/organisation of FFS-IFAD</v>
      </c>
      <c r="D57" s="753" t="str">
        <f>'2.2'!E15</f>
        <v>FFS</v>
      </c>
      <c r="E57" s="747">
        <f>'2.2'!G15</f>
        <v>85</v>
      </c>
      <c r="F57" s="748">
        <f>'2.2'!H15</f>
        <v>850000</v>
      </c>
    </row>
    <row r="58" spans="3:7" hidden="1" x14ac:dyDescent="0.25">
      <c r="C58" s="746" t="str">
        <f>'2.2'!D19</f>
        <v>Nutrition needs assessment</v>
      </c>
      <c r="D58" s="753" t="str">
        <f>'2.2'!E19</f>
        <v>study</v>
      </c>
      <c r="E58" s="747">
        <f>'2.2'!G19</f>
        <v>0</v>
      </c>
      <c r="F58" s="748">
        <f>'2.2'!H19</f>
        <v>0</v>
      </c>
    </row>
    <row r="59" spans="3:7" hidden="1" x14ac:dyDescent="0.25">
      <c r="C59" s="746" t="s">
        <v>1173</v>
      </c>
      <c r="D59" s="753" t="str">
        <f>'2.2'!E20</f>
        <v>SHG</v>
      </c>
      <c r="E59" s="748">
        <v>0</v>
      </c>
      <c r="F59" s="748">
        <f>'2.2'!H20</f>
        <v>0</v>
      </c>
    </row>
    <row r="60" spans="3:7" hidden="1" x14ac:dyDescent="0.25">
      <c r="C60" s="746" t="str">
        <f>'2.2'!D31</f>
        <v xml:space="preserve">Household crop development (Regular PVTG ) </v>
      </c>
      <c r="D60" s="753" t="str">
        <f>'2.2'!E31</f>
        <v>farmers</v>
      </c>
      <c r="E60" s="747">
        <f>'2.2'!G31</f>
        <v>5450</v>
      </c>
      <c r="F60" s="748">
        <f>'2.2'!H31</f>
        <v>32700000</v>
      </c>
    </row>
    <row r="61" spans="3:7" hidden="1" x14ac:dyDescent="0.25">
      <c r="C61" s="746" t="str">
        <f>'2.2'!D32</f>
        <v xml:space="preserve">Household crop development (Non PVTG ) </v>
      </c>
      <c r="D61" s="753" t="str">
        <f>'2.2'!E32</f>
        <v>farmers</v>
      </c>
      <c r="E61" s="747">
        <f>'2.2'!G32</f>
        <v>1190</v>
      </c>
      <c r="F61" s="748">
        <f>'2.2'!H32</f>
        <v>7140000</v>
      </c>
    </row>
    <row r="62" spans="3:7" hidden="1" x14ac:dyDescent="0.25">
      <c r="C62" s="746" t="str">
        <f>'2.2'!D34</f>
        <v>Cereal / millets crops development -IFAD</v>
      </c>
      <c r="D62" s="753" t="s">
        <v>75</v>
      </c>
      <c r="E62" s="747">
        <f>'2.2'!G40</f>
        <v>1015</v>
      </c>
      <c r="F62" s="748">
        <f>'2.2'!H40</f>
        <v>761250</v>
      </c>
    </row>
    <row r="63" spans="3:7" hidden="1" x14ac:dyDescent="0.25">
      <c r="C63" s="746" t="str">
        <f>'2.2'!D41</f>
        <v xml:space="preserve">Pulses, oilseeds, tubers development -IFAD  </v>
      </c>
      <c r="D63" s="753" t="s">
        <v>75</v>
      </c>
      <c r="E63" s="747">
        <f>'2.2'!G64</f>
        <v>285</v>
      </c>
      <c r="F63" s="748">
        <f>'2.2'!H64</f>
        <v>2565000</v>
      </c>
    </row>
    <row r="64" spans="3:7" hidden="1" x14ac:dyDescent="0.25">
      <c r="C64" s="746" t="str">
        <f>'2.2'!D65</f>
        <v>Vegetables-IFAD</v>
      </c>
      <c r="D64" s="753" t="s">
        <v>75</v>
      </c>
      <c r="E64" s="747">
        <f>'2.2'!G82</f>
        <v>0</v>
      </c>
      <c r="F64" s="748">
        <f>'2.2'!H82</f>
        <v>0</v>
      </c>
    </row>
    <row r="65" spans="3:6" hidden="1" x14ac:dyDescent="0.25">
      <c r="C65" s="746" t="str">
        <f>'2.2'!D83</f>
        <v>Floricultutre,Mushroom &amp; Commercial Crop</v>
      </c>
      <c r="D65" s="753" t="s">
        <v>75</v>
      </c>
      <c r="E65" s="747">
        <f>'2.2'!G89</f>
        <v>168</v>
      </c>
      <c r="F65" s="748">
        <f>'2.2'!H89</f>
        <v>840000</v>
      </c>
    </row>
    <row r="66" spans="3:6" ht="26.25" hidden="1" x14ac:dyDescent="0.25">
      <c r="C66" s="746" t="str">
        <f>'2.2'!D91</f>
        <v>2. Behavioural Change in COVID, Health, Nutrition, sanitation &amp; hygeine</v>
      </c>
      <c r="D66" s="746" t="str">
        <f>'2.2'!E91</f>
        <v>GP</v>
      </c>
      <c r="E66" s="755">
        <f>'2.2'!G91</f>
        <v>0</v>
      </c>
      <c r="F66" s="756">
        <f>'2.2'!H91</f>
        <v>0</v>
      </c>
    </row>
    <row r="67" spans="3:6" hidden="1" x14ac:dyDescent="0.25">
      <c r="C67" s="750" t="s">
        <v>17</v>
      </c>
      <c r="D67" s="754"/>
      <c r="E67" s="751">
        <f>SUM(E57:E66)</f>
        <v>8193</v>
      </c>
      <c r="F67" s="752">
        <f>SUM(F57:F66)</f>
        <v>44856250</v>
      </c>
    </row>
    <row r="68" spans="3:6" hidden="1" x14ac:dyDescent="0.25">
      <c r="C68" s="746"/>
      <c r="D68" s="753"/>
      <c r="E68" s="747"/>
      <c r="F68" s="748"/>
    </row>
    <row r="69" spans="3:6" hidden="1" x14ac:dyDescent="0.25">
      <c r="C69" s="746"/>
      <c r="D69" s="753"/>
      <c r="E69" s="747"/>
      <c r="F69" s="748"/>
    </row>
    <row r="70" spans="3:6" hidden="1" x14ac:dyDescent="0.25">
      <c r="C70" s="746" t="str">
        <f>'2.3'!D14</f>
        <v>Subtotal Training CSP</v>
      </c>
      <c r="D70" s="753" t="str">
        <f>'2.3'!E14</f>
        <v/>
      </c>
      <c r="E70" s="747">
        <f>'2.3'!G14</f>
        <v>0</v>
      </c>
      <c r="F70" s="748">
        <f>'2.3'!H14</f>
        <v>0</v>
      </c>
    </row>
    <row r="71" spans="3:6" hidden="1" x14ac:dyDescent="0.25">
      <c r="C71" s="746" t="str">
        <f>'2.3'!D20</f>
        <v>Support to CSP-IGA</v>
      </c>
      <c r="D71" s="753" t="str">
        <f>'2.3'!E20</f>
        <v>CSP</v>
      </c>
      <c r="E71" s="747">
        <f>'2.3'!G20</f>
        <v>18</v>
      </c>
      <c r="F71" s="748">
        <f>'2.3'!H20</f>
        <v>900000</v>
      </c>
    </row>
    <row r="72" spans="3:6" hidden="1" x14ac:dyDescent="0.25">
      <c r="C72" s="746" t="str">
        <f>'2.3'!D19</f>
        <v xml:space="preserve">support incentive to Livestock CSP </v>
      </c>
      <c r="D72" s="753" t="str">
        <f>'2.3'!E19</f>
        <v>CSP</v>
      </c>
      <c r="E72" s="747">
        <f>'2.3'!G19</f>
        <v>0</v>
      </c>
      <c r="F72" s="748">
        <f>'2.3'!H19</f>
        <v>0</v>
      </c>
    </row>
    <row r="73" spans="3:6" ht="21" hidden="1" customHeight="1" x14ac:dyDescent="0.25">
      <c r="C73" s="746" t="str">
        <f>'2.3'!D26</f>
        <v>2000 broiler bird unit - FARD &amp; IFAD (40% &amp; 60%)</v>
      </c>
      <c r="D73" s="753" t="str">
        <f>'2.3'!E26</f>
        <v xml:space="preserve">SHG </v>
      </c>
      <c r="E73" s="747">
        <f>'2.3'!G26</f>
        <v>15</v>
      </c>
      <c r="F73" s="748">
        <f>'2.3'!J26*0.6</f>
        <v>3888000</v>
      </c>
    </row>
    <row r="74" spans="3:6" hidden="1" x14ac:dyDescent="0.25">
      <c r="C74" s="746" t="str">
        <f>'2.3'!D28</f>
        <v xml:space="preserve">40 Bird Portable Layer Unit </v>
      </c>
      <c r="D74" s="753" t="str">
        <f>'2.3'!E28</f>
        <v>No</v>
      </c>
      <c r="E74" s="747">
        <f>'2.3'!G28</f>
        <v>1000</v>
      </c>
      <c r="F74" s="748">
        <f>'2.3'!J28+'2.3'!I28</f>
        <v>20700000</v>
      </c>
    </row>
    <row r="75" spans="3:6" hidden="1" x14ac:dyDescent="0.25">
      <c r="C75" s="746" t="str">
        <f>'2.3'!D29</f>
        <v xml:space="preserve">Feed Mill to CSP/Livestock Rearrer </v>
      </c>
      <c r="D75" s="753" t="str">
        <f>'2.3'!E29</f>
        <v>No</v>
      </c>
      <c r="E75" s="747">
        <f>'2.3'!G29</f>
        <v>30</v>
      </c>
      <c r="F75" s="748">
        <f>'2.3'!J29</f>
        <v>960000</v>
      </c>
    </row>
    <row r="76" spans="3:6" ht="47.25" hidden="1" customHeight="1" x14ac:dyDescent="0.25">
      <c r="C76" s="746" t="str">
        <f>'2.3'!D31</f>
        <v>Animal Husbandry: Matching support of Rs. 1.15 Lakhs for convergence with FARD 2.3 Lakhs SHG Goat Model ( 30 Does+2 Bucks ) IFAD+FARD</v>
      </c>
      <c r="D76" s="753" t="str">
        <f>'2.3'!E31</f>
        <v xml:space="preserve">SHG </v>
      </c>
      <c r="E76" s="747">
        <f>'2.3'!G31</f>
        <v>200</v>
      </c>
      <c r="F76" s="748">
        <f>'2.3'!J31</f>
        <v>23000000</v>
      </c>
    </row>
    <row r="77" spans="3:6" hidden="1" x14ac:dyDescent="0.25">
      <c r="C77" s="746" t="str">
        <f>'2.3'!D33</f>
        <v>Provision of quality breeding buck -IFAD</v>
      </c>
      <c r="D77" s="753" t="str">
        <f>'2.3'!E33</f>
        <v>No</v>
      </c>
      <c r="E77" s="747">
        <f>'2.3'!G33</f>
        <v>0</v>
      </c>
      <c r="F77" s="748">
        <f>'2.3'!H33</f>
        <v>0</v>
      </c>
    </row>
    <row r="78" spans="3:6" ht="26.25" hidden="1" x14ac:dyDescent="0.25">
      <c r="C78" s="746" t="str">
        <f>'2.3'!D34</f>
        <v>Training on Livestock production &amp; management to SHG members/rearers</v>
      </c>
      <c r="D78" s="753" t="str">
        <f>'2.3'!E34</f>
        <v>No</v>
      </c>
      <c r="E78" s="747">
        <f>'2.3'!G34</f>
        <v>0</v>
      </c>
      <c r="F78" s="748">
        <f>'2.3'!H34</f>
        <v>0</v>
      </c>
    </row>
    <row r="79" spans="3:6" ht="26.25" hidden="1" x14ac:dyDescent="0.25">
      <c r="C79" s="746" t="str">
        <f>'2.3'!D40</f>
        <v xml:space="preserve">Animal health camps /User charges vaccine /fist aid mrdicine </v>
      </c>
      <c r="D79" s="753" t="str">
        <f>'2.3'!E40</f>
        <v>GP</v>
      </c>
      <c r="E79" s="747">
        <f>'2.3'!G40</f>
        <v>235</v>
      </c>
      <c r="F79" s="748">
        <f>'2.3'!H40</f>
        <v>1175000</v>
      </c>
    </row>
    <row r="80" spans="3:6" ht="39" hidden="1" x14ac:dyDescent="0.25">
      <c r="C80" s="746" t="str">
        <f>'2.3'!D41</f>
        <v>IGA units for poorest of poor households (Unit cost Ranging from 20,000 to 50,000 INR depending upon BDP Avg. 30,000</v>
      </c>
      <c r="D80" s="746" t="str">
        <f>'2.3'!E41</f>
        <v>household</v>
      </c>
      <c r="E80" s="755">
        <f>'2.3'!G41</f>
        <v>112</v>
      </c>
      <c r="F80" s="756">
        <f>'2.3'!H41</f>
        <v>3360000</v>
      </c>
    </row>
    <row r="81" spans="3:6" ht="26.25" hidden="1" x14ac:dyDescent="0.25">
      <c r="C81" s="746" t="str">
        <f>'2.3'!D51</f>
        <v>Model Nursery/ Nursery/Nursery management - Working capital</v>
      </c>
      <c r="D81" s="746" t="str">
        <f>'2.3'!E51</f>
        <v>LS</v>
      </c>
      <c r="E81" s="755">
        <f>'2.3'!G51</f>
        <v>0</v>
      </c>
      <c r="F81" s="756">
        <f>'2.3'!H51</f>
        <v>0</v>
      </c>
    </row>
    <row r="82" spans="3:6" hidden="1" x14ac:dyDescent="0.25">
      <c r="C82" s="746" t="str">
        <f>'2.3'!D58</f>
        <v>Small Vegtable  Cold Chamber</v>
      </c>
      <c r="D82" s="753" t="str">
        <f>'2.3'!E58</f>
        <v>No</v>
      </c>
      <c r="E82" s="747">
        <f>'2.3'!G58</f>
        <v>0</v>
      </c>
      <c r="F82" s="748">
        <f>'2.3'!H58</f>
        <v>0</v>
      </c>
    </row>
    <row r="83" spans="3:6" hidden="1" x14ac:dyDescent="0.25">
      <c r="C83" s="746" t="str">
        <f>'2.3'!D60</f>
        <v>Farmers share for PVTG/STs for various items /k</v>
      </c>
      <c r="D83" s="753" t="str">
        <f>'2.3'!E60</f>
        <v>village</v>
      </c>
      <c r="E83" s="747">
        <f>'2.3'!G60</f>
        <v>780</v>
      </c>
      <c r="F83" s="748">
        <f>'2.3'!H60</f>
        <v>7800000</v>
      </c>
    </row>
    <row r="84" spans="3:6" hidden="1" x14ac:dyDescent="0.25">
      <c r="C84" s="746" t="str">
        <f>'2.3'!D62</f>
        <v xml:space="preserve"> Livelihoods linked Innovative activities </v>
      </c>
      <c r="D84" s="753" t="str">
        <f>'2.3'!E62</f>
        <v>LS</v>
      </c>
      <c r="E84" s="747">
        <f>'2.3'!G62</f>
        <v>3</v>
      </c>
      <c r="F84" s="748">
        <f>'2.3'!H62</f>
        <v>3000000</v>
      </c>
    </row>
    <row r="85" spans="3:6" hidden="1" x14ac:dyDescent="0.25">
      <c r="C85" s="746" t="str">
        <f>'2.3'!D67</f>
        <v xml:space="preserve">Agriculture Intensification Cluster (AIC) 22-23 </v>
      </c>
      <c r="D85" s="753" t="str">
        <f>'2.3'!E67</f>
        <v>Nos</v>
      </c>
      <c r="E85" s="747">
        <v>148</v>
      </c>
      <c r="F85" s="748">
        <f>'2.3'!H67</f>
        <v>41842280</v>
      </c>
    </row>
    <row r="86" spans="3:6" ht="26.25" hidden="1" x14ac:dyDescent="0.25">
      <c r="C86" s="746" t="str">
        <f>'2.3'!D66</f>
        <v xml:space="preserve">High value commercial agriculture and allied(APC) </v>
      </c>
      <c r="D86" s="753" t="str">
        <f>'2.3'!E66</f>
        <v>Nos</v>
      </c>
      <c r="E86" s="747">
        <f>'2.3'!G66</f>
        <v>155</v>
      </c>
      <c r="F86" s="748">
        <f>'2.3'!H66</f>
        <v>44335090</v>
      </c>
    </row>
    <row r="87" spans="3:6" hidden="1" x14ac:dyDescent="0.25">
      <c r="C87" s="746" t="str">
        <f>'2.3'!D68</f>
        <v>Agriculture Intensification Cluster (AIC) 23-24</v>
      </c>
      <c r="D87" s="746" t="str">
        <f>'2.3'!E68</f>
        <v>Nos</v>
      </c>
      <c r="E87" s="747">
        <f>'2.3'!G68</f>
        <v>124</v>
      </c>
      <c r="F87" s="748">
        <f>'2.3'!H68</f>
        <v>49545780</v>
      </c>
    </row>
    <row r="88" spans="3:6" hidden="1" x14ac:dyDescent="0.25">
      <c r="C88" s="746" t="str">
        <f>'2.3'!D69</f>
        <v xml:space="preserve">Solar Fecncing piloting in Cluster </v>
      </c>
      <c r="D88" s="753" t="str">
        <f>'2.3'!E69</f>
        <v>Nos</v>
      </c>
      <c r="E88" s="747">
        <f>'2.3'!G69</f>
        <v>0</v>
      </c>
      <c r="F88" s="748">
        <f>'2.3'!H69</f>
        <v>0</v>
      </c>
    </row>
    <row r="89" spans="3:6" hidden="1" x14ac:dyDescent="0.25">
      <c r="C89" s="750" t="s">
        <v>17</v>
      </c>
      <c r="D89" s="754"/>
      <c r="E89" s="751">
        <f>SUM(E70:E88)</f>
        <v>2820</v>
      </c>
      <c r="F89" s="752">
        <f>SUM(F70:F88)</f>
        <v>200506150</v>
      </c>
    </row>
    <row r="90" spans="3:6" hidden="1" x14ac:dyDescent="0.25">
      <c r="C90" s="746"/>
      <c r="D90" s="753"/>
      <c r="E90" s="747"/>
      <c r="F90" s="748"/>
    </row>
    <row r="91" spans="3:6" hidden="1" x14ac:dyDescent="0.25">
      <c r="C91" s="746"/>
      <c r="D91" s="753"/>
      <c r="E91" s="747"/>
      <c r="F91" s="748"/>
    </row>
    <row r="92" spans="3:6" ht="26.25" x14ac:dyDescent="0.25">
      <c r="C92" s="746" t="str">
        <f>'3.1'!E14</f>
        <v>Repairof Water Purification pilot /Filtration unit-IFAD</v>
      </c>
      <c r="D92" s="753" t="str">
        <f>'3.1'!F14</f>
        <v>LS</v>
      </c>
      <c r="E92" s="747">
        <f>'3.1'!H14</f>
        <v>26</v>
      </c>
      <c r="F92" s="748">
        <f>'3.1'!I14*0.6</f>
        <v>1248000</v>
      </c>
    </row>
    <row r="93" spans="3:6" x14ac:dyDescent="0.25">
      <c r="C93" s="746" t="str">
        <f>'3.1'!E32</f>
        <v>Multipurpose Van</v>
      </c>
      <c r="D93" s="753" t="str">
        <f>'3.1'!F32</f>
        <v>Nos</v>
      </c>
      <c r="E93" s="747">
        <v>17</v>
      </c>
      <c r="F93" s="748">
        <f>'3.1'!I32</f>
        <v>18700000</v>
      </c>
    </row>
    <row r="94" spans="3:6" x14ac:dyDescent="0.25">
      <c r="C94" s="746" t="str">
        <f>'3.1'!E35</f>
        <v>Installation of Travis for Veterinary Treatment</v>
      </c>
      <c r="D94" s="753" t="str">
        <f>'3.1'!F35</f>
        <v>No</v>
      </c>
      <c r="E94" s="747">
        <v>0</v>
      </c>
      <c r="F94" s="748">
        <f>'3.1'!I35</f>
        <v>0</v>
      </c>
    </row>
    <row r="95" spans="3:6" x14ac:dyDescent="0.25">
      <c r="C95" s="746" t="str">
        <f>'3.1'!E43</f>
        <v>SHG worksheds for Aggregation of NTFP/SAP</v>
      </c>
      <c r="D95" s="753" t="str">
        <f>'3.1'!F43</f>
        <v>each</v>
      </c>
      <c r="E95" s="747">
        <f>'3.1'!H43</f>
        <v>89</v>
      </c>
      <c r="F95" s="748">
        <f>'3.1'!I43</f>
        <v>26700000</v>
      </c>
    </row>
    <row r="96" spans="3:6" x14ac:dyDescent="0.25">
      <c r="C96" s="746" t="str">
        <f>'3.1'!E45</f>
        <v>NTFP / SAP Drying Yard IFAD-Small</v>
      </c>
      <c r="D96" s="746" t="str">
        <f>'3.1'!F45</f>
        <v>each</v>
      </c>
      <c r="E96" s="747">
        <f>'3.1'!H45</f>
        <v>149</v>
      </c>
      <c r="F96" s="748">
        <f>'3.1'!I45</f>
        <v>14900000</v>
      </c>
    </row>
    <row r="97" spans="3:6" x14ac:dyDescent="0.25">
      <c r="C97" s="746" t="str">
        <f>'3.1'!E46</f>
        <v>Drying Mat</v>
      </c>
      <c r="D97" s="746" t="str">
        <f>'3.1'!F46</f>
        <v>No</v>
      </c>
      <c r="E97" s="747">
        <f>'3.1'!H46</f>
        <v>0</v>
      </c>
      <c r="F97" s="748">
        <f>'3.1'!I46</f>
        <v>0</v>
      </c>
    </row>
    <row r="98" spans="3:6" x14ac:dyDescent="0.25">
      <c r="C98" s="746" t="str">
        <f>'3.1'!E53</f>
        <v>Seed storage bins</v>
      </c>
      <c r="D98" s="753" t="str">
        <f>'3.1'!F53</f>
        <v>each</v>
      </c>
      <c r="E98" s="747">
        <f>'3.1'!H53</f>
        <v>0</v>
      </c>
      <c r="F98" s="748">
        <f>'3.1'!I53</f>
        <v>0</v>
      </c>
    </row>
    <row r="99" spans="3:6" s="225" customFormat="1" x14ac:dyDescent="0.25">
      <c r="C99" s="750" t="s">
        <v>17</v>
      </c>
      <c r="D99" s="754"/>
      <c r="E99" s="751">
        <f>SUM(E92:E98)</f>
        <v>281</v>
      </c>
      <c r="F99" s="752">
        <f>SUM(F92:F98)</f>
        <v>61548000</v>
      </c>
    </row>
    <row r="100" spans="3:6" x14ac:dyDescent="0.25">
      <c r="C100" s="746"/>
      <c r="D100" s="753"/>
      <c r="E100" s="747"/>
      <c r="F100" s="748"/>
    </row>
    <row r="101" spans="3:6" x14ac:dyDescent="0.25">
      <c r="C101" s="746"/>
      <c r="D101" s="753"/>
      <c r="E101" s="747"/>
      <c r="F101" s="748"/>
    </row>
    <row r="102" spans="3:6" x14ac:dyDescent="0.25">
      <c r="C102" s="746" t="str">
        <f>'3.2'!C15</f>
        <v>Community Solar light / street light</v>
      </c>
      <c r="D102" s="746" t="str">
        <f>'3.2'!D15</f>
        <v>no</v>
      </c>
      <c r="E102" s="755">
        <f>'3.2'!F15</f>
        <v>72</v>
      </c>
      <c r="F102" s="756">
        <f>'3.2'!G15</f>
        <v>1440000</v>
      </c>
    </row>
    <row r="103" spans="3:6" ht="26.25" x14ac:dyDescent="0.25">
      <c r="C103" s="746" t="str">
        <f>'3.2'!C16</f>
        <v xml:space="preserve">Community infrastructure / drudgery reduction Maintenace </v>
      </c>
      <c r="D103" s="746" t="str">
        <f>'3.2'!D16</f>
        <v>LS</v>
      </c>
      <c r="E103" s="755">
        <f>'3.2'!F16</f>
        <v>139</v>
      </c>
      <c r="F103" s="756">
        <f>'3.2'!G16*0.6</f>
        <v>8340000</v>
      </c>
    </row>
    <row r="104" spans="3:6" x14ac:dyDescent="0.25">
      <c r="C104" s="746" t="str">
        <f>'3.2'!C18</f>
        <v>Household drinking Water (Only material cost)</v>
      </c>
      <c r="D104" s="746" t="str">
        <f>'3.2'!D18</f>
        <v>no</v>
      </c>
      <c r="E104" s="755">
        <f>'3.2'!F18</f>
        <v>64</v>
      </c>
      <c r="F104" s="756">
        <f>'3.2'!G18</f>
        <v>32000000</v>
      </c>
    </row>
    <row r="105" spans="3:6" ht="26.25" x14ac:dyDescent="0.25">
      <c r="C105" s="746" t="str">
        <f>'3.2'!C19</f>
        <v>Extension of Household drinking water from existing sources (only material cost) -62</v>
      </c>
      <c r="D105" s="746" t="str">
        <f>'3.2'!D19</f>
        <v>no</v>
      </c>
      <c r="E105" s="755">
        <f>'3.2'!F19</f>
        <v>93</v>
      </c>
      <c r="F105" s="756">
        <f>'3.2'!G19</f>
        <v>23250000</v>
      </c>
    </row>
    <row r="106" spans="3:6" ht="26.25" x14ac:dyDescent="0.25">
      <c r="C106" s="746" t="str">
        <f>'3.2'!C22</f>
        <v>Support to Traditional Costumes/Cultural Equipments</v>
      </c>
      <c r="D106" s="746" t="str">
        <f>'3.2'!D22</f>
        <v>LS</v>
      </c>
      <c r="E106" s="755">
        <f>'3.2'!F22</f>
        <v>17</v>
      </c>
      <c r="F106" s="756">
        <f>'3.2'!G22</f>
        <v>340000</v>
      </c>
    </row>
    <row r="107" spans="3:6" ht="26.25" x14ac:dyDescent="0.25">
      <c r="C107" s="746" t="str">
        <f>'3.2'!C23</f>
        <v>Establishment of processing unit/ Khajuri/ Rice flour mills/ Honey Processing Unit</v>
      </c>
      <c r="D107" s="746" t="str">
        <f>'3.2'!D23</f>
        <v>LS</v>
      </c>
      <c r="E107" s="755">
        <f>'3.2'!F23</f>
        <v>0</v>
      </c>
      <c r="F107" s="756">
        <f>'3.2'!G23</f>
        <v>0</v>
      </c>
    </row>
    <row r="108" spans="3:6" x14ac:dyDescent="0.25">
      <c r="C108" s="746" t="str">
        <f>'3.2'!C26</f>
        <v>Repair &amp; maintenace of Processing unit</v>
      </c>
      <c r="D108" s="746" t="str">
        <f>'3.2'!D26</f>
        <v>LS</v>
      </c>
      <c r="E108" s="755">
        <f>'3.2'!F26</f>
        <v>83</v>
      </c>
      <c r="F108" s="756">
        <f>'3.2'!G26*0.6</f>
        <v>2490000</v>
      </c>
    </row>
    <row r="109" spans="3:6" x14ac:dyDescent="0.25">
      <c r="C109" s="746" t="str">
        <f>'3.2'!C33</f>
        <v>Information-cum-Culture  Centre IFAD</v>
      </c>
      <c r="D109" s="746" t="str">
        <f>'3.2'!D33</f>
        <v>No</v>
      </c>
      <c r="E109" s="755">
        <f>'3.2'!F33</f>
        <v>0</v>
      </c>
      <c r="F109" s="756">
        <f>'3.2'!G33</f>
        <v>0</v>
      </c>
    </row>
    <row r="110" spans="3:6" ht="26.25" x14ac:dyDescent="0.25">
      <c r="C110" s="746" t="str">
        <f>'3.2'!C34</f>
        <v>Sunflower / Turmeric processing unit/Puffed Rice unit/ Oil Extraction Unit/ Food processing Unit</v>
      </c>
      <c r="D110" s="746" t="str">
        <f>'3.2'!D34</f>
        <v>No</v>
      </c>
      <c r="E110" s="755">
        <v>0</v>
      </c>
      <c r="F110" s="756">
        <f>'3.2'!G34</f>
        <v>0</v>
      </c>
    </row>
    <row r="111" spans="3:6" x14ac:dyDescent="0.25">
      <c r="C111" s="746" t="str">
        <f>'3.2'!C35</f>
        <v>Sacred Fencing /e-68</v>
      </c>
      <c r="D111" s="746" t="str">
        <f>'3.2'!D35</f>
        <v>village</v>
      </c>
      <c r="E111" s="755">
        <f>'3.2'!F35</f>
        <v>95</v>
      </c>
      <c r="F111" s="756">
        <f>'3.2'!G35</f>
        <v>3325000</v>
      </c>
    </row>
    <row r="112" spans="3:6" x14ac:dyDescent="0.25">
      <c r="C112" s="746" t="str">
        <f>'3.2'!C44</f>
        <v>Studies and surveys/ documentary</v>
      </c>
      <c r="D112" s="753" t="str">
        <f>'3.2'!D44</f>
        <v>No</v>
      </c>
      <c r="E112" s="747">
        <f>'3.2'!F44</f>
        <v>0</v>
      </c>
      <c r="F112" s="748">
        <f>'3.2'!G44</f>
        <v>0</v>
      </c>
    </row>
    <row r="113" spans="3:6" s="225" customFormat="1" x14ac:dyDescent="0.25">
      <c r="C113" s="750"/>
      <c r="D113" s="754"/>
      <c r="E113" s="751">
        <f>SUM(E102:E112)</f>
        <v>563</v>
      </c>
      <c r="F113" s="752">
        <f>SUM(F102:F112)</f>
        <v>71185000</v>
      </c>
    </row>
    <row r="114" spans="3:6" x14ac:dyDescent="0.25">
      <c r="C114" s="746" t="str">
        <f>'4.1 '!C6</f>
        <v xml:space="preserve"> Project management Unit</v>
      </c>
      <c r="D114" s="753" t="s">
        <v>16</v>
      </c>
      <c r="E114" s="753"/>
      <c r="F114" s="748">
        <f>'4.1 '!G89</f>
        <v>86675000</v>
      </c>
    </row>
    <row r="115" spans="3:6" x14ac:dyDescent="0.25">
      <c r="C115" s="746" t="str">
        <f>'4.2'!C6</f>
        <v xml:space="preserve"> Micro Project Agency</v>
      </c>
      <c r="D115" s="753" t="s">
        <v>16</v>
      </c>
      <c r="E115" s="753"/>
      <c r="F115" s="748">
        <f>'4.2'!G56</f>
        <v>74709000</v>
      </c>
    </row>
    <row r="116" spans="3:6" x14ac:dyDescent="0.25">
      <c r="C116" s="746" t="str">
        <f>'4.3 '!C6</f>
        <v>Monitoring, Evaluation and KM</v>
      </c>
      <c r="D116" s="753" t="s">
        <v>16</v>
      </c>
      <c r="E116" s="753"/>
      <c r="F116" s="748">
        <f>'4.3 '!H35</f>
        <v>6240000</v>
      </c>
    </row>
    <row r="117" spans="3:6" x14ac:dyDescent="0.25">
      <c r="C117" s="750" t="s">
        <v>1233</v>
      </c>
      <c r="D117" s="754"/>
      <c r="E117" s="754"/>
      <c r="F117" s="752">
        <f>SUM(F114:F116)</f>
        <v>167624000</v>
      </c>
    </row>
    <row r="118" spans="3:6" x14ac:dyDescent="0.25">
      <c r="C118" s="746" t="s">
        <v>1136</v>
      </c>
      <c r="D118" s="753"/>
      <c r="E118" s="753"/>
      <c r="F118" s="752">
        <f>F113+F99+F89+F67+F54+F37+F24+F117</f>
        <v>910954535</v>
      </c>
    </row>
  </sheetData>
  <mergeCells count="4">
    <mergeCell ref="E2:F2"/>
    <mergeCell ref="D2:D3"/>
    <mergeCell ref="C2:C3"/>
    <mergeCell ref="C1:F1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K75"/>
  <sheetViews>
    <sheetView workbookViewId="0">
      <pane xSplit="2" ySplit="3" topLeftCell="C52" activePane="bottomRight" state="frozen"/>
      <selection pane="topRight" activeCell="C1" sqref="C1"/>
      <selection pane="bottomLeft" activeCell="A4" sqref="A4"/>
      <selection pane="bottomRight" activeCell="O62" sqref="O62"/>
    </sheetView>
  </sheetViews>
  <sheetFormatPr defaultRowHeight="15" x14ac:dyDescent="0.25"/>
  <cols>
    <col min="1" max="1" width="5.7109375" style="229" bestFit="1" customWidth="1"/>
    <col min="2" max="2" width="31.28515625" style="183" bestFit="1" customWidth="1"/>
    <col min="3" max="4" width="14.28515625" bestFit="1" customWidth="1"/>
    <col min="5" max="5" width="16" bestFit="1" customWidth="1"/>
    <col min="6" max="6" width="7.140625" bestFit="1" customWidth="1"/>
    <col min="7" max="7" width="14.28515625" bestFit="1" customWidth="1"/>
    <col min="8" max="8" width="16" bestFit="1" customWidth="1"/>
    <col min="10" max="10" width="9" bestFit="1" customWidth="1"/>
  </cols>
  <sheetData>
    <row r="2" spans="1:8" x14ac:dyDescent="0.25">
      <c r="A2" s="997" t="s">
        <v>1198</v>
      </c>
      <c r="B2" s="997"/>
      <c r="C2" s="997"/>
      <c r="D2" s="997"/>
      <c r="E2" s="997"/>
      <c r="F2" s="997"/>
      <c r="G2" s="997"/>
      <c r="H2" s="997"/>
    </row>
    <row r="3" spans="1:8" s="232" customFormat="1" ht="33" customHeight="1" x14ac:dyDescent="0.25">
      <c r="A3" s="233" t="s">
        <v>599</v>
      </c>
      <c r="B3" s="234" t="s">
        <v>1135</v>
      </c>
      <c r="C3" s="234" t="s">
        <v>1137</v>
      </c>
      <c r="D3" s="234" t="s">
        <v>1138</v>
      </c>
      <c r="E3" s="234" t="s">
        <v>1139</v>
      </c>
      <c r="F3" s="234" t="s">
        <v>221</v>
      </c>
      <c r="G3" s="234" t="s">
        <v>1140</v>
      </c>
      <c r="H3" s="234" t="s">
        <v>17</v>
      </c>
    </row>
    <row r="4" spans="1:8" ht="27.75" x14ac:dyDescent="0.25">
      <c r="A4" s="235">
        <v>1.1000000000000001</v>
      </c>
      <c r="B4" s="239" t="s">
        <v>1128</v>
      </c>
      <c r="C4" s="236">
        <f>'1.1'!BO56</f>
        <v>0</v>
      </c>
      <c r="D4" s="236">
        <f>'1.1'!BP56</f>
        <v>100860310</v>
      </c>
      <c r="E4" s="236">
        <f>'1.1'!BQ56</f>
        <v>144098000</v>
      </c>
      <c r="F4" s="236">
        <f>'1.1'!BR56</f>
        <v>0</v>
      </c>
      <c r="G4" s="236">
        <f>'1.1'!BV56</f>
        <v>3312000</v>
      </c>
      <c r="H4" s="236">
        <f>SUM(C4:G4)</f>
        <v>248270310</v>
      </c>
    </row>
    <row r="5" spans="1:8" ht="27.75" x14ac:dyDescent="0.25">
      <c r="A5" s="235">
        <v>1.2</v>
      </c>
      <c r="B5" s="239" t="s">
        <v>1129</v>
      </c>
      <c r="C5" s="236">
        <f>'1.2'!BM66</f>
        <v>0</v>
      </c>
      <c r="D5" s="236">
        <f>'1.2'!BN66</f>
        <v>19415825</v>
      </c>
      <c r="E5" s="236">
        <f>'1.2'!BO66</f>
        <v>0</v>
      </c>
      <c r="F5" s="236">
        <f>'1.2'!BP66</f>
        <v>0</v>
      </c>
      <c r="G5" s="236">
        <f>'1.2'!BT66</f>
        <v>0</v>
      </c>
      <c r="H5" s="236">
        <f>SUM(C5:G5)</f>
        <v>19415825</v>
      </c>
    </row>
    <row r="6" spans="1:8" x14ac:dyDescent="0.25">
      <c r="A6" s="235">
        <v>1</v>
      </c>
      <c r="B6" s="243" t="s">
        <v>1130</v>
      </c>
      <c r="C6" s="237">
        <f>SUM(C4:C5)</f>
        <v>0</v>
      </c>
      <c r="D6" s="237">
        <f t="shared" ref="D6:H6" si="0">SUM(D4:D5)</f>
        <v>120276135</v>
      </c>
      <c r="E6" s="237">
        <f t="shared" si="0"/>
        <v>144098000</v>
      </c>
      <c r="F6" s="237">
        <f t="shared" si="0"/>
        <v>0</v>
      </c>
      <c r="G6" s="237">
        <f t="shared" si="0"/>
        <v>3312000</v>
      </c>
      <c r="H6" s="237">
        <f t="shared" si="0"/>
        <v>267686135</v>
      </c>
    </row>
    <row r="7" spans="1:8" x14ac:dyDescent="0.25">
      <c r="A7" s="235">
        <v>2.1</v>
      </c>
      <c r="B7" s="239" t="str">
        <f>'2.1'!C17</f>
        <v>Subtotal Agriculture Training</v>
      </c>
      <c r="C7" s="236">
        <f>'2.1'!BN17</f>
        <v>0</v>
      </c>
      <c r="D7" s="236">
        <f>'2.1'!BO17</f>
        <v>9024000</v>
      </c>
      <c r="E7" s="236">
        <f>'2.1'!BP17</f>
        <v>0</v>
      </c>
      <c r="F7" s="236">
        <f>'2.1'!BQ17</f>
        <v>0</v>
      </c>
      <c r="G7" s="236">
        <f>'2.1'!BU17</f>
        <v>0</v>
      </c>
      <c r="H7" s="238">
        <f t="shared" ref="H7:H12" si="1">SUM(C7:G7)</f>
        <v>9024000</v>
      </c>
    </row>
    <row r="8" spans="1:8" x14ac:dyDescent="0.25">
      <c r="A8" s="235"/>
      <c r="B8" s="239" t="str">
        <f>'2.1'!C18</f>
        <v>B. Land Rights Allocation- IFAD</v>
      </c>
      <c r="C8" s="236">
        <f>'2.1'!BN22</f>
        <v>0</v>
      </c>
      <c r="D8" s="236">
        <f>'2.1'!BO22</f>
        <v>100000</v>
      </c>
      <c r="E8" s="236">
        <f>'2.1'!BP22</f>
        <v>0</v>
      </c>
      <c r="F8" s="236">
        <f>'2.1'!BQ22</f>
        <v>0</v>
      </c>
      <c r="G8" s="236">
        <f>'2.1'!BU22</f>
        <v>3240000</v>
      </c>
      <c r="H8" s="238">
        <f t="shared" si="1"/>
        <v>3340000</v>
      </c>
    </row>
    <row r="9" spans="1:8" ht="27.75" x14ac:dyDescent="0.25">
      <c r="A9" s="235"/>
      <c r="B9" s="239" t="str">
        <f>'2.1'!C26</f>
        <v>Land Levelling/development  - IFAD</v>
      </c>
      <c r="C9" s="236">
        <f>'2.1'!BN26</f>
        <v>10000000</v>
      </c>
      <c r="D9" s="236">
        <f>'2.1'!BO28</f>
        <v>0</v>
      </c>
      <c r="E9" s="236">
        <f>'2.1'!BP28</f>
        <v>0</v>
      </c>
      <c r="F9" s="236">
        <f>'2.1'!BQ28</f>
        <v>0</v>
      </c>
      <c r="G9" s="236"/>
      <c r="H9" s="238">
        <f t="shared" si="1"/>
        <v>10000000</v>
      </c>
    </row>
    <row r="10" spans="1:8" x14ac:dyDescent="0.25">
      <c r="A10" s="235"/>
      <c r="B10" s="254" t="str">
        <f>'2.1'!C27</f>
        <v>Water related infrastructure-IFAD</v>
      </c>
      <c r="C10" s="236">
        <f>'2.1'!BN27</f>
        <v>63800000</v>
      </c>
      <c r="D10" s="236">
        <f>'2.1'!BO27</f>
        <v>0</v>
      </c>
      <c r="E10" s="236">
        <f>'2.1'!BP27</f>
        <v>0</v>
      </c>
      <c r="F10" s="236">
        <f>'2.1'!BQ27</f>
        <v>0</v>
      </c>
      <c r="G10" s="236"/>
      <c r="H10" s="238">
        <f t="shared" si="1"/>
        <v>63800000</v>
      </c>
    </row>
    <row r="11" spans="1:8" x14ac:dyDescent="0.25">
      <c r="A11" s="235"/>
      <c r="B11" s="239" t="str">
        <f>'2.1'!C29</f>
        <v>Land Reclamation</v>
      </c>
      <c r="C11" s="236">
        <f>'2.1'!BN29</f>
        <v>0</v>
      </c>
      <c r="D11" s="236">
        <f>'2.1'!BO29</f>
        <v>0</v>
      </c>
      <c r="E11" s="236">
        <f>'2.1'!BP29</f>
        <v>1825000</v>
      </c>
      <c r="F11" s="236"/>
      <c r="G11" s="236"/>
      <c r="H11" s="238">
        <f t="shared" si="1"/>
        <v>1825000</v>
      </c>
    </row>
    <row r="12" spans="1:8" x14ac:dyDescent="0.25">
      <c r="A12" s="235"/>
      <c r="B12" s="239" t="str">
        <f>'2.1'!C30</f>
        <v>Soil Testing</v>
      </c>
      <c r="C12" s="236">
        <f>'2.1'!BN30</f>
        <v>0</v>
      </c>
      <c r="D12" s="236">
        <f>'2.1'!BO30</f>
        <v>0</v>
      </c>
      <c r="E12" s="236">
        <f>'2.1'!BP30</f>
        <v>0</v>
      </c>
      <c r="F12" s="236"/>
      <c r="G12" s="236"/>
      <c r="H12" s="238">
        <f t="shared" si="1"/>
        <v>0</v>
      </c>
    </row>
    <row r="13" spans="1:8" x14ac:dyDescent="0.25">
      <c r="A13" s="235"/>
      <c r="B13" s="239" t="str">
        <f>'2.1'!C93</f>
        <v>Pine Apple IFAD</v>
      </c>
      <c r="C13" s="236">
        <f>'2.1'!BN93</f>
        <v>0</v>
      </c>
      <c r="D13" s="236">
        <f>'2.1'!BO93</f>
        <v>0</v>
      </c>
      <c r="E13" s="236">
        <f>'2.1'!BP93</f>
        <v>0</v>
      </c>
      <c r="F13" s="236"/>
      <c r="G13" s="236"/>
      <c r="H13" s="238">
        <f t="shared" ref="H13:H72" si="2">SUM(C13:G13)</f>
        <v>0</v>
      </c>
    </row>
    <row r="14" spans="1:8" x14ac:dyDescent="0.25">
      <c r="A14" s="235"/>
      <c r="B14" s="239" t="str">
        <f>'2.1'!C95</f>
        <v>Banana-IFAD</v>
      </c>
      <c r="C14" s="236">
        <f>'2.1'!BN95</f>
        <v>0</v>
      </c>
      <c r="D14" s="236">
        <f>'2.1'!BO95</f>
        <v>0</v>
      </c>
      <c r="E14" s="236">
        <f>'2.1'!BP95</f>
        <v>92000</v>
      </c>
      <c r="F14" s="236"/>
      <c r="G14" s="236"/>
      <c r="H14" s="238">
        <f t="shared" si="2"/>
        <v>92000</v>
      </c>
    </row>
    <row r="15" spans="1:8" x14ac:dyDescent="0.25">
      <c r="A15" s="235"/>
      <c r="B15" s="239" t="str">
        <f>'2.1'!C100</f>
        <v>Drumstick-IFAD</v>
      </c>
      <c r="C15" s="236">
        <f>'2.1'!BN100</f>
        <v>0</v>
      </c>
      <c r="D15" s="236">
        <f>'2.1'!BO100</f>
        <v>0</v>
      </c>
      <c r="E15" s="236">
        <f>'2.1'!BP100</f>
        <v>0</v>
      </c>
      <c r="F15" s="236"/>
      <c r="G15" s="236"/>
      <c r="H15" s="238">
        <f t="shared" si="2"/>
        <v>0</v>
      </c>
    </row>
    <row r="16" spans="1:8" x14ac:dyDescent="0.25">
      <c r="A16" s="235"/>
      <c r="B16" s="239" t="str">
        <f>'2.1'!C101</f>
        <v>Apple ber -IFAD</v>
      </c>
      <c r="C16" s="236">
        <f>'2.1'!BN101</f>
        <v>0</v>
      </c>
      <c r="D16" s="236">
        <f>'2.1'!BO101</f>
        <v>0</v>
      </c>
      <c r="E16" s="236">
        <f>'2.1'!BP101</f>
        <v>160000</v>
      </c>
      <c r="F16" s="236"/>
      <c r="G16" s="236"/>
      <c r="H16" s="238">
        <f t="shared" ref="H16" si="3">SUM(C16:G16)</f>
        <v>160000</v>
      </c>
    </row>
    <row r="17" spans="1:8" x14ac:dyDescent="0.25">
      <c r="A17" s="235"/>
      <c r="B17" s="239" t="str">
        <f>'2.1'!C102</f>
        <v xml:space="preserve">Black peper </v>
      </c>
      <c r="C17" s="236">
        <f>'2.1'!BN102</f>
        <v>0</v>
      </c>
      <c r="D17" s="236">
        <f>'2.1'!BO102</f>
        <v>0</v>
      </c>
      <c r="E17" s="236">
        <f>'2.1'!BP102</f>
        <v>200000</v>
      </c>
      <c r="F17" s="236"/>
      <c r="G17" s="236"/>
      <c r="H17" s="238">
        <f t="shared" ref="H17:H20" si="4">SUM(C17:G17)</f>
        <v>200000</v>
      </c>
    </row>
    <row r="18" spans="1:8" x14ac:dyDescent="0.25">
      <c r="A18" s="235"/>
      <c r="B18" s="239" t="str">
        <f>'2.1'!C103</f>
        <v xml:space="preserve">Dragon fruit </v>
      </c>
      <c r="C18" s="236">
        <f>'2.1'!BN103</f>
        <v>0</v>
      </c>
      <c r="D18" s="236">
        <f>'2.1'!BO103</f>
        <v>0</v>
      </c>
      <c r="E18" s="236">
        <f>'2.1'!BP103</f>
        <v>0</v>
      </c>
      <c r="F18" s="236"/>
      <c r="G18" s="236"/>
      <c r="H18" s="238">
        <f t="shared" si="4"/>
        <v>0</v>
      </c>
    </row>
    <row r="19" spans="1:8" x14ac:dyDescent="0.25">
      <c r="A19" s="235"/>
      <c r="B19" s="239" t="str">
        <f>'2.1'!C104</f>
        <v xml:space="preserve">colour capsicum </v>
      </c>
      <c r="C19" s="236">
        <f>'2.1'!BN104</f>
        <v>0</v>
      </c>
      <c r="D19" s="236">
        <f>'2.1'!BO104</f>
        <v>0</v>
      </c>
      <c r="E19" s="236">
        <f>'2.1'!BP104</f>
        <v>420000</v>
      </c>
      <c r="F19" s="236"/>
      <c r="G19" s="236"/>
      <c r="H19" s="238">
        <f t="shared" si="4"/>
        <v>420000</v>
      </c>
    </row>
    <row r="20" spans="1:8" x14ac:dyDescent="0.25">
      <c r="A20" s="235"/>
      <c r="B20" s="239" t="str">
        <f>'2.1'!C105</f>
        <v xml:space="preserve">Strawberry </v>
      </c>
      <c r="C20" s="236">
        <f>'2.1'!BN105</f>
        <v>0</v>
      </c>
      <c r="D20" s="236">
        <f>'2.1'!BO105</f>
        <v>0</v>
      </c>
      <c r="E20" s="236">
        <f>'2.1'!BP105</f>
        <v>12000000</v>
      </c>
      <c r="F20" s="236"/>
      <c r="G20" s="236"/>
      <c r="H20" s="238">
        <f t="shared" si="4"/>
        <v>12000000</v>
      </c>
    </row>
    <row r="21" spans="1:8" ht="27.75" x14ac:dyDescent="0.25">
      <c r="A21" s="235">
        <v>2.2000000000000002</v>
      </c>
      <c r="B21" s="239" t="str">
        <f>'2.2'!D15</f>
        <v>Formation/organisation of FFS-IFAD</v>
      </c>
      <c r="C21" s="236">
        <f>'2.2'!BO16</f>
        <v>0</v>
      </c>
      <c r="D21" s="236">
        <f>'2.2'!BP15</f>
        <v>850000</v>
      </c>
      <c r="E21" s="236"/>
      <c r="F21" s="236">
        <f>'2.2'!BR16</f>
        <v>0</v>
      </c>
      <c r="G21" s="236">
        <f>'2.2'!BV16</f>
        <v>0</v>
      </c>
      <c r="H21" s="238">
        <f t="shared" si="2"/>
        <v>850000</v>
      </c>
    </row>
    <row r="22" spans="1:8" x14ac:dyDescent="0.25">
      <c r="A22" s="235"/>
      <c r="B22" s="239" t="str">
        <f>'2.2'!D19</f>
        <v>Nutrition needs assessment</v>
      </c>
      <c r="C22" s="236"/>
      <c r="D22" s="236">
        <f>'2.2'!BP19</f>
        <v>0</v>
      </c>
      <c r="E22" s="236"/>
      <c r="F22" s="236"/>
      <c r="G22" s="236"/>
      <c r="H22" s="238">
        <f t="shared" si="2"/>
        <v>0</v>
      </c>
    </row>
    <row r="23" spans="1:8" x14ac:dyDescent="0.25">
      <c r="A23" s="235"/>
      <c r="B23" s="239" t="str">
        <f>'2.2'!D20</f>
        <v>Nutrition Resource Centre  -IFAD</v>
      </c>
      <c r="C23" s="236">
        <f>'2.2'!BO20</f>
        <v>0</v>
      </c>
      <c r="D23" s="236">
        <f>'2.2'!BP20</f>
        <v>0</v>
      </c>
      <c r="E23" s="236"/>
      <c r="F23" s="236">
        <f>'2.2'!BR20</f>
        <v>0</v>
      </c>
      <c r="G23" s="236">
        <f>'2.2'!BV20</f>
        <v>0</v>
      </c>
      <c r="H23" s="238">
        <f t="shared" ref="H23" si="5">SUM(C23:G23)</f>
        <v>0</v>
      </c>
    </row>
    <row r="24" spans="1:8" ht="27.75" x14ac:dyDescent="0.25">
      <c r="A24" s="235"/>
      <c r="B24" s="239" t="str">
        <f>'2.2'!D31</f>
        <v xml:space="preserve">Household crop development (Regular PVTG ) </v>
      </c>
      <c r="C24" s="236">
        <f>'2.2'!BO31</f>
        <v>0</v>
      </c>
      <c r="D24" s="236">
        <f>'2.2'!BP31</f>
        <v>0</v>
      </c>
      <c r="E24" s="236">
        <f>'2.2'!BQ31</f>
        <v>32700000</v>
      </c>
      <c r="F24" s="236"/>
      <c r="G24" s="236"/>
      <c r="H24" s="238">
        <f t="shared" si="2"/>
        <v>32700000</v>
      </c>
    </row>
    <row r="25" spans="1:8" ht="27.75" x14ac:dyDescent="0.25">
      <c r="A25" s="235"/>
      <c r="B25" s="239" t="str">
        <f>'2.2'!D32</f>
        <v xml:space="preserve">Household crop development (Non PVTG ) </v>
      </c>
      <c r="C25" s="236">
        <f>'2.2'!BO32</f>
        <v>0</v>
      </c>
      <c r="D25" s="236">
        <f>'2.2'!BP32</f>
        <v>0</v>
      </c>
      <c r="E25" s="236">
        <f>'2.2'!BQ32</f>
        <v>7140000</v>
      </c>
      <c r="F25" s="236"/>
      <c r="G25" s="236"/>
      <c r="H25" s="238">
        <f t="shared" si="2"/>
        <v>7140000</v>
      </c>
    </row>
    <row r="26" spans="1:8" ht="27.75" x14ac:dyDescent="0.25">
      <c r="A26" s="235"/>
      <c r="B26" s="239" t="str">
        <f>'2.2'!D34</f>
        <v>Cereal / millets crops development -IFAD</v>
      </c>
      <c r="C26" s="236">
        <f>'2.2'!BO40</f>
        <v>0</v>
      </c>
      <c r="D26" s="236">
        <f>'2.2'!BP40</f>
        <v>0</v>
      </c>
      <c r="E26" s="236">
        <f>'2.2'!BQ40</f>
        <v>761250</v>
      </c>
      <c r="F26" s="236">
        <f>'2.2'!BR40</f>
        <v>0</v>
      </c>
      <c r="G26" s="236"/>
      <c r="H26" s="238">
        <f t="shared" si="2"/>
        <v>761250</v>
      </c>
    </row>
    <row r="27" spans="1:8" ht="27.75" x14ac:dyDescent="0.25">
      <c r="A27" s="235"/>
      <c r="B27" s="239" t="str">
        <f>'2.2'!D41</f>
        <v xml:space="preserve">Pulses, oilseeds, tubers development -IFAD  </v>
      </c>
      <c r="C27" s="236">
        <f>'2.2'!BO64</f>
        <v>0</v>
      </c>
      <c r="D27" s="236">
        <f>'2.2'!BP64</f>
        <v>0</v>
      </c>
      <c r="E27" s="236">
        <f>'2.2'!BQ64</f>
        <v>2565000</v>
      </c>
      <c r="F27" s="236">
        <f>'2.2'!BR64</f>
        <v>0</v>
      </c>
      <c r="G27" s="236"/>
      <c r="H27" s="238">
        <f t="shared" si="2"/>
        <v>2565000</v>
      </c>
    </row>
    <row r="28" spans="1:8" x14ac:dyDescent="0.25">
      <c r="A28" s="235"/>
      <c r="B28" s="239" t="str">
        <f>'2.2'!D65</f>
        <v>Vegetables-IFAD</v>
      </c>
      <c r="C28" s="236">
        <f>'2.2'!BO82</f>
        <v>0</v>
      </c>
      <c r="D28" s="236">
        <f>'2.2'!BP82</f>
        <v>0</v>
      </c>
      <c r="E28" s="236">
        <f>'2.2'!BQ82</f>
        <v>0</v>
      </c>
      <c r="F28" s="236">
        <f>'2.2'!BR82</f>
        <v>0</v>
      </c>
      <c r="G28" s="236"/>
      <c r="H28" s="238">
        <f t="shared" si="2"/>
        <v>0</v>
      </c>
    </row>
    <row r="29" spans="1:8" ht="27.75" x14ac:dyDescent="0.25">
      <c r="A29" s="235"/>
      <c r="B29" s="239" t="str">
        <f>'2.2'!D83</f>
        <v>Floricultutre,Mushroom &amp; Commercial Crop</v>
      </c>
      <c r="C29" s="236">
        <f>'2.2'!BO89</f>
        <v>0</v>
      </c>
      <c r="D29" s="236">
        <f>'2.2'!BP89</f>
        <v>0</v>
      </c>
      <c r="E29" s="236">
        <f>'2.2'!BQ89</f>
        <v>840000</v>
      </c>
      <c r="F29" s="236">
        <f>'2.2'!BR89</f>
        <v>0</v>
      </c>
      <c r="G29" s="236"/>
      <c r="H29" s="238">
        <f t="shared" si="2"/>
        <v>840000</v>
      </c>
    </row>
    <row r="30" spans="1:8" ht="41.25" x14ac:dyDescent="0.25">
      <c r="A30" s="235"/>
      <c r="B30" s="239" t="str">
        <f>'2.2'!D91</f>
        <v>2. Behavioural Change in COVID, Health, Nutrition, sanitation &amp; hygeine</v>
      </c>
      <c r="C30" s="236"/>
      <c r="D30" s="236">
        <f>'2.2'!BP91</f>
        <v>0</v>
      </c>
      <c r="E30" s="236"/>
      <c r="F30" s="236"/>
      <c r="G30" s="236"/>
      <c r="H30" s="238">
        <f t="shared" si="2"/>
        <v>0</v>
      </c>
    </row>
    <row r="31" spans="1:8" x14ac:dyDescent="0.25">
      <c r="A31" s="235">
        <v>2.2999999999999998</v>
      </c>
      <c r="B31" s="239" t="str">
        <f>'2.3'!D14</f>
        <v>Subtotal Training CSP</v>
      </c>
      <c r="C31" s="236"/>
      <c r="D31" s="236">
        <f>'2.3'!BP14</f>
        <v>0</v>
      </c>
      <c r="E31" s="236"/>
      <c r="F31" s="236"/>
      <c r="G31" s="236"/>
      <c r="H31" s="238">
        <f t="shared" si="2"/>
        <v>0</v>
      </c>
    </row>
    <row r="32" spans="1:8" ht="27.75" x14ac:dyDescent="0.25">
      <c r="A32" s="235"/>
      <c r="B32" s="239" t="str">
        <f>'2.3'!D19</f>
        <v xml:space="preserve">support incentive to Livestock CSP </v>
      </c>
      <c r="C32" s="236">
        <f>'2.3'!BO19</f>
        <v>0</v>
      </c>
      <c r="D32" s="236">
        <f>'2.3'!BP19</f>
        <v>0</v>
      </c>
      <c r="E32" s="236">
        <f>'2.3'!BQ19</f>
        <v>0</v>
      </c>
      <c r="F32" s="236">
        <f>'2.3'!BR19</f>
        <v>0</v>
      </c>
      <c r="G32" s="236">
        <v>0</v>
      </c>
      <c r="H32" s="238">
        <f t="shared" ref="H32:H36" si="6">SUM(C32:G32)</f>
        <v>0</v>
      </c>
    </row>
    <row r="33" spans="1:8" x14ac:dyDescent="0.25">
      <c r="A33" s="235"/>
      <c r="B33" s="239" t="str">
        <f>'2.3'!D20</f>
        <v>Support to CSP-IGA</v>
      </c>
      <c r="C33" s="236">
        <f>'2.3'!BO20</f>
        <v>0</v>
      </c>
      <c r="D33" s="236">
        <f>'2.3'!BP20</f>
        <v>0</v>
      </c>
      <c r="E33" s="236">
        <f>'2.3'!BQ20</f>
        <v>900000</v>
      </c>
      <c r="F33" s="236">
        <f>'2.3'!BR20</f>
        <v>0</v>
      </c>
      <c r="G33" s="236">
        <f>'2.3'!BS20</f>
        <v>900000</v>
      </c>
      <c r="H33" s="238">
        <f t="shared" si="6"/>
        <v>1800000</v>
      </c>
    </row>
    <row r="34" spans="1:8" ht="31.5" customHeight="1" x14ac:dyDescent="0.25">
      <c r="A34" s="235"/>
      <c r="B34" s="239" t="str">
        <f>'2.3'!D26</f>
        <v>2000 broiler bird unit - FARD &amp; IFAD (40% &amp; 60%)</v>
      </c>
      <c r="C34" s="236">
        <f>'2.3'!BO26</f>
        <v>0</v>
      </c>
      <c r="D34" s="236">
        <f>'2.3'!BP26</f>
        <v>0</v>
      </c>
      <c r="E34" s="236">
        <f>'2.3'!BQ26*0.6</f>
        <v>6480000</v>
      </c>
      <c r="F34" s="236">
        <f>'2.3'!BR26</f>
        <v>0</v>
      </c>
      <c r="G34" s="236"/>
      <c r="H34" s="238">
        <f t="shared" si="6"/>
        <v>6480000</v>
      </c>
    </row>
    <row r="35" spans="1:8" ht="31.5" customHeight="1" x14ac:dyDescent="0.25">
      <c r="A35" s="235"/>
      <c r="B35" s="239" t="str">
        <f>'2.3'!D28</f>
        <v xml:space="preserve">40 Bird Portable Layer Unit </v>
      </c>
      <c r="C35" s="236">
        <f>'2.3'!BO28</f>
        <v>0</v>
      </c>
      <c r="D35" s="236">
        <f>'2.3'!BP28</f>
        <v>0</v>
      </c>
      <c r="E35" s="236">
        <f>'2.3'!BQ28</f>
        <v>23000000</v>
      </c>
      <c r="F35" s="236">
        <f>'2.3'!BR28</f>
        <v>0</v>
      </c>
      <c r="G35" s="236"/>
      <c r="H35" s="238">
        <f t="shared" si="6"/>
        <v>23000000</v>
      </c>
    </row>
    <row r="36" spans="1:8" ht="31.5" customHeight="1" x14ac:dyDescent="0.25">
      <c r="A36" s="235"/>
      <c r="B36" s="239" t="str">
        <f>'2.3'!D29</f>
        <v xml:space="preserve">Feed Mill to CSP/Livestock Rearrer </v>
      </c>
      <c r="C36" s="236">
        <f>'2.3'!BO29</f>
        <v>0</v>
      </c>
      <c r="D36" s="236">
        <f>'2.3'!BP29</f>
        <v>0</v>
      </c>
      <c r="E36" s="236">
        <f>'2.3'!BQ29</f>
        <v>1200000</v>
      </c>
      <c r="F36" s="236">
        <f>'2.3'!BR29</f>
        <v>0</v>
      </c>
      <c r="G36" s="236"/>
      <c r="H36" s="238">
        <f t="shared" si="6"/>
        <v>1200000</v>
      </c>
    </row>
    <row r="37" spans="1:8" ht="72.75" customHeight="1" x14ac:dyDescent="0.25">
      <c r="A37" s="235"/>
      <c r="B37" s="239" t="str">
        <f>'2.3'!D31</f>
        <v>Animal Husbandry: Matching support of Rs. 1.15 Lakhs for convergence with FARD 2.3 Lakhs SHG Goat Model ( 30 Does+2 Bucks ) IFAD+FARD</v>
      </c>
      <c r="C37" s="236">
        <f>'2.3'!BO31</f>
        <v>0</v>
      </c>
      <c r="D37" s="236">
        <f>'2.3'!BP31</f>
        <v>0</v>
      </c>
      <c r="E37" s="236">
        <f>'2.3'!BQ31*0.5</f>
        <v>23000000</v>
      </c>
      <c r="F37" s="236">
        <f>'2.3'!BR31</f>
        <v>0</v>
      </c>
      <c r="G37" s="236">
        <v>0</v>
      </c>
      <c r="H37" s="238">
        <f t="shared" si="2"/>
        <v>23000000</v>
      </c>
    </row>
    <row r="38" spans="1:8" ht="27.75" x14ac:dyDescent="0.25">
      <c r="A38" s="235"/>
      <c r="B38" s="239" t="str">
        <f>'2.3'!D33</f>
        <v>Provision of quality breeding buck -IFAD</v>
      </c>
      <c r="C38" s="236">
        <f>'2.3'!BO33</f>
        <v>0</v>
      </c>
      <c r="D38" s="236">
        <f>'2.3'!BP33</f>
        <v>0</v>
      </c>
      <c r="E38" s="236">
        <f>'2.3'!BQ33</f>
        <v>0</v>
      </c>
      <c r="F38" s="236">
        <f>'2.3'!BR33</f>
        <v>0</v>
      </c>
      <c r="G38" s="236"/>
      <c r="H38" s="238">
        <f t="shared" si="2"/>
        <v>0</v>
      </c>
    </row>
    <row r="39" spans="1:8" ht="28.5" customHeight="1" x14ac:dyDescent="0.25">
      <c r="A39" s="235"/>
      <c r="B39" s="239" t="str">
        <f>'2.3'!D40</f>
        <v xml:space="preserve">Animal health camps /User charges vaccine /fist aid mrdicine </v>
      </c>
      <c r="C39" s="236">
        <f>'2.3'!BO40</f>
        <v>0</v>
      </c>
      <c r="D39" s="236">
        <f>'2.3'!BP40</f>
        <v>0</v>
      </c>
      <c r="E39" s="236">
        <f>'2.3'!BQ40</f>
        <v>1175000</v>
      </c>
      <c r="F39" s="236">
        <f>'2.3'!BR40</f>
        <v>0</v>
      </c>
      <c r="G39" s="236"/>
      <c r="H39" s="238">
        <f t="shared" si="2"/>
        <v>1175000</v>
      </c>
    </row>
    <row r="40" spans="1:8" ht="41.25" x14ac:dyDescent="0.25">
      <c r="A40" s="235"/>
      <c r="B40" s="239" t="str">
        <f>'2.3'!D34</f>
        <v>Training on Livestock production &amp; management to SHG members/rearers</v>
      </c>
      <c r="C40" s="236">
        <f>'2.3'!BO34</f>
        <v>0</v>
      </c>
      <c r="D40" s="236">
        <f>'2.3'!BP34</f>
        <v>0</v>
      </c>
      <c r="E40" s="236">
        <f>'2.3'!BQ34</f>
        <v>0</v>
      </c>
      <c r="F40" s="236">
        <f>'2.3'!BR34</f>
        <v>0</v>
      </c>
      <c r="G40" s="236"/>
      <c r="H40" s="238">
        <f t="shared" si="2"/>
        <v>0</v>
      </c>
    </row>
    <row r="41" spans="1:8" ht="68.25" x14ac:dyDescent="0.25">
      <c r="A41" s="235"/>
      <c r="B41" s="239" t="str">
        <f>'2.3'!D41</f>
        <v>IGA units for poorest of poor households (Unit cost Ranging from 20,000 to 50,000 INR depending upon BDP Avg. 30,000</v>
      </c>
      <c r="C41" s="236"/>
      <c r="D41" s="236"/>
      <c r="E41" s="236">
        <f>'2.3'!BQ41</f>
        <v>3360000</v>
      </c>
      <c r="F41" s="236"/>
      <c r="G41" s="236"/>
      <c r="H41" s="238">
        <f t="shared" si="2"/>
        <v>3360000</v>
      </c>
    </row>
    <row r="42" spans="1:8" ht="27.75" x14ac:dyDescent="0.25">
      <c r="A42" s="235"/>
      <c r="B42" s="239" t="str">
        <f>'2.3'!D51</f>
        <v>Model Nursery/ Nursery/Nursery management - Working capital</v>
      </c>
      <c r="C42" s="236"/>
      <c r="D42" s="236"/>
      <c r="E42" s="236">
        <f>'2.3'!BQ51</f>
        <v>0</v>
      </c>
      <c r="F42" s="236"/>
      <c r="G42" s="236"/>
      <c r="H42" s="238">
        <f t="shared" si="2"/>
        <v>0</v>
      </c>
    </row>
    <row r="43" spans="1:8" x14ac:dyDescent="0.25">
      <c r="A43" s="235"/>
      <c r="B43" s="239" t="str">
        <f>'2.3'!D58</f>
        <v>Small Vegtable  Cold Chamber</v>
      </c>
      <c r="C43" s="236"/>
      <c r="D43" s="236"/>
      <c r="E43" s="236">
        <f>'2.3'!BQ58</f>
        <v>0</v>
      </c>
      <c r="F43" s="236"/>
      <c r="G43" s="236"/>
      <c r="H43" s="238">
        <f t="shared" si="2"/>
        <v>0</v>
      </c>
    </row>
    <row r="44" spans="1:8" ht="27.75" x14ac:dyDescent="0.25">
      <c r="A44" s="235"/>
      <c r="B44" s="239" t="str">
        <f>'2.3'!D60</f>
        <v>Farmers share for PVTG/STs for various items /k</v>
      </c>
      <c r="C44" s="236"/>
      <c r="D44" s="236"/>
      <c r="E44" s="236">
        <f>'2.3'!BQ60</f>
        <v>7800000</v>
      </c>
      <c r="F44" s="236"/>
      <c r="G44" s="236"/>
      <c r="H44" s="238">
        <f t="shared" si="2"/>
        <v>7800000</v>
      </c>
    </row>
    <row r="45" spans="1:8" ht="27.75" x14ac:dyDescent="0.25">
      <c r="A45" s="235"/>
      <c r="B45" s="239" t="str">
        <f>'2.3'!D62</f>
        <v xml:space="preserve"> Livelihoods linked Innovative activities </v>
      </c>
      <c r="C45" s="236"/>
      <c r="D45" s="236"/>
      <c r="E45" s="236">
        <f>'2.3'!BQ62</f>
        <v>3000000</v>
      </c>
      <c r="F45" s="236"/>
      <c r="G45" s="236"/>
      <c r="H45" s="238">
        <f t="shared" si="2"/>
        <v>3000000</v>
      </c>
    </row>
    <row r="46" spans="1:8" ht="27.75" x14ac:dyDescent="0.25">
      <c r="A46" s="235"/>
      <c r="B46" s="239" t="str">
        <f>'2.3'!D66</f>
        <v xml:space="preserve">High value commercial agriculture and allied(APC) </v>
      </c>
      <c r="C46" s="236">
        <f>'2.3'!BO66</f>
        <v>0</v>
      </c>
      <c r="D46" s="236">
        <f>'2.3'!BP66</f>
        <v>0</v>
      </c>
      <c r="E46" s="236">
        <f>'2.3'!BQ66</f>
        <v>44335090</v>
      </c>
      <c r="F46" s="236"/>
      <c r="G46" s="236"/>
      <c r="H46" s="238">
        <f t="shared" si="2"/>
        <v>44335090</v>
      </c>
    </row>
    <row r="47" spans="1:8" ht="27.75" customHeight="1" x14ac:dyDescent="0.25">
      <c r="A47" s="235"/>
      <c r="B47" s="239" t="str">
        <f>'2.3'!D67</f>
        <v xml:space="preserve">Agriculture Intensification Cluster (AIC) 22-23 </v>
      </c>
      <c r="C47" s="236">
        <f>'2.3'!BO67</f>
        <v>0</v>
      </c>
      <c r="D47" s="236">
        <f>'2.3'!BP67</f>
        <v>0</v>
      </c>
      <c r="E47" s="236">
        <f>'2.3'!BQ67</f>
        <v>41842280</v>
      </c>
      <c r="F47" s="236"/>
      <c r="G47" s="236"/>
      <c r="H47" s="238">
        <f t="shared" si="2"/>
        <v>41842280</v>
      </c>
    </row>
    <row r="48" spans="1:8" ht="27.75" customHeight="1" x14ac:dyDescent="0.25">
      <c r="A48" s="235"/>
      <c r="B48" s="239" t="str">
        <f>'2.3'!D68</f>
        <v>Agriculture Intensification Cluster (AIC) 23-24</v>
      </c>
      <c r="C48" s="236">
        <f>'2.3'!BO68</f>
        <v>0</v>
      </c>
      <c r="D48" s="236">
        <f>'2.3'!BP68</f>
        <v>0</v>
      </c>
      <c r="E48" s="236">
        <f>'2.3'!BQ68</f>
        <v>49545780</v>
      </c>
      <c r="F48" s="236"/>
      <c r="G48" s="236"/>
      <c r="H48" s="238">
        <f t="shared" ref="H48" si="7">SUM(C48:G48)</f>
        <v>49545780</v>
      </c>
    </row>
    <row r="49" spans="1:8" x14ac:dyDescent="0.25">
      <c r="A49" s="235"/>
      <c r="B49" s="239" t="str">
        <f>'2.3'!D69</f>
        <v xml:space="preserve">Solar Fecncing piloting in Cluster </v>
      </c>
      <c r="C49" s="236"/>
      <c r="D49" s="236"/>
      <c r="E49" s="236">
        <f>'2.3'!BQ69</f>
        <v>0</v>
      </c>
      <c r="F49" s="236"/>
      <c r="G49" s="236"/>
      <c r="H49" s="238">
        <f t="shared" si="2"/>
        <v>0</v>
      </c>
    </row>
    <row r="50" spans="1:8" s="225" customFormat="1" x14ac:dyDescent="0.25">
      <c r="A50" s="235">
        <v>2</v>
      </c>
      <c r="B50" s="243" t="s">
        <v>1131</v>
      </c>
      <c r="C50" s="237">
        <f t="shared" ref="C50:H50" si="8">SUM(C7:C49)</f>
        <v>73800000</v>
      </c>
      <c r="D50" s="237">
        <f t="shared" si="8"/>
        <v>9974000</v>
      </c>
      <c r="E50" s="237">
        <f t="shared" si="8"/>
        <v>264341400</v>
      </c>
      <c r="F50" s="237">
        <f t="shared" si="8"/>
        <v>0</v>
      </c>
      <c r="G50" s="237">
        <f t="shared" si="8"/>
        <v>4140000</v>
      </c>
      <c r="H50" s="237">
        <f t="shared" si="8"/>
        <v>352255400</v>
      </c>
    </row>
    <row r="51" spans="1:8" ht="27.75" x14ac:dyDescent="0.25">
      <c r="A51" s="235">
        <v>3.1</v>
      </c>
      <c r="B51" s="239" t="str">
        <f>'3.1'!E35</f>
        <v>Installation of Travis for Veterinary Treatment</v>
      </c>
      <c r="C51" s="236"/>
      <c r="D51" s="236"/>
      <c r="E51" s="236">
        <f>'3.1'!BR35</f>
        <v>0</v>
      </c>
      <c r="F51" s="236"/>
      <c r="G51" s="236"/>
      <c r="H51" s="238">
        <f t="shared" si="2"/>
        <v>0</v>
      </c>
    </row>
    <row r="52" spans="1:8" x14ac:dyDescent="0.25">
      <c r="A52" s="235"/>
      <c r="B52" s="239" t="str">
        <f>'3.1'!E44</f>
        <v>NTFP / SAP Drying Yard IFAD</v>
      </c>
      <c r="C52" s="236">
        <f>'3.1'!BP44</f>
        <v>0</v>
      </c>
      <c r="D52" s="236"/>
      <c r="E52" s="236"/>
      <c r="F52" s="236"/>
      <c r="G52" s="236"/>
      <c r="H52" s="238">
        <f t="shared" si="2"/>
        <v>0</v>
      </c>
    </row>
    <row r="53" spans="1:8" ht="30" customHeight="1" x14ac:dyDescent="0.25">
      <c r="A53" s="235"/>
      <c r="B53" s="239" t="str">
        <f>'3.1'!E14</f>
        <v>Repairof Water Purification pilot /Filtration unit-IFAD</v>
      </c>
      <c r="C53" s="236">
        <f>'3.1'!BP14*0.6</f>
        <v>1248000</v>
      </c>
      <c r="D53" s="236"/>
      <c r="E53" s="236"/>
      <c r="F53" s="236"/>
      <c r="G53" s="236"/>
      <c r="H53" s="238">
        <f t="shared" ref="H53" si="9">SUM(C53:G53)</f>
        <v>1248000</v>
      </c>
    </row>
    <row r="54" spans="1:8" ht="30" customHeight="1" x14ac:dyDescent="0.25">
      <c r="A54" s="235"/>
      <c r="B54" s="239" t="str">
        <f>'3.1'!E43</f>
        <v>SHG worksheds for Aggregation of NTFP/SAP</v>
      </c>
      <c r="C54" s="236">
        <f>'3.1'!BP43</f>
        <v>26700000</v>
      </c>
      <c r="D54" s="236"/>
      <c r="E54" s="236"/>
      <c r="F54" s="236"/>
      <c r="G54" s="236"/>
      <c r="H54" s="238">
        <f t="shared" ref="H54" si="10">SUM(C54:G54)</f>
        <v>26700000</v>
      </c>
    </row>
    <row r="55" spans="1:8" ht="31.5" customHeight="1" x14ac:dyDescent="0.25">
      <c r="A55" s="235"/>
      <c r="B55" s="239" t="str">
        <f>'3.1'!E45</f>
        <v>NTFP / SAP Drying Yard IFAD-Small</v>
      </c>
      <c r="C55" s="236">
        <f>'3.1'!BP45</f>
        <v>14900000</v>
      </c>
      <c r="D55" s="236">
        <f>'3.1'!BQ45</f>
        <v>0</v>
      </c>
      <c r="E55" s="236">
        <f>'3.1'!BR45</f>
        <v>0</v>
      </c>
      <c r="F55" s="236">
        <f>'3.1'!BS45</f>
        <v>0</v>
      </c>
      <c r="G55" s="236"/>
      <c r="H55" s="238">
        <f t="shared" si="2"/>
        <v>14900000</v>
      </c>
    </row>
    <row r="56" spans="1:8" x14ac:dyDescent="0.25">
      <c r="A56" s="235"/>
      <c r="B56" s="239" t="str">
        <f>'3.1'!E46</f>
        <v>Drying Mat</v>
      </c>
      <c r="C56" s="236"/>
      <c r="D56" s="236"/>
      <c r="E56" s="236">
        <f>'3.1'!BR46</f>
        <v>0</v>
      </c>
      <c r="F56" s="236"/>
      <c r="G56" s="236"/>
      <c r="H56" s="238">
        <f t="shared" si="2"/>
        <v>0</v>
      </c>
    </row>
    <row r="57" spans="1:8" x14ac:dyDescent="0.25">
      <c r="A57" s="235"/>
      <c r="B57" s="239" t="str">
        <f>'3.1'!E32</f>
        <v>Multipurpose Van</v>
      </c>
      <c r="C57" s="236">
        <f>'3.1'!BP32</f>
        <v>0</v>
      </c>
      <c r="D57" s="236">
        <f>'3.1'!BQ32</f>
        <v>0</v>
      </c>
      <c r="E57" s="236">
        <f>'3.1'!BR32</f>
        <v>18700000</v>
      </c>
      <c r="F57" s="236">
        <f>'3.1'!BS32</f>
        <v>0</v>
      </c>
      <c r="G57" s="236"/>
      <c r="H57" s="238">
        <f t="shared" si="2"/>
        <v>18700000</v>
      </c>
    </row>
    <row r="58" spans="1:8" x14ac:dyDescent="0.25">
      <c r="A58" s="235"/>
      <c r="B58" s="239" t="str">
        <f>'3.1'!E53</f>
        <v>Seed storage bins</v>
      </c>
      <c r="C58" s="236"/>
      <c r="D58" s="236"/>
      <c r="E58" s="236">
        <f>'3.1'!BR53</f>
        <v>0</v>
      </c>
      <c r="F58" s="236"/>
      <c r="G58" s="236"/>
      <c r="H58" s="238">
        <f t="shared" si="2"/>
        <v>0</v>
      </c>
    </row>
    <row r="59" spans="1:8" ht="27.75" x14ac:dyDescent="0.25">
      <c r="A59" s="235">
        <v>3.2</v>
      </c>
      <c r="B59" s="239" t="str">
        <f>'3.2'!C15</f>
        <v>Community Solar light / street light</v>
      </c>
      <c r="C59" s="236"/>
      <c r="D59" s="236"/>
      <c r="E59" s="236">
        <f>'3.2'!BP15</f>
        <v>1440000</v>
      </c>
      <c r="F59" s="236"/>
      <c r="G59" s="236"/>
      <c r="H59" s="238">
        <f t="shared" si="2"/>
        <v>1440000</v>
      </c>
    </row>
    <row r="60" spans="1:8" ht="27.75" x14ac:dyDescent="0.25">
      <c r="A60" s="235"/>
      <c r="B60" s="239" t="str">
        <f>'3.2'!C16</f>
        <v xml:space="preserve">Community infrastructure / drudgery reduction Maintenace </v>
      </c>
      <c r="C60" s="236"/>
      <c r="D60" s="236"/>
      <c r="E60" s="236">
        <f>'3.2'!BP16*0.6</f>
        <v>8340000</v>
      </c>
      <c r="F60" s="236"/>
      <c r="G60" s="236"/>
      <c r="H60" s="238">
        <f t="shared" si="2"/>
        <v>8340000</v>
      </c>
    </row>
    <row r="61" spans="1:8" ht="27.75" x14ac:dyDescent="0.25">
      <c r="A61" s="235"/>
      <c r="B61" s="239" t="str">
        <f>'3.2'!C18</f>
        <v>Household drinking Water (Only material cost)</v>
      </c>
      <c r="C61" s="236"/>
      <c r="D61" s="236"/>
      <c r="E61" s="236">
        <f>'3.2'!BP18</f>
        <v>32000000</v>
      </c>
      <c r="F61" s="236"/>
      <c r="G61" s="236"/>
      <c r="H61" s="238">
        <f t="shared" si="2"/>
        <v>32000000</v>
      </c>
    </row>
    <row r="62" spans="1:8" ht="41.25" x14ac:dyDescent="0.25">
      <c r="A62" s="235"/>
      <c r="B62" s="239" t="str">
        <f>'3.2'!C19</f>
        <v>Extension of Household drinking water from existing sources (only material cost) -62</v>
      </c>
      <c r="C62" s="236"/>
      <c r="D62" s="236"/>
      <c r="E62" s="236">
        <f>'3.2'!BP19</f>
        <v>23250000</v>
      </c>
      <c r="F62" s="236"/>
      <c r="G62" s="236"/>
      <c r="H62" s="238">
        <f t="shared" si="2"/>
        <v>23250000</v>
      </c>
    </row>
    <row r="63" spans="1:8" ht="27.75" x14ac:dyDescent="0.25">
      <c r="A63" s="235"/>
      <c r="B63" s="239" t="str">
        <f>'3.2'!C22</f>
        <v>Support to Traditional Costumes/Cultural Equipments</v>
      </c>
      <c r="C63" s="236"/>
      <c r="D63" s="236"/>
      <c r="E63" s="236">
        <f>'3.2'!BP22</f>
        <v>340000</v>
      </c>
      <c r="F63" s="236"/>
      <c r="G63" s="236"/>
      <c r="H63" s="238">
        <f t="shared" si="2"/>
        <v>340000</v>
      </c>
    </row>
    <row r="64" spans="1:8" ht="41.25" x14ac:dyDescent="0.25">
      <c r="A64" s="235"/>
      <c r="B64" s="239" t="str">
        <f>'3.2'!C23</f>
        <v>Establishment of processing unit/ Khajuri/ Rice flour mills/ Honey Processing Unit</v>
      </c>
      <c r="C64" s="236"/>
      <c r="D64" s="236"/>
      <c r="E64" s="236">
        <f>'3.2'!BP23</f>
        <v>0</v>
      </c>
      <c r="F64" s="236"/>
      <c r="G64" s="236"/>
      <c r="H64" s="238">
        <f t="shared" si="2"/>
        <v>0</v>
      </c>
    </row>
    <row r="65" spans="1:11" ht="27.75" x14ac:dyDescent="0.25">
      <c r="A65" s="235"/>
      <c r="B65" s="239" t="str">
        <f>'3.2'!C33</f>
        <v>Information-cum-Culture  Centre IFAD</v>
      </c>
      <c r="C65" s="236">
        <f>'3.2'!BN33</f>
        <v>0</v>
      </c>
      <c r="D65" s="236"/>
      <c r="E65" s="236"/>
      <c r="F65" s="236"/>
      <c r="G65" s="236"/>
      <c r="H65" s="238">
        <f t="shared" si="2"/>
        <v>0</v>
      </c>
    </row>
    <row r="66" spans="1:11" ht="27.75" x14ac:dyDescent="0.25">
      <c r="A66" s="235"/>
      <c r="B66" s="239" t="str">
        <f>'3.2'!C26</f>
        <v>Repair &amp; maintenace of Processing unit</v>
      </c>
      <c r="C66" s="236"/>
      <c r="D66" s="236"/>
      <c r="E66" s="236">
        <f>'3.2'!BP26*0.6</f>
        <v>2490000</v>
      </c>
      <c r="F66" s="236"/>
      <c r="G66" s="236"/>
      <c r="H66" s="238">
        <f t="shared" si="2"/>
        <v>2490000</v>
      </c>
    </row>
    <row r="67" spans="1:11" x14ac:dyDescent="0.25">
      <c r="A67" s="235"/>
      <c r="B67" s="239" t="str">
        <f>'3.2'!C35</f>
        <v>Sacred Fencing /e-68</v>
      </c>
      <c r="C67" s="236"/>
      <c r="D67" s="236"/>
      <c r="E67" s="236">
        <f>'3.2'!BP35</f>
        <v>3325000</v>
      </c>
      <c r="F67" s="236"/>
      <c r="G67" s="236"/>
      <c r="H67" s="238">
        <f t="shared" si="2"/>
        <v>3325000</v>
      </c>
    </row>
    <row r="68" spans="1:11" ht="27.75" x14ac:dyDescent="0.25">
      <c r="A68" s="235"/>
      <c r="B68" s="239" t="str">
        <f>'3.2'!C44</f>
        <v>Studies and surveys/ documentary</v>
      </c>
      <c r="C68" s="236"/>
      <c r="D68" s="236">
        <f>'3.2'!BO44</f>
        <v>0</v>
      </c>
      <c r="E68" s="236"/>
      <c r="F68" s="236"/>
      <c r="G68" s="236"/>
      <c r="H68" s="238">
        <f t="shared" si="2"/>
        <v>0</v>
      </c>
    </row>
    <row r="69" spans="1:11" s="225" customFormat="1" x14ac:dyDescent="0.25">
      <c r="A69" s="235">
        <v>3</v>
      </c>
      <c r="B69" s="243" t="s">
        <v>1132</v>
      </c>
      <c r="C69" s="237">
        <f t="shared" ref="C69:H69" si="11">SUM(C51:C68)</f>
        <v>42848000</v>
      </c>
      <c r="D69" s="237">
        <f t="shared" si="11"/>
        <v>0</v>
      </c>
      <c r="E69" s="237">
        <f t="shared" si="11"/>
        <v>89885000</v>
      </c>
      <c r="F69" s="237">
        <f t="shared" si="11"/>
        <v>0</v>
      </c>
      <c r="G69" s="237">
        <f t="shared" si="11"/>
        <v>0</v>
      </c>
      <c r="H69" s="237">
        <f t="shared" si="11"/>
        <v>132733000</v>
      </c>
    </row>
    <row r="70" spans="1:11" x14ac:dyDescent="0.25">
      <c r="A70" s="235">
        <v>4.0999999999999996</v>
      </c>
      <c r="B70" s="239" t="s">
        <v>1126</v>
      </c>
      <c r="C70" s="236">
        <f>'4.1 '!BN89</f>
        <v>0</v>
      </c>
      <c r="D70" s="236">
        <f>'4.1 '!BO89</f>
        <v>2000000</v>
      </c>
      <c r="E70" s="236">
        <f>'4.1 '!BP89</f>
        <v>32970000</v>
      </c>
      <c r="F70" s="236">
        <f>'4.1 '!BQ89</f>
        <v>0</v>
      </c>
      <c r="G70" s="236">
        <f>'4.1 '!BU89</f>
        <v>51705000</v>
      </c>
      <c r="H70" s="236">
        <f t="shared" si="2"/>
        <v>86675000</v>
      </c>
    </row>
    <row r="71" spans="1:11" x14ac:dyDescent="0.25">
      <c r="A71" s="235">
        <v>4.2</v>
      </c>
      <c r="B71" s="239" t="s">
        <v>1127</v>
      </c>
      <c r="C71" s="236">
        <f>'4.2'!BN56</f>
        <v>0</v>
      </c>
      <c r="D71" s="236">
        <f>'4.2'!BO56</f>
        <v>0</v>
      </c>
      <c r="E71" s="236">
        <f>'4.2'!BP56</f>
        <v>580000</v>
      </c>
      <c r="F71" s="236">
        <f>'4.2'!BQ56</f>
        <v>0</v>
      </c>
      <c r="G71" s="236">
        <f>'4.2'!BU56</f>
        <v>74129000</v>
      </c>
      <c r="H71" s="236">
        <f t="shared" si="2"/>
        <v>74709000</v>
      </c>
      <c r="K71" s="741"/>
    </row>
    <row r="72" spans="1:11" x14ac:dyDescent="0.25">
      <c r="A72" s="235">
        <v>4.3</v>
      </c>
      <c r="B72" s="239" t="str">
        <f>'4.3 '!C6</f>
        <v>Monitoring, Evaluation and KM</v>
      </c>
      <c r="C72" s="236">
        <f>'4.3 '!BO35</f>
        <v>0</v>
      </c>
      <c r="D72" s="236">
        <f>'4.3 '!BP35</f>
        <v>4840000</v>
      </c>
      <c r="E72" s="236">
        <f>'4.3 '!BQ35</f>
        <v>1400000</v>
      </c>
      <c r="F72" s="236">
        <f>'4.3 '!BR35</f>
        <v>0</v>
      </c>
      <c r="G72" s="236">
        <f>'4.3 '!BV35</f>
        <v>0</v>
      </c>
      <c r="H72" s="236">
        <f t="shared" si="2"/>
        <v>6240000</v>
      </c>
    </row>
    <row r="73" spans="1:11" s="225" customFormat="1" x14ac:dyDescent="0.25">
      <c r="A73" s="235">
        <v>4</v>
      </c>
      <c r="B73" s="243" t="s">
        <v>1133</v>
      </c>
      <c r="C73" s="237">
        <f>SUM(C70:C72)</f>
        <v>0</v>
      </c>
      <c r="D73" s="237">
        <f t="shared" ref="D73:H73" si="12">SUM(D70:D72)</f>
        <v>6840000</v>
      </c>
      <c r="E73" s="237">
        <f t="shared" si="12"/>
        <v>34950000</v>
      </c>
      <c r="F73" s="237">
        <f t="shared" si="12"/>
        <v>0</v>
      </c>
      <c r="G73" s="237">
        <f t="shared" si="12"/>
        <v>125834000</v>
      </c>
      <c r="H73" s="237">
        <f t="shared" si="12"/>
        <v>167624000</v>
      </c>
    </row>
    <row r="74" spans="1:11" x14ac:dyDescent="0.25">
      <c r="A74" s="240"/>
      <c r="B74" s="244"/>
      <c r="C74" s="241"/>
      <c r="D74" s="241"/>
      <c r="E74" s="241"/>
      <c r="F74" s="241"/>
      <c r="G74" s="241"/>
      <c r="H74" s="241"/>
    </row>
    <row r="75" spans="1:11" x14ac:dyDescent="0.25">
      <c r="A75" s="240"/>
      <c r="B75" s="245" t="s">
        <v>1134</v>
      </c>
      <c r="C75" s="242">
        <f t="shared" ref="C75:H75" si="13">C73+C69+C50+C6</f>
        <v>116648000</v>
      </c>
      <c r="D75" s="242">
        <f t="shared" si="13"/>
        <v>137090135</v>
      </c>
      <c r="E75" s="242">
        <f t="shared" si="13"/>
        <v>533274400</v>
      </c>
      <c r="F75" s="242">
        <f t="shared" si="13"/>
        <v>0</v>
      </c>
      <c r="G75" s="242">
        <f t="shared" si="13"/>
        <v>133286000</v>
      </c>
      <c r="H75" s="242">
        <f t="shared" si="13"/>
        <v>920298535</v>
      </c>
    </row>
  </sheetData>
  <mergeCells count="1">
    <mergeCell ref="A2:H2"/>
  </mergeCells>
  <pageMargins left="0" right="0" top="0" bottom="0" header="0.05" footer="0.05"/>
  <pageSetup paperSize="9" scale="80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C2:J9"/>
  <sheetViews>
    <sheetView workbookViewId="0">
      <selection activeCell="L17" sqref="L17"/>
    </sheetView>
  </sheetViews>
  <sheetFormatPr defaultRowHeight="15" x14ac:dyDescent="0.25"/>
  <cols>
    <col min="3" max="3" width="5.5703125" bestFit="1" customWidth="1"/>
    <col min="4" max="4" width="12" bestFit="1" customWidth="1"/>
    <col min="5" max="6" width="12.5703125" bestFit="1" customWidth="1"/>
    <col min="7" max="7" width="15.5703125" customWidth="1"/>
    <col min="8" max="8" width="11.5703125" bestFit="1" customWidth="1"/>
    <col min="9" max="9" width="14.85546875" bestFit="1" customWidth="1"/>
    <col min="10" max="10" width="14.28515625" bestFit="1" customWidth="1"/>
  </cols>
  <sheetData>
    <row r="2" spans="3:10" ht="30" customHeight="1" x14ac:dyDescent="0.3">
      <c r="C2" s="998" t="s">
        <v>1200</v>
      </c>
      <c r="D2" s="998"/>
      <c r="E2" s="998"/>
      <c r="F2" s="998"/>
      <c r="G2" s="998"/>
      <c r="H2" s="998"/>
      <c r="I2" s="998"/>
      <c r="J2" s="998"/>
    </row>
    <row r="3" spans="3:10" s="183" customFormat="1" ht="30" customHeight="1" x14ac:dyDescent="0.25">
      <c r="C3" s="246" t="str">
        <f>'Category wise'!A3</f>
        <v>Sl No</v>
      </c>
      <c r="D3" s="246" t="str">
        <f>'Category wise'!B3</f>
        <v>Particulars</v>
      </c>
      <c r="E3" s="246" t="str">
        <f>'Category wise'!C3</f>
        <v>Civil work</v>
      </c>
      <c r="F3" s="246" t="str">
        <f>'Category wise'!D3</f>
        <v xml:space="preserve">Training </v>
      </c>
      <c r="G3" s="246" t="str">
        <f>'Category wise'!E3</f>
        <v>Goods, services and inputs</v>
      </c>
      <c r="H3" s="246" t="str">
        <f>'Category wise'!F3</f>
        <v>Grants</v>
      </c>
      <c r="I3" s="246" t="str">
        <f>'Category wise'!G3</f>
        <v>Operating costs</v>
      </c>
      <c r="J3" s="246" t="str">
        <f>'Category wise'!H3</f>
        <v>Total</v>
      </c>
    </row>
    <row r="4" spans="3:10" ht="30" customHeight="1" x14ac:dyDescent="0.25">
      <c r="C4" s="227">
        <f>'Category wise'!A6</f>
        <v>1</v>
      </c>
      <c r="D4" s="227" t="str">
        <f>'Category wise'!B6</f>
        <v>Subtotal (1)</v>
      </c>
      <c r="E4" s="230">
        <f>'Category wise'!C6</f>
        <v>0</v>
      </c>
      <c r="F4" s="230">
        <f>'Category wise'!D6</f>
        <v>120276135</v>
      </c>
      <c r="G4" s="230">
        <f>'Category wise'!E6</f>
        <v>144098000</v>
      </c>
      <c r="H4" s="230">
        <f>'Category wise'!F6</f>
        <v>0</v>
      </c>
      <c r="I4" s="230">
        <f>'Category wise'!G6</f>
        <v>3312000</v>
      </c>
      <c r="J4" s="231">
        <f>'Category wise'!H6</f>
        <v>267686135</v>
      </c>
    </row>
    <row r="5" spans="3:10" ht="30" customHeight="1" x14ac:dyDescent="0.25">
      <c r="C5" s="227">
        <f>'Category wise'!A50</f>
        <v>2</v>
      </c>
      <c r="D5" s="227" t="str">
        <f>'Category wise'!B50</f>
        <v>Sub-total (2)</v>
      </c>
      <c r="E5" s="230">
        <f>'Category wise'!C50</f>
        <v>73800000</v>
      </c>
      <c r="F5" s="230">
        <f>'Category wise'!D50</f>
        <v>9974000</v>
      </c>
      <c r="G5" s="230">
        <f>'Category wise'!E50</f>
        <v>264341400</v>
      </c>
      <c r="H5" s="230">
        <f>'Category wise'!F50</f>
        <v>0</v>
      </c>
      <c r="I5" s="230">
        <f>'Category wise'!G50</f>
        <v>4140000</v>
      </c>
      <c r="J5" s="231">
        <f>'Category wise'!H50</f>
        <v>352255400</v>
      </c>
    </row>
    <row r="6" spans="3:10" ht="30" customHeight="1" x14ac:dyDescent="0.25">
      <c r="C6" s="227">
        <f>'Category wise'!A69</f>
        <v>3</v>
      </c>
      <c r="D6" s="227" t="str">
        <f>'Category wise'!B69</f>
        <v>Sub-total (3)</v>
      </c>
      <c r="E6" s="230">
        <f>'Category wise'!C69</f>
        <v>42848000</v>
      </c>
      <c r="F6" s="230">
        <f>'Category wise'!D69</f>
        <v>0</v>
      </c>
      <c r="G6" s="230">
        <f>'Category wise'!E69</f>
        <v>89885000</v>
      </c>
      <c r="H6" s="230">
        <f>'Category wise'!F69</f>
        <v>0</v>
      </c>
      <c r="I6" s="230">
        <f>'Category wise'!G69</f>
        <v>0</v>
      </c>
      <c r="J6" s="231">
        <f>'Category wise'!H69</f>
        <v>132733000</v>
      </c>
    </row>
    <row r="7" spans="3:10" ht="30" customHeight="1" x14ac:dyDescent="0.25">
      <c r="C7" s="227">
        <f>'Category wise'!A73</f>
        <v>4</v>
      </c>
      <c r="D7" s="227" t="str">
        <f>'Category wise'!B73</f>
        <v>Sub-total (4)</v>
      </c>
      <c r="E7" s="230">
        <f>'Category wise'!C73</f>
        <v>0</v>
      </c>
      <c r="F7" s="230">
        <f>'Category wise'!D73</f>
        <v>6840000</v>
      </c>
      <c r="G7" s="230">
        <f>'Category wise'!E73</f>
        <v>34950000</v>
      </c>
      <c r="H7" s="230">
        <f>'Category wise'!F73</f>
        <v>0</v>
      </c>
      <c r="I7" s="230">
        <f>'Category wise'!G73</f>
        <v>125834000</v>
      </c>
      <c r="J7" s="231">
        <f>'Category wise'!H73</f>
        <v>167624000</v>
      </c>
    </row>
    <row r="8" spans="3:10" ht="30" customHeight="1" x14ac:dyDescent="0.25">
      <c r="C8" s="227"/>
      <c r="D8" s="227"/>
      <c r="E8" s="230"/>
      <c r="F8" s="230"/>
      <c r="G8" s="230"/>
      <c r="H8" s="230"/>
      <c r="I8" s="230"/>
      <c r="J8" s="231"/>
    </row>
    <row r="9" spans="3:10" ht="30" customHeight="1" x14ac:dyDescent="0.25">
      <c r="C9" s="227"/>
      <c r="D9" s="228" t="s">
        <v>1136</v>
      </c>
      <c r="E9" s="231">
        <f>SUM(E4:E7)</f>
        <v>116648000</v>
      </c>
      <c r="F9" s="231">
        <f t="shared" ref="F9:J9" si="0">SUM(F4:F7)</f>
        <v>137090135</v>
      </c>
      <c r="G9" s="231">
        <f t="shared" si="0"/>
        <v>533274400</v>
      </c>
      <c r="H9" s="231">
        <f t="shared" si="0"/>
        <v>0</v>
      </c>
      <c r="I9" s="231">
        <f t="shared" si="0"/>
        <v>133286000</v>
      </c>
      <c r="J9" s="231">
        <f t="shared" si="0"/>
        <v>920298535</v>
      </c>
    </row>
  </sheetData>
  <mergeCells count="1">
    <mergeCell ref="C2:J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3"/>
  <sheetViews>
    <sheetView topLeftCell="A7" workbookViewId="0">
      <selection activeCell="D31" sqref="D31"/>
    </sheetView>
  </sheetViews>
  <sheetFormatPr defaultRowHeight="15" x14ac:dyDescent="0.25"/>
  <cols>
    <col min="1" max="1" width="6.7109375" bestFit="1" customWidth="1"/>
    <col min="2" max="2" width="35.85546875" customWidth="1"/>
    <col min="3" max="3" width="11" bestFit="1" customWidth="1"/>
    <col min="4" max="7" width="15.28515625" bestFit="1" customWidth="1"/>
    <col min="8" max="8" width="16.85546875" bestFit="1" customWidth="1"/>
    <col min="10" max="10" width="15" bestFit="1" customWidth="1"/>
  </cols>
  <sheetData>
    <row r="2" spans="1:10" ht="15.75" x14ac:dyDescent="0.25">
      <c r="B2" s="759" t="s">
        <v>1190</v>
      </c>
      <c r="C2" s="759"/>
      <c r="D2" s="759"/>
      <c r="E2" s="759"/>
      <c r="F2" s="759"/>
      <c r="G2" s="759"/>
      <c r="H2" s="759"/>
    </row>
    <row r="3" spans="1:10" x14ac:dyDescent="0.25">
      <c r="A3" s="227" t="str">
        <f>'Component wise'!B3</f>
        <v>Sl. No.</v>
      </c>
      <c r="B3" s="227" t="str">
        <f>'Component wise'!C3</f>
        <v>Component</v>
      </c>
      <c r="C3" s="227" t="str">
        <f>'Component wise'!D3</f>
        <v xml:space="preserve"> Budget</v>
      </c>
      <c r="D3" s="227"/>
      <c r="E3" s="227"/>
      <c r="F3" s="227"/>
      <c r="G3" s="227"/>
      <c r="H3" s="227"/>
      <c r="J3" t="s">
        <v>1224</v>
      </c>
    </row>
    <row r="4" spans="1:10" x14ac:dyDescent="0.25">
      <c r="A4" s="227">
        <f>'Component wise'!B4</f>
        <v>1</v>
      </c>
      <c r="B4" s="227" t="str">
        <f>'Component wise'!C4</f>
        <v>Community Empowerment</v>
      </c>
      <c r="C4" s="227"/>
      <c r="D4" s="247" t="s">
        <v>7</v>
      </c>
      <c r="E4" s="247" t="s">
        <v>8</v>
      </c>
      <c r="F4" s="247" t="s">
        <v>9</v>
      </c>
      <c r="G4" s="247" t="s">
        <v>10</v>
      </c>
      <c r="H4" s="247" t="s">
        <v>17</v>
      </c>
    </row>
    <row r="5" spans="1:10" x14ac:dyDescent="0.25">
      <c r="A5" s="227">
        <f>'Component wise'!B5</f>
        <v>1.1000000000000001</v>
      </c>
      <c r="B5" s="227" t="str">
        <f>'Component wise'!C5</f>
        <v>Community Institutions Development</v>
      </c>
      <c r="C5" s="227">
        <f>'Component wise'!D5</f>
        <v>246062310</v>
      </c>
      <c r="D5" s="248">
        <f>'1.1'!W56</f>
        <v>81712944</v>
      </c>
      <c r="E5" s="248">
        <f>'1.1'!X56</f>
        <v>55831294</v>
      </c>
      <c r="F5" s="248">
        <f>'1.1'!Y56</f>
        <v>45337761</v>
      </c>
      <c r="G5" s="248">
        <f>'1.1'!Z56</f>
        <v>63180311</v>
      </c>
      <c r="H5" s="248">
        <f>SUM(D5:G5)</f>
        <v>246062310</v>
      </c>
      <c r="J5" s="131">
        <f>C5-H5</f>
        <v>0</v>
      </c>
    </row>
    <row r="6" spans="1:10" x14ac:dyDescent="0.25">
      <c r="A6" s="227">
        <f>'Component wise'!B6</f>
        <v>1.2</v>
      </c>
      <c r="B6" s="227" t="str">
        <f>'Component wise'!C6</f>
        <v>Stregthening SHGs and Rural Finance</v>
      </c>
      <c r="C6" s="227">
        <f>'Component wise'!D6</f>
        <v>19415825</v>
      </c>
      <c r="D6" s="248">
        <f>'1.2'!U66</f>
        <v>6534831.25</v>
      </c>
      <c r="E6" s="248">
        <f>'1.2'!V66</f>
        <v>6053581.25</v>
      </c>
      <c r="F6" s="248">
        <f>'1.2'!W66</f>
        <v>3838331.25</v>
      </c>
      <c r="G6" s="248">
        <f>'1.2'!X66</f>
        <v>2989081.25</v>
      </c>
      <c r="H6" s="248">
        <f t="shared" ref="H6:H23" si="0">SUM(D6:G6)</f>
        <v>19415825</v>
      </c>
      <c r="J6" s="131">
        <f t="shared" ref="J6:J23" si="1">C6-H6</f>
        <v>0</v>
      </c>
    </row>
    <row r="7" spans="1:10" s="225" customFormat="1" x14ac:dyDescent="0.25">
      <c r="A7" s="228">
        <f>'Component wise'!B7</f>
        <v>0</v>
      </c>
      <c r="B7" s="228" t="str">
        <f>'Component wise'!C7</f>
        <v>Sub Total</v>
      </c>
      <c r="C7" s="228">
        <f>'Component wise'!D7</f>
        <v>265478135</v>
      </c>
      <c r="D7" s="249">
        <f>SUM(D5:D6)</f>
        <v>88247775.25</v>
      </c>
      <c r="E7" s="249">
        <f t="shared" ref="E7" si="2">SUM(E5:E6)</f>
        <v>61884875.25</v>
      </c>
      <c r="F7" s="249">
        <f t="shared" ref="F7" si="3">SUM(F5:F6)</f>
        <v>49176092.25</v>
      </c>
      <c r="G7" s="249">
        <f t="shared" ref="G7" si="4">SUM(G5:G6)</f>
        <v>66169392.25</v>
      </c>
      <c r="H7" s="249">
        <f t="shared" si="0"/>
        <v>265478135</v>
      </c>
      <c r="J7" s="131">
        <f t="shared" si="1"/>
        <v>0</v>
      </c>
    </row>
    <row r="8" spans="1:10" x14ac:dyDescent="0.25">
      <c r="A8" s="227">
        <f>'Component wise'!B8</f>
        <v>2</v>
      </c>
      <c r="B8" s="227" t="str">
        <f>'Component wise'!C8</f>
        <v>Natural Resources Management and Livelihoods Improvement</v>
      </c>
      <c r="C8" s="227"/>
      <c r="D8" s="248"/>
      <c r="E8" s="248"/>
      <c r="F8" s="248"/>
      <c r="G8" s="248"/>
      <c r="H8" s="248"/>
      <c r="J8" s="131">
        <f t="shared" si="1"/>
        <v>0</v>
      </c>
    </row>
    <row r="9" spans="1:10" x14ac:dyDescent="0.25">
      <c r="A9" s="227">
        <f>'Component wise'!B9</f>
        <v>2.1</v>
      </c>
      <c r="B9" s="227" t="str">
        <f>'Component wise'!C9</f>
        <v xml:space="preserve"> Natural Resource Management</v>
      </c>
      <c r="C9" s="227">
        <f>'Component wise'!D9</f>
        <v>221262800</v>
      </c>
      <c r="D9" s="248">
        <f>'2.1'!V108</f>
        <v>80327975</v>
      </c>
      <c r="E9" s="248">
        <f>'2.1'!W108</f>
        <v>92630375</v>
      </c>
      <c r="F9" s="248">
        <f>'2.1'!X108</f>
        <v>31006125</v>
      </c>
      <c r="G9" s="248">
        <f>'2.1'!Y108</f>
        <v>17298325</v>
      </c>
      <c r="H9" s="248">
        <f t="shared" si="0"/>
        <v>221262800</v>
      </c>
      <c r="J9" s="131">
        <f t="shared" si="1"/>
        <v>0</v>
      </c>
    </row>
    <row r="10" spans="1:10" x14ac:dyDescent="0.25">
      <c r="A10" s="227">
        <f>'Component wise'!B10</f>
        <v>2.2000000000000002</v>
      </c>
      <c r="B10" s="227" t="str">
        <f>'Component wise'!C10</f>
        <v>Food &amp; Nutrition Security</v>
      </c>
      <c r="C10" s="227">
        <f>'Component wise'!D10</f>
        <v>44856250</v>
      </c>
      <c r="D10" s="248">
        <f>'2.2'!W92</f>
        <v>16500937.5</v>
      </c>
      <c r="E10" s="248">
        <f>'2.2'!X92</f>
        <v>19391125</v>
      </c>
      <c r="F10" s="248">
        <f>'2.2'!Y92</f>
        <v>8964187.5</v>
      </c>
      <c r="G10" s="248">
        <f>'2.2'!Z92</f>
        <v>0</v>
      </c>
      <c r="H10" s="248">
        <f t="shared" si="0"/>
        <v>44856250</v>
      </c>
      <c r="J10" s="131">
        <f t="shared" si="1"/>
        <v>0</v>
      </c>
    </row>
    <row r="11" spans="1:10" x14ac:dyDescent="0.25">
      <c r="A11" s="227">
        <f>'Component wise'!B11</f>
        <v>2.2999999999999998</v>
      </c>
      <c r="B11" s="227" t="str">
        <f>'Component wise'!C11</f>
        <v>Livelihoods Improvement</v>
      </c>
      <c r="C11" s="227">
        <f>'Component wise'!D11</f>
        <v>307958150</v>
      </c>
      <c r="D11" s="248">
        <f>'2.3'!W72</f>
        <v>26384000</v>
      </c>
      <c r="E11" s="248">
        <f>'2.3'!X72</f>
        <v>170686205</v>
      </c>
      <c r="F11" s="248">
        <f>'2.3'!Y72</f>
        <v>99387945</v>
      </c>
      <c r="G11" s="248">
        <f>'2.3'!Z72</f>
        <v>11500000</v>
      </c>
      <c r="H11" s="248">
        <f t="shared" si="0"/>
        <v>307958150</v>
      </c>
      <c r="J11" s="131">
        <f t="shared" si="1"/>
        <v>0</v>
      </c>
    </row>
    <row r="12" spans="1:10" s="225" customFormat="1" x14ac:dyDescent="0.25">
      <c r="A12" s="228">
        <f>'Component wise'!B12</f>
        <v>0</v>
      </c>
      <c r="B12" s="228" t="str">
        <f>'Component wise'!C12</f>
        <v>Sub Total</v>
      </c>
      <c r="C12" s="228">
        <f>'Component wise'!D12</f>
        <v>574077200</v>
      </c>
      <c r="D12" s="249">
        <f>SUM(D9:D11)</f>
        <v>123212912.5</v>
      </c>
      <c r="E12" s="249">
        <f t="shared" ref="E12:G12" si="5">SUM(E9:E11)</f>
        <v>282707705</v>
      </c>
      <c r="F12" s="249">
        <f t="shared" si="5"/>
        <v>139358257.5</v>
      </c>
      <c r="G12" s="249">
        <f t="shared" si="5"/>
        <v>28798325</v>
      </c>
      <c r="H12" s="249">
        <f t="shared" si="0"/>
        <v>574077200</v>
      </c>
      <c r="J12" s="131">
        <f t="shared" si="1"/>
        <v>0</v>
      </c>
    </row>
    <row r="13" spans="1:10" x14ac:dyDescent="0.25">
      <c r="A13" s="227">
        <f>'Component wise'!B13</f>
        <v>3</v>
      </c>
      <c r="B13" s="227" t="str">
        <f>'Component wise'!C13</f>
        <v>Community Infrastructure and Drudgery reduction.</v>
      </c>
      <c r="C13" s="227"/>
      <c r="D13" s="248"/>
      <c r="E13" s="248"/>
      <c r="F13" s="248"/>
      <c r="G13" s="248"/>
      <c r="H13" s="248"/>
      <c r="J13" s="131">
        <f t="shared" si="1"/>
        <v>0</v>
      </c>
    </row>
    <row r="14" spans="1:10" x14ac:dyDescent="0.25">
      <c r="A14" s="227">
        <f>'Component wise'!B14</f>
        <v>3.1</v>
      </c>
      <c r="B14" s="227" t="str">
        <f>'Component wise'!C14</f>
        <v>Community Infrastructure</v>
      </c>
      <c r="C14" s="227">
        <f>'Component wise'!D14</f>
        <v>62380000</v>
      </c>
      <c r="D14" s="248">
        <f>'3.1'!X56</f>
        <v>45552000</v>
      </c>
      <c r="E14" s="248">
        <f>'3.1'!Y56</f>
        <v>5732000</v>
      </c>
      <c r="F14" s="248">
        <f>'3.1'!Z56</f>
        <v>10888000</v>
      </c>
      <c r="G14" s="248">
        <f>'3.1'!AA56</f>
        <v>208000</v>
      </c>
      <c r="H14" s="248">
        <f t="shared" si="0"/>
        <v>62380000</v>
      </c>
      <c r="J14" s="131">
        <f t="shared" si="1"/>
        <v>0</v>
      </c>
    </row>
    <row r="15" spans="1:10" x14ac:dyDescent="0.25">
      <c r="A15" s="227">
        <f>'Component wise'!B15</f>
        <v>3.2</v>
      </c>
      <c r="B15" s="227" t="str">
        <f>'Component wise'!C15</f>
        <v>Drudgery Reduction</v>
      </c>
      <c r="C15" s="227">
        <f>'Component wise'!D15</f>
        <v>78405000</v>
      </c>
      <c r="D15" s="248">
        <f>'3.2'!V46</f>
        <v>28742000</v>
      </c>
      <c r="E15" s="248">
        <f>'3.2'!W46</f>
        <v>29377000</v>
      </c>
      <c r="F15" s="248">
        <f>'3.2'!X46</f>
        <v>17050000</v>
      </c>
      <c r="G15" s="248">
        <f>'3.2'!Y46</f>
        <v>3236000</v>
      </c>
      <c r="H15" s="248">
        <f t="shared" si="0"/>
        <v>78405000</v>
      </c>
      <c r="J15" s="131">
        <f t="shared" si="1"/>
        <v>0</v>
      </c>
    </row>
    <row r="16" spans="1:10" s="225" customFormat="1" x14ac:dyDescent="0.25">
      <c r="A16" s="228">
        <f>'Component wise'!B16</f>
        <v>0</v>
      </c>
      <c r="B16" s="228" t="str">
        <f>'Component wise'!C16</f>
        <v>Sub Total</v>
      </c>
      <c r="C16" s="228">
        <f>'Component wise'!D16</f>
        <v>140785000</v>
      </c>
      <c r="D16" s="249">
        <f>SUM(D14:D15)</f>
        <v>74294000</v>
      </c>
      <c r="E16" s="249">
        <f t="shared" ref="E16:G16" si="6">SUM(E14:E15)</f>
        <v>35109000</v>
      </c>
      <c r="F16" s="249">
        <f t="shared" si="6"/>
        <v>27938000</v>
      </c>
      <c r="G16" s="249">
        <f t="shared" si="6"/>
        <v>3444000</v>
      </c>
      <c r="H16" s="249">
        <f t="shared" si="0"/>
        <v>140785000</v>
      </c>
      <c r="J16" s="131">
        <f t="shared" si="1"/>
        <v>0</v>
      </c>
    </row>
    <row r="17" spans="1:10" x14ac:dyDescent="0.25">
      <c r="A17" s="227">
        <f>'Component wise'!B17</f>
        <v>4</v>
      </c>
      <c r="B17" s="227" t="str">
        <f>'Component wise'!C17</f>
        <v>Programme Management</v>
      </c>
      <c r="C17" s="227"/>
      <c r="D17" s="248"/>
      <c r="E17" s="248"/>
      <c r="F17" s="248"/>
      <c r="G17" s="248"/>
      <c r="H17" s="248"/>
      <c r="J17" s="131">
        <f t="shared" si="1"/>
        <v>0</v>
      </c>
    </row>
    <row r="18" spans="1:10" x14ac:dyDescent="0.25">
      <c r="A18" s="227">
        <f>'Component wise'!B18</f>
        <v>4.0999999999999996</v>
      </c>
      <c r="B18" s="227" t="str">
        <f>'Component wise'!C18</f>
        <v>Programme Management Unit</v>
      </c>
      <c r="C18" s="227">
        <f>'Component wise'!D18</f>
        <v>86675000</v>
      </c>
      <c r="D18" s="248">
        <f>'4.1 '!V89</f>
        <v>21263750</v>
      </c>
      <c r="E18" s="248">
        <f>'4.1 '!W89</f>
        <v>26033750</v>
      </c>
      <c r="F18" s="248">
        <f>'4.1 '!X89</f>
        <v>22313750</v>
      </c>
      <c r="G18" s="248">
        <f>'4.1 '!Y89</f>
        <v>17063750</v>
      </c>
      <c r="H18" s="248">
        <f t="shared" si="0"/>
        <v>86675000</v>
      </c>
      <c r="J18" s="131">
        <f t="shared" si="1"/>
        <v>0</v>
      </c>
    </row>
    <row r="19" spans="1:10" x14ac:dyDescent="0.25">
      <c r="A19" s="227">
        <f>'Component wise'!B19</f>
        <v>4.2</v>
      </c>
      <c r="B19" s="227" t="str">
        <f>'Component wise'!C19</f>
        <v>Micro Project Agency Unit</v>
      </c>
      <c r="C19" s="227">
        <f>'Component wise'!D19</f>
        <v>74709000</v>
      </c>
      <c r="D19" s="248">
        <f>'4.2'!V56</f>
        <v>18602250</v>
      </c>
      <c r="E19" s="248">
        <f>'4.2'!W56</f>
        <v>19012250</v>
      </c>
      <c r="F19" s="248">
        <f>'4.2'!X56</f>
        <v>18562250</v>
      </c>
      <c r="G19" s="248">
        <f>'4.2'!Y56</f>
        <v>18532250</v>
      </c>
      <c r="H19" s="248">
        <f t="shared" si="0"/>
        <v>74709000</v>
      </c>
      <c r="J19" s="131">
        <f t="shared" si="1"/>
        <v>0</v>
      </c>
    </row>
    <row r="20" spans="1:10" x14ac:dyDescent="0.25">
      <c r="A20" s="227">
        <f>'Component wise'!B20</f>
        <v>4.3</v>
      </c>
      <c r="B20" s="227" t="str">
        <f>'Component wise'!C20</f>
        <v>Monitoring, Evaluation and KM</v>
      </c>
      <c r="C20" s="227">
        <f>'Component wise'!D20</f>
        <v>6240000</v>
      </c>
      <c r="D20" s="248">
        <f>'4.3 '!W35</f>
        <v>1335000</v>
      </c>
      <c r="E20" s="248">
        <f>'4.3 '!X35</f>
        <v>2735000</v>
      </c>
      <c r="F20" s="248">
        <f>'4.3 '!Y35</f>
        <v>2085000</v>
      </c>
      <c r="G20" s="248">
        <f>'4.3 '!Z35</f>
        <v>85000</v>
      </c>
      <c r="H20" s="248">
        <f t="shared" si="0"/>
        <v>6240000</v>
      </c>
      <c r="J20" s="131">
        <f t="shared" si="1"/>
        <v>0</v>
      </c>
    </row>
    <row r="21" spans="1:10" s="225" customFormat="1" x14ac:dyDescent="0.25">
      <c r="A21" s="228"/>
      <c r="B21" s="228" t="str">
        <f>'Component wise'!C21</f>
        <v>Sub Total</v>
      </c>
      <c r="C21" s="228">
        <f>'Component wise'!D21</f>
        <v>167624000</v>
      </c>
      <c r="D21" s="249">
        <f>SUM(D18:D20)</f>
        <v>41201000</v>
      </c>
      <c r="E21" s="249">
        <f t="shared" ref="E21:G21" si="7">SUM(E18:E20)</f>
        <v>47781000</v>
      </c>
      <c r="F21" s="249">
        <f t="shared" si="7"/>
        <v>42961000</v>
      </c>
      <c r="G21" s="249">
        <f t="shared" si="7"/>
        <v>35681000</v>
      </c>
      <c r="H21" s="249">
        <f t="shared" si="0"/>
        <v>167624000</v>
      </c>
      <c r="J21" s="131">
        <f t="shared" si="1"/>
        <v>0</v>
      </c>
    </row>
    <row r="22" spans="1:10" x14ac:dyDescent="0.25">
      <c r="A22" s="227"/>
      <c r="B22" s="227"/>
      <c r="C22" s="227"/>
      <c r="D22" s="248"/>
      <c r="E22" s="248"/>
      <c r="F22" s="248"/>
      <c r="G22" s="248"/>
      <c r="H22" s="248"/>
      <c r="J22" s="131">
        <f t="shared" si="1"/>
        <v>0</v>
      </c>
    </row>
    <row r="23" spans="1:10" s="225" customFormat="1" x14ac:dyDescent="0.25">
      <c r="A23" s="228"/>
      <c r="B23" s="228" t="str">
        <f>'Component wise'!C23</f>
        <v>GRAND TOTAL</v>
      </c>
      <c r="C23" s="228">
        <f>'Component wise'!D23</f>
        <v>1147964335</v>
      </c>
      <c r="D23" s="249">
        <f>D21+D16+D12+D7</f>
        <v>326955687.75</v>
      </c>
      <c r="E23" s="249">
        <f t="shared" ref="E23:G23" si="8">E21+E16+E12+E7</f>
        <v>427482580.25</v>
      </c>
      <c r="F23" s="249">
        <f t="shared" si="8"/>
        <v>259433349.75</v>
      </c>
      <c r="G23" s="249">
        <f t="shared" si="8"/>
        <v>134092717.25</v>
      </c>
      <c r="H23" s="249">
        <f t="shared" si="0"/>
        <v>1147964335</v>
      </c>
      <c r="J23" s="131">
        <f t="shared" si="1"/>
        <v>0</v>
      </c>
    </row>
  </sheetData>
  <mergeCells count="1">
    <mergeCell ref="B2:H2"/>
  </mergeCells>
  <phoneticPr fontId="28" type="noConversion"/>
  <pageMargins left="0" right="0" top="0.75" bottom="0.75" header="0.3" footer="0.3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Q51"/>
  <sheetViews>
    <sheetView view="pageBreakPreview" zoomScale="60" zoomScaleNormal="91" workbookViewId="0">
      <pane xSplit="4" ySplit="9" topLeftCell="E25" activePane="bottomRight" state="frozen"/>
      <selection pane="topRight" activeCell="E1" sqref="E1"/>
      <selection pane="bottomLeft" activeCell="A10" sqref="A10"/>
      <selection pane="bottomRight" activeCell="G57" sqref="G57"/>
    </sheetView>
  </sheetViews>
  <sheetFormatPr defaultColWidth="8.7109375" defaultRowHeight="18.75" x14ac:dyDescent="0.3"/>
  <cols>
    <col min="1" max="1" width="5.7109375" style="64" customWidth="1"/>
    <col min="2" max="2" width="9.5703125" style="64" customWidth="1"/>
    <col min="3" max="3" width="38" style="64" customWidth="1"/>
    <col min="4" max="4" width="23.140625" style="64" customWidth="1"/>
    <col min="5" max="5" width="20" style="64" customWidth="1"/>
    <col min="6" max="6" width="23.42578125" style="64" customWidth="1"/>
    <col min="7" max="7" width="21.28515625" style="64" bestFit="1" customWidth="1"/>
    <col min="8" max="8" width="22" style="64" bestFit="1" customWidth="1"/>
    <col min="9" max="9" width="23.5703125" style="64" customWidth="1"/>
    <col min="10" max="10" width="23.85546875" style="64" customWidth="1"/>
    <col min="11" max="11" width="19.42578125" style="64" bestFit="1" customWidth="1"/>
    <col min="12" max="12" width="8.85546875" style="64" customWidth="1"/>
    <col min="13" max="13" width="21.28515625" style="64" customWidth="1"/>
    <col min="14" max="14" width="18" style="64" bestFit="1" customWidth="1"/>
    <col min="15" max="15" width="27.42578125" style="64" customWidth="1"/>
    <col min="16" max="16" width="22" style="64" bestFit="1" customWidth="1"/>
    <col min="17" max="17" width="38.42578125" style="64" customWidth="1"/>
    <col min="18" max="16384" width="8.7109375" style="64"/>
  </cols>
  <sheetData>
    <row r="1" spans="1:17" ht="13.5" customHeight="1" x14ac:dyDescent="0.3">
      <c r="A1" s="764"/>
      <c r="B1" s="764"/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764"/>
      <c r="N1" s="764"/>
      <c r="O1" s="764"/>
    </row>
    <row r="2" spans="1:17" x14ac:dyDescent="0.3">
      <c r="A2" s="764" t="s">
        <v>153</v>
      </c>
      <c r="B2" s="764"/>
      <c r="C2" s="764"/>
      <c r="D2" s="764"/>
      <c r="E2" s="764"/>
      <c r="F2" s="764"/>
      <c r="G2" s="764"/>
      <c r="H2" s="764"/>
      <c r="I2" s="764"/>
      <c r="J2" s="764"/>
      <c r="K2" s="764"/>
      <c r="L2" s="764"/>
      <c r="M2" s="764"/>
      <c r="N2" s="764"/>
      <c r="O2" s="764"/>
    </row>
    <row r="3" spans="1:17" x14ac:dyDescent="0.3">
      <c r="A3" s="764" t="s">
        <v>1191</v>
      </c>
      <c r="B3" s="764"/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</row>
    <row r="4" spans="1:17" x14ac:dyDescent="0.3">
      <c r="A4" s="765" t="s">
        <v>5</v>
      </c>
      <c r="B4" s="765"/>
      <c r="C4" s="765"/>
      <c r="D4" s="765"/>
      <c r="E4" s="765"/>
      <c r="F4" s="765"/>
      <c r="G4" s="765"/>
      <c r="H4" s="765"/>
      <c r="I4" s="765"/>
      <c r="J4" s="765"/>
      <c r="K4" s="765"/>
      <c r="L4" s="765"/>
      <c r="M4" s="765"/>
      <c r="N4" s="765"/>
      <c r="O4" s="765"/>
    </row>
    <row r="5" spans="1:17" ht="7.5" customHeight="1" x14ac:dyDescent="0.3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6"/>
      <c r="M5" s="65"/>
      <c r="N5" s="66"/>
      <c r="O5" s="65"/>
    </row>
    <row r="6" spans="1:17" s="67" customFormat="1" ht="22.9" customHeight="1" x14ac:dyDescent="0.25">
      <c r="A6" s="771" t="s">
        <v>58</v>
      </c>
      <c r="B6" s="771" t="s">
        <v>56</v>
      </c>
      <c r="C6" s="773" t="s">
        <v>13</v>
      </c>
      <c r="D6" s="771" t="s">
        <v>1192</v>
      </c>
      <c r="E6" s="100" t="s">
        <v>208</v>
      </c>
      <c r="F6" s="101"/>
      <c r="G6" s="101"/>
      <c r="H6" s="101"/>
      <c r="I6" s="101"/>
      <c r="J6" s="101"/>
      <c r="K6" s="101"/>
      <c r="L6" s="101"/>
      <c r="M6" s="101"/>
      <c r="N6" s="101"/>
      <c r="O6" s="102"/>
    </row>
    <row r="7" spans="1:17" s="67" customFormat="1" ht="33.75" customHeight="1" x14ac:dyDescent="0.3">
      <c r="A7" s="772"/>
      <c r="B7" s="772"/>
      <c r="C7" s="774"/>
      <c r="D7" s="772"/>
      <c r="E7" s="68" t="s">
        <v>199</v>
      </c>
      <c r="F7" s="68" t="s">
        <v>200</v>
      </c>
      <c r="G7" s="68" t="s">
        <v>201</v>
      </c>
      <c r="H7" s="68" t="s">
        <v>202</v>
      </c>
      <c r="I7" s="68" t="s">
        <v>203</v>
      </c>
      <c r="J7" s="68" t="s">
        <v>204</v>
      </c>
      <c r="K7" s="68" t="s">
        <v>889</v>
      </c>
      <c r="L7" s="68" t="s">
        <v>205</v>
      </c>
      <c r="M7" s="68" t="s">
        <v>206</v>
      </c>
      <c r="N7" s="68" t="s">
        <v>740</v>
      </c>
      <c r="O7" s="69" t="s">
        <v>37</v>
      </c>
      <c r="P7" s="67" t="str">
        <f>'Component wise'!D3</f>
        <v xml:space="preserve"> Budget</v>
      </c>
    </row>
    <row r="8" spans="1:17" ht="9.75" customHeight="1" x14ac:dyDescent="0.3">
      <c r="A8" s="766"/>
      <c r="B8" s="767"/>
      <c r="C8" s="767"/>
      <c r="D8" s="70"/>
      <c r="E8" s="70"/>
      <c r="F8" s="70"/>
      <c r="G8" s="70"/>
      <c r="H8" s="70"/>
      <c r="I8" s="70"/>
      <c r="J8" s="70"/>
      <c r="K8" s="70"/>
      <c r="L8" s="65"/>
      <c r="M8" s="65"/>
      <c r="N8" s="65"/>
      <c r="O8" s="65"/>
    </row>
    <row r="9" spans="1:17" ht="18" customHeight="1" x14ac:dyDescent="0.3">
      <c r="A9" s="761">
        <v>1</v>
      </c>
      <c r="B9" s="71">
        <v>10000</v>
      </c>
      <c r="C9" s="72" t="s">
        <v>0</v>
      </c>
      <c r="D9" s="73"/>
      <c r="E9" s="73"/>
      <c r="F9" s="73"/>
      <c r="G9" s="73"/>
      <c r="H9" s="73"/>
      <c r="I9" s="73"/>
      <c r="J9" s="73"/>
      <c r="K9" s="73"/>
      <c r="L9" s="74"/>
      <c r="M9" s="74"/>
      <c r="N9" s="74"/>
      <c r="O9" s="74"/>
      <c r="Q9" s="64" t="s">
        <v>878</v>
      </c>
    </row>
    <row r="10" spans="1:17" ht="37.5" x14ac:dyDescent="0.3">
      <c r="A10" s="762"/>
      <c r="B10" s="75">
        <v>11000</v>
      </c>
      <c r="C10" s="76" t="s">
        <v>63</v>
      </c>
      <c r="D10" s="77">
        <f>O10</f>
        <v>246062310</v>
      </c>
      <c r="E10" s="77">
        <f>'1.1'!I56</f>
        <v>74506062</v>
      </c>
      <c r="F10" s="77">
        <f>'1.1'!J56</f>
        <v>171556248</v>
      </c>
      <c r="G10" s="77">
        <f>'1.1'!K56</f>
        <v>0</v>
      </c>
      <c r="H10" s="77">
        <f>'1.1'!L56</f>
        <v>0</v>
      </c>
      <c r="I10" s="77">
        <f>'1.1'!M56</f>
        <v>0</v>
      </c>
      <c r="J10" s="77">
        <f>'1.1'!N56</f>
        <v>0</v>
      </c>
      <c r="K10" s="77">
        <f>'1.1'!O56</f>
        <v>0</v>
      </c>
      <c r="L10" s="77">
        <f>'1.1'!P56</f>
        <v>0</v>
      </c>
      <c r="M10" s="77">
        <f>'1.1'!Q56</f>
        <v>0</v>
      </c>
      <c r="N10" s="77">
        <f>'1.1'!R56</f>
        <v>0</v>
      </c>
      <c r="O10" s="78">
        <f>SUM(E10:N10)</f>
        <v>246062310</v>
      </c>
      <c r="P10" s="90">
        <f>'Component wise'!D5</f>
        <v>246062310</v>
      </c>
      <c r="Q10" s="90">
        <f>O10-P10</f>
        <v>0</v>
      </c>
    </row>
    <row r="11" spans="1:17" ht="30.75" customHeight="1" x14ac:dyDescent="0.3">
      <c r="A11" s="762"/>
      <c r="B11" s="75">
        <v>12000</v>
      </c>
      <c r="C11" s="76" t="s">
        <v>68</v>
      </c>
      <c r="D11" s="77">
        <f>O11</f>
        <v>19415825</v>
      </c>
      <c r="E11" s="77">
        <f>'1.2'!G66</f>
        <v>2243165</v>
      </c>
      <c r="F11" s="77">
        <f>'1.2'!H66</f>
        <v>17172660</v>
      </c>
      <c r="G11" s="77">
        <f>'1.2'!I66</f>
        <v>0</v>
      </c>
      <c r="H11" s="77">
        <f>'1.2'!J66</f>
        <v>0</v>
      </c>
      <c r="I11" s="77">
        <f>'1.2'!K66</f>
        <v>0</v>
      </c>
      <c r="J11" s="77">
        <f>'1.2'!L66</f>
        <v>0</v>
      </c>
      <c r="K11" s="77">
        <f>'1.2'!M66</f>
        <v>0</v>
      </c>
      <c r="L11" s="77">
        <f>'1.2'!N66</f>
        <v>0</v>
      </c>
      <c r="M11" s="77">
        <f>'1.2'!O66</f>
        <v>0</v>
      </c>
      <c r="N11" s="77">
        <f>'1.2'!P66</f>
        <v>0</v>
      </c>
      <c r="O11" s="78">
        <f>SUM(E11:N11)</f>
        <v>19415825</v>
      </c>
      <c r="P11" s="90">
        <f>'Component wise'!D6</f>
        <v>19415825</v>
      </c>
      <c r="Q11" s="90">
        <f t="shared" ref="Q11:Q12" si="0">O11-P11</f>
        <v>0</v>
      </c>
    </row>
    <row r="12" spans="1:17" ht="27.75" customHeight="1" x14ac:dyDescent="0.3">
      <c r="A12" s="763"/>
      <c r="B12" s="79"/>
      <c r="C12" s="80" t="s">
        <v>3</v>
      </c>
      <c r="D12" s="81">
        <f>O12</f>
        <v>265478135</v>
      </c>
      <c r="E12" s="82">
        <f>SUM(E10:E11)</f>
        <v>76749227</v>
      </c>
      <c r="F12" s="82">
        <f t="shared" ref="F12:O12" si="1">SUM(F10:F11)</f>
        <v>188728908</v>
      </c>
      <c r="G12" s="82">
        <f t="shared" si="1"/>
        <v>0</v>
      </c>
      <c r="H12" s="82">
        <f t="shared" si="1"/>
        <v>0</v>
      </c>
      <c r="I12" s="82">
        <f t="shared" si="1"/>
        <v>0</v>
      </c>
      <c r="J12" s="82">
        <f t="shared" si="1"/>
        <v>0</v>
      </c>
      <c r="K12" s="82">
        <f t="shared" si="1"/>
        <v>0</v>
      </c>
      <c r="L12" s="82">
        <f t="shared" si="1"/>
        <v>0</v>
      </c>
      <c r="M12" s="82">
        <f t="shared" si="1"/>
        <v>0</v>
      </c>
      <c r="N12" s="82">
        <f t="shared" si="1"/>
        <v>0</v>
      </c>
      <c r="O12" s="82">
        <f t="shared" si="1"/>
        <v>265478135</v>
      </c>
      <c r="P12" s="90">
        <f>SUM(P10:P11)</f>
        <v>265478135</v>
      </c>
      <c r="Q12" s="90">
        <f t="shared" si="0"/>
        <v>0</v>
      </c>
    </row>
    <row r="13" spans="1:17" x14ac:dyDescent="0.3">
      <c r="A13" s="65"/>
      <c r="B13" s="83"/>
      <c r="C13" s="84"/>
      <c r="D13" s="85"/>
      <c r="E13" s="85"/>
      <c r="F13" s="85"/>
      <c r="G13" s="85"/>
      <c r="H13" s="85"/>
      <c r="I13" s="85"/>
      <c r="J13" s="85"/>
      <c r="K13" s="85"/>
      <c r="L13" s="78"/>
      <c r="M13" s="78"/>
      <c r="N13" s="78"/>
      <c r="O13" s="78"/>
    </row>
    <row r="14" spans="1:17" x14ac:dyDescent="0.3">
      <c r="A14" s="761">
        <v>2</v>
      </c>
      <c r="B14" s="71">
        <v>20000</v>
      </c>
      <c r="C14" s="86" t="s">
        <v>89</v>
      </c>
      <c r="D14" s="87"/>
      <c r="E14" s="87"/>
      <c r="F14" s="87"/>
      <c r="G14" s="87"/>
      <c r="H14" s="87"/>
      <c r="I14" s="87"/>
      <c r="J14" s="87"/>
      <c r="K14" s="87"/>
      <c r="L14" s="78"/>
      <c r="M14" s="78"/>
      <c r="N14" s="78"/>
      <c r="O14" s="78"/>
    </row>
    <row r="15" spans="1:17" x14ac:dyDescent="0.3">
      <c r="A15" s="762"/>
      <c r="B15" s="88">
        <v>21000</v>
      </c>
      <c r="C15" s="89" t="s">
        <v>175</v>
      </c>
      <c r="D15" s="77">
        <f>O15</f>
        <v>221262800</v>
      </c>
      <c r="E15" s="77">
        <f>'2.1'!H108</f>
        <v>18385000</v>
      </c>
      <c r="F15" s="77">
        <f>'2.1'!I108</f>
        <v>80188800</v>
      </c>
      <c r="G15" s="77">
        <f>'2.1'!J108</f>
        <v>0</v>
      </c>
      <c r="H15" s="77">
        <f>'2.1'!K108</f>
        <v>0</v>
      </c>
      <c r="I15" s="77">
        <f>'2.1'!L108</f>
        <v>0</v>
      </c>
      <c r="J15" s="77">
        <f>'2.1'!M108</f>
        <v>120401800</v>
      </c>
      <c r="K15" s="77">
        <f>'2.1'!N108</f>
        <v>0</v>
      </c>
      <c r="L15" s="77">
        <f>'2.1'!O108</f>
        <v>0</v>
      </c>
      <c r="M15" s="77">
        <f>'2.1'!P108</f>
        <v>2287200</v>
      </c>
      <c r="N15" s="77">
        <f>'2.1'!Q108</f>
        <v>0</v>
      </c>
      <c r="O15" s="78">
        <f>SUM(E15:N15)</f>
        <v>221262800</v>
      </c>
      <c r="P15" s="90">
        <f>'Component wise'!D9</f>
        <v>221262800</v>
      </c>
      <c r="Q15" s="90">
        <f t="shared" ref="Q15:Q30" si="2">O15-P15</f>
        <v>0</v>
      </c>
    </row>
    <row r="16" spans="1:17" x14ac:dyDescent="0.3">
      <c r="A16" s="762"/>
      <c r="B16" s="88">
        <v>22000</v>
      </c>
      <c r="C16" s="89" t="s">
        <v>506</v>
      </c>
      <c r="D16" s="77">
        <f>O16</f>
        <v>44856250</v>
      </c>
      <c r="E16" s="77">
        <f>'2.2'!I92</f>
        <v>4400625</v>
      </c>
      <c r="F16" s="77">
        <f>'2.2'!J92</f>
        <v>35885000</v>
      </c>
      <c r="G16" s="77">
        <f>'2.2'!K92</f>
        <v>0</v>
      </c>
      <c r="H16" s="77">
        <f>'2.2'!L92</f>
        <v>0</v>
      </c>
      <c r="I16" s="77">
        <f>'2.2'!M92</f>
        <v>0</v>
      </c>
      <c r="J16" s="77">
        <f>'2.2'!N92</f>
        <v>0</v>
      </c>
      <c r="K16" s="77">
        <f>'2.2'!O92</f>
        <v>0</v>
      </c>
      <c r="L16" s="77">
        <f>'2.2'!P92</f>
        <v>0</v>
      </c>
      <c r="M16" s="77">
        <f>'2.2'!Q92</f>
        <v>4570625</v>
      </c>
      <c r="N16" s="77">
        <f>'2.2'!R92</f>
        <v>0</v>
      </c>
      <c r="O16" s="78">
        <f>SUM(E16:N16)</f>
        <v>44856250</v>
      </c>
      <c r="P16" s="90">
        <f>'Component wise'!D10</f>
        <v>44856250</v>
      </c>
      <c r="Q16" s="90">
        <f t="shared" si="2"/>
        <v>0</v>
      </c>
    </row>
    <row r="17" spans="1:17" x14ac:dyDescent="0.3">
      <c r="A17" s="762"/>
      <c r="B17" s="88">
        <v>23000</v>
      </c>
      <c r="C17" s="89" t="s">
        <v>505</v>
      </c>
      <c r="D17" s="77">
        <f>O17</f>
        <v>307958150</v>
      </c>
      <c r="E17" s="77">
        <f>'2.3'!I72</f>
        <v>18723315</v>
      </c>
      <c r="F17" s="77">
        <f>'2.3'!J72</f>
        <v>170406520</v>
      </c>
      <c r="G17" s="77">
        <f>'2.3'!K72</f>
        <v>0</v>
      </c>
      <c r="H17" s="77">
        <f>'2.3'!L72</f>
        <v>0</v>
      </c>
      <c r="I17" s="77">
        <f>'2.3'!M72</f>
        <v>0</v>
      </c>
      <c r="J17" s="77">
        <f>'2.3'!N72</f>
        <v>0</v>
      </c>
      <c r="K17" s="77">
        <f>'2.3'!O72</f>
        <v>102320000</v>
      </c>
      <c r="L17" s="77">
        <f>'2.3'!P72</f>
        <v>0</v>
      </c>
      <c r="M17" s="77">
        <f>'2.3'!Q72</f>
        <v>16508315</v>
      </c>
      <c r="N17" s="77">
        <f>'2.3'!R72</f>
        <v>0</v>
      </c>
      <c r="O17" s="78">
        <f>SUM(E17:N17)</f>
        <v>307958150</v>
      </c>
      <c r="P17" s="90">
        <f>'Component wise'!D11</f>
        <v>307958150</v>
      </c>
      <c r="Q17" s="90">
        <f t="shared" si="2"/>
        <v>0</v>
      </c>
    </row>
    <row r="18" spans="1:17" x14ac:dyDescent="0.3">
      <c r="A18" s="763"/>
      <c r="B18" s="79"/>
      <c r="C18" s="80" t="s">
        <v>3</v>
      </c>
      <c r="D18" s="81">
        <f>O18</f>
        <v>574077200</v>
      </c>
      <c r="E18" s="82">
        <f>SUM(E15:E17)</f>
        <v>41508940</v>
      </c>
      <c r="F18" s="82">
        <f t="shared" ref="F18:O18" si="3">SUM(F15:F17)</f>
        <v>286480320</v>
      </c>
      <c r="G18" s="82">
        <f t="shared" si="3"/>
        <v>0</v>
      </c>
      <c r="H18" s="82">
        <f t="shared" si="3"/>
        <v>0</v>
      </c>
      <c r="I18" s="82">
        <f t="shared" si="3"/>
        <v>0</v>
      </c>
      <c r="J18" s="82">
        <f t="shared" si="3"/>
        <v>120401800</v>
      </c>
      <c r="K18" s="82">
        <f t="shared" si="3"/>
        <v>102320000</v>
      </c>
      <c r="L18" s="82">
        <f t="shared" si="3"/>
        <v>0</v>
      </c>
      <c r="M18" s="82">
        <f t="shared" si="3"/>
        <v>23366140</v>
      </c>
      <c r="N18" s="82">
        <f t="shared" si="3"/>
        <v>0</v>
      </c>
      <c r="O18" s="82">
        <f t="shared" si="3"/>
        <v>574077200</v>
      </c>
      <c r="P18" s="90">
        <f>SUM(P15:P17)</f>
        <v>574077200</v>
      </c>
      <c r="Q18" s="90">
        <f t="shared" si="2"/>
        <v>0</v>
      </c>
    </row>
    <row r="19" spans="1:17" ht="13.5" customHeight="1" x14ac:dyDescent="0.3">
      <c r="A19" s="65"/>
      <c r="B19" s="83"/>
      <c r="C19" s="84"/>
      <c r="D19" s="85"/>
      <c r="E19" s="85"/>
      <c r="F19" s="85"/>
      <c r="G19" s="85"/>
      <c r="H19" s="85"/>
      <c r="I19" s="85"/>
      <c r="J19" s="85"/>
      <c r="K19" s="85"/>
      <c r="L19" s="78"/>
      <c r="M19" s="78"/>
      <c r="N19" s="78"/>
      <c r="O19" s="78"/>
      <c r="Q19" s="90">
        <f t="shared" si="2"/>
        <v>0</v>
      </c>
    </row>
    <row r="20" spans="1:17" ht="37.5" x14ac:dyDescent="0.3">
      <c r="A20" s="761">
        <v>3</v>
      </c>
      <c r="B20" s="71">
        <v>30000</v>
      </c>
      <c r="C20" s="72" t="s">
        <v>91</v>
      </c>
      <c r="D20" s="87"/>
      <c r="E20" s="87"/>
      <c r="F20" s="87"/>
      <c r="G20" s="87"/>
      <c r="H20" s="87"/>
      <c r="I20" s="87"/>
      <c r="J20" s="87"/>
      <c r="K20" s="87"/>
      <c r="L20" s="78"/>
      <c r="M20" s="78"/>
      <c r="N20" s="78"/>
      <c r="O20" s="78"/>
      <c r="Q20" s="90">
        <f t="shared" si="2"/>
        <v>0</v>
      </c>
    </row>
    <row r="21" spans="1:17" x14ac:dyDescent="0.3">
      <c r="A21" s="762"/>
      <c r="B21" s="88">
        <v>31000</v>
      </c>
      <c r="C21" s="89" t="s">
        <v>167</v>
      </c>
      <c r="D21" s="77">
        <f>O21</f>
        <v>62380000</v>
      </c>
      <c r="E21" s="77">
        <f>'3.1'!J56</f>
        <v>12060000</v>
      </c>
      <c r="F21" s="77">
        <f>'3.1'!K56</f>
        <v>49488000</v>
      </c>
      <c r="G21" s="77">
        <f>'3.1'!L56</f>
        <v>0</v>
      </c>
      <c r="H21" s="77">
        <f>'3.1'!M56</f>
        <v>0</v>
      </c>
      <c r="I21" s="77">
        <f>'3.1'!N56</f>
        <v>0</v>
      </c>
      <c r="J21" s="77">
        <f>'3.1'!O56</f>
        <v>0</v>
      </c>
      <c r="K21" s="77">
        <f>'3.1'!P56</f>
        <v>0</v>
      </c>
      <c r="L21" s="77">
        <f>'3.1'!Q56</f>
        <v>0</v>
      </c>
      <c r="M21" s="77">
        <f>'3.1'!R56</f>
        <v>832000</v>
      </c>
      <c r="N21" s="77">
        <f>'3.1'!S56</f>
        <v>0</v>
      </c>
      <c r="O21" s="78">
        <f>SUM(E21:N21)</f>
        <v>62380000</v>
      </c>
      <c r="P21" s="90">
        <f>'Component wise'!D14</f>
        <v>62380000</v>
      </c>
      <c r="Q21" s="90">
        <f t="shared" si="2"/>
        <v>0</v>
      </c>
    </row>
    <row r="22" spans="1:17" x14ac:dyDescent="0.3">
      <c r="A22" s="762"/>
      <c r="B22" s="88">
        <v>32000</v>
      </c>
      <c r="C22" s="89" t="s">
        <v>99</v>
      </c>
      <c r="D22" s="77">
        <f>O22</f>
        <v>78405000</v>
      </c>
      <c r="E22" s="77">
        <f>'3.2'!H46</f>
        <v>733000</v>
      </c>
      <c r="F22" s="77">
        <f>'3.2'!I46</f>
        <v>59114000</v>
      </c>
      <c r="G22" s="77">
        <f>'3.2'!J46</f>
        <v>0</v>
      </c>
      <c r="H22" s="77">
        <f>'3.2'!K46</f>
        <v>0</v>
      </c>
      <c r="I22" s="77">
        <f>'3.2'!L46</f>
        <v>0</v>
      </c>
      <c r="J22" s="77">
        <f>'3.2'!M46</f>
        <v>0</v>
      </c>
      <c r="K22" s="77">
        <f>'3.2'!N46</f>
        <v>0</v>
      </c>
      <c r="L22" s="77">
        <f>'3.2'!O46</f>
        <v>0</v>
      </c>
      <c r="M22" s="77">
        <f>'3.2'!P46</f>
        <v>18558000</v>
      </c>
      <c r="N22" s="77">
        <f>'3.2'!Q46</f>
        <v>0</v>
      </c>
      <c r="O22" s="78">
        <f>SUM(E22:N22)</f>
        <v>78405000</v>
      </c>
      <c r="P22" s="90">
        <f>'Component wise'!D15</f>
        <v>78405000</v>
      </c>
      <c r="Q22" s="90">
        <f t="shared" si="2"/>
        <v>0</v>
      </c>
    </row>
    <row r="23" spans="1:17" x14ac:dyDescent="0.3">
      <c r="A23" s="763"/>
      <c r="B23" s="79"/>
      <c r="C23" s="80" t="s">
        <v>3</v>
      </c>
      <c r="D23" s="81">
        <f>O23</f>
        <v>140785000</v>
      </c>
      <c r="E23" s="82">
        <f>SUM(E21:E22)</f>
        <v>12793000</v>
      </c>
      <c r="F23" s="82">
        <f t="shared" ref="F23:O23" si="4">SUM(F21:F22)</f>
        <v>108602000</v>
      </c>
      <c r="G23" s="82">
        <f t="shared" si="4"/>
        <v>0</v>
      </c>
      <c r="H23" s="82">
        <f t="shared" si="4"/>
        <v>0</v>
      </c>
      <c r="I23" s="82">
        <f t="shared" si="4"/>
        <v>0</v>
      </c>
      <c r="J23" s="82">
        <f t="shared" si="4"/>
        <v>0</v>
      </c>
      <c r="K23" s="82">
        <f t="shared" si="4"/>
        <v>0</v>
      </c>
      <c r="L23" s="82">
        <f t="shared" si="4"/>
        <v>0</v>
      </c>
      <c r="M23" s="82">
        <f t="shared" si="4"/>
        <v>19390000</v>
      </c>
      <c r="N23" s="82">
        <f t="shared" si="4"/>
        <v>0</v>
      </c>
      <c r="O23" s="82">
        <f t="shared" si="4"/>
        <v>140785000</v>
      </c>
      <c r="P23" s="90">
        <f>SUM(P21:P22)</f>
        <v>140785000</v>
      </c>
      <c r="Q23" s="90">
        <f t="shared" si="2"/>
        <v>0</v>
      </c>
    </row>
    <row r="24" spans="1:17" x14ac:dyDescent="0.3">
      <c r="A24" s="65"/>
      <c r="B24" s="83"/>
      <c r="C24" s="84"/>
      <c r="D24" s="85"/>
      <c r="E24" s="85"/>
      <c r="F24" s="85"/>
      <c r="G24" s="85"/>
      <c r="H24" s="85"/>
      <c r="I24" s="85"/>
      <c r="J24" s="85"/>
      <c r="K24" s="85"/>
      <c r="L24" s="78"/>
      <c r="M24" s="78"/>
      <c r="N24" s="78"/>
      <c r="O24" s="78"/>
      <c r="Q24" s="90">
        <f t="shared" si="2"/>
        <v>0</v>
      </c>
    </row>
    <row r="25" spans="1:17" x14ac:dyDescent="0.3">
      <c r="A25" s="761">
        <v>4</v>
      </c>
      <c r="B25" s="71">
        <v>40000</v>
      </c>
      <c r="C25" s="72" t="s">
        <v>159</v>
      </c>
      <c r="D25" s="87"/>
      <c r="E25" s="87"/>
      <c r="F25" s="87"/>
      <c r="G25" s="87"/>
      <c r="H25" s="87"/>
      <c r="I25" s="87"/>
      <c r="J25" s="87"/>
      <c r="K25" s="87"/>
      <c r="L25" s="91"/>
      <c r="M25" s="91"/>
      <c r="N25" s="91"/>
      <c r="O25" s="92"/>
      <c r="Q25" s="90">
        <f t="shared" si="2"/>
        <v>0</v>
      </c>
    </row>
    <row r="26" spans="1:17" ht="15.75" customHeight="1" x14ac:dyDescent="0.3">
      <c r="A26" s="762"/>
      <c r="B26" s="88">
        <v>41000</v>
      </c>
      <c r="C26" s="76" t="s">
        <v>507</v>
      </c>
      <c r="D26" s="78">
        <f>O26</f>
        <v>86675000</v>
      </c>
      <c r="E26" s="78">
        <f>'4.1 '!H89</f>
        <v>38351500</v>
      </c>
      <c r="F26" s="78">
        <f>'4.1 '!I89</f>
        <v>48323500</v>
      </c>
      <c r="G26" s="78">
        <f>'4.1 '!J89</f>
        <v>0</v>
      </c>
      <c r="H26" s="78">
        <f>'4.1 '!K89</f>
        <v>0</v>
      </c>
      <c r="I26" s="78">
        <f>'4.1 '!L89</f>
        <v>0</v>
      </c>
      <c r="J26" s="78">
        <f>'4.1 '!M89</f>
        <v>0</v>
      </c>
      <c r="K26" s="78">
        <f>'4.1 '!N89</f>
        <v>0</v>
      </c>
      <c r="L26" s="78">
        <f>'4.1 '!O89</f>
        <v>0</v>
      </c>
      <c r="M26" s="78">
        <f>'4.1 '!P89</f>
        <v>0</v>
      </c>
      <c r="N26" s="78">
        <f>'4.1 '!Q89</f>
        <v>0</v>
      </c>
      <c r="O26" s="78">
        <f>SUM(E26:N26)</f>
        <v>86675000</v>
      </c>
      <c r="P26" s="90">
        <f>'Component wise'!D18</f>
        <v>86675000</v>
      </c>
      <c r="Q26" s="90">
        <f t="shared" si="2"/>
        <v>0</v>
      </c>
    </row>
    <row r="27" spans="1:17" ht="15.75" customHeight="1" x14ac:dyDescent="0.3">
      <c r="A27" s="762"/>
      <c r="B27" s="88">
        <v>42000</v>
      </c>
      <c r="C27" s="76" t="s">
        <v>508</v>
      </c>
      <c r="D27" s="78">
        <f>O27</f>
        <v>74709000</v>
      </c>
      <c r="E27" s="78">
        <f>'4.2'!H56</f>
        <v>37078500</v>
      </c>
      <c r="F27" s="78">
        <f>'4.2'!I56</f>
        <v>37630500</v>
      </c>
      <c r="G27" s="78">
        <f>'4.2'!J56</f>
        <v>0</v>
      </c>
      <c r="H27" s="78">
        <f>'4.2'!K56</f>
        <v>0</v>
      </c>
      <c r="I27" s="78">
        <f>'4.2'!L56</f>
        <v>0</v>
      </c>
      <c r="J27" s="78">
        <f>'4.2'!M56</f>
        <v>0</v>
      </c>
      <c r="K27" s="78">
        <f>'4.2'!N56</f>
        <v>0</v>
      </c>
      <c r="L27" s="78">
        <f>'4.2'!O56</f>
        <v>0</v>
      </c>
      <c r="M27" s="78">
        <f>'4.2'!P56</f>
        <v>0</v>
      </c>
      <c r="N27" s="78">
        <f>'4.2'!Q56</f>
        <v>0</v>
      </c>
      <c r="O27" s="78">
        <f>SUM(E27:N27)</f>
        <v>74709000</v>
      </c>
      <c r="P27" s="90">
        <f>'Component wise'!D19</f>
        <v>74709000</v>
      </c>
      <c r="Q27" s="90">
        <f t="shared" si="2"/>
        <v>0</v>
      </c>
    </row>
    <row r="28" spans="1:17" x14ac:dyDescent="0.3">
      <c r="A28" s="762"/>
      <c r="B28" s="88">
        <v>43000</v>
      </c>
      <c r="C28" s="76" t="s">
        <v>509</v>
      </c>
      <c r="D28" s="78">
        <f>O28</f>
        <v>6240000</v>
      </c>
      <c r="E28" s="78">
        <f>'4.3 '!I35</f>
        <v>1248000</v>
      </c>
      <c r="F28" s="78">
        <f>'4.3 '!J35</f>
        <v>4992000</v>
      </c>
      <c r="G28" s="78">
        <f>'4.3 '!K35</f>
        <v>0</v>
      </c>
      <c r="H28" s="78">
        <f>'4.3 '!L35</f>
        <v>0</v>
      </c>
      <c r="I28" s="78">
        <f>'4.3 '!M35</f>
        <v>0</v>
      </c>
      <c r="J28" s="78">
        <f>'4.3 '!N35</f>
        <v>0</v>
      </c>
      <c r="K28" s="78">
        <f>'4.3 '!O35</f>
        <v>0</v>
      </c>
      <c r="L28" s="78">
        <f>'4.3 '!P35</f>
        <v>0</v>
      </c>
      <c r="M28" s="78">
        <f>'4.3 '!Q35</f>
        <v>0</v>
      </c>
      <c r="N28" s="78">
        <f>'4.3 '!R35</f>
        <v>0</v>
      </c>
      <c r="O28" s="78">
        <f>SUM(E28:N28)</f>
        <v>6240000</v>
      </c>
      <c r="P28" s="90">
        <f>'Component wise'!D20</f>
        <v>6240000</v>
      </c>
      <c r="Q28" s="90">
        <f t="shared" si="2"/>
        <v>0</v>
      </c>
    </row>
    <row r="29" spans="1:17" x14ac:dyDescent="0.3">
      <c r="A29" s="763"/>
      <c r="B29" s="79"/>
      <c r="C29" s="80" t="s">
        <v>3</v>
      </c>
      <c r="D29" s="78">
        <f>O29</f>
        <v>167624000</v>
      </c>
      <c r="E29" s="91">
        <f>SUM(E26:E28)</f>
        <v>76678000</v>
      </c>
      <c r="F29" s="91">
        <f t="shared" ref="F29:N29" si="5">SUM(F26:F28)</f>
        <v>90946000</v>
      </c>
      <c r="G29" s="91">
        <f t="shared" si="5"/>
        <v>0</v>
      </c>
      <c r="H29" s="91">
        <f t="shared" si="5"/>
        <v>0</v>
      </c>
      <c r="I29" s="91">
        <f t="shared" si="5"/>
        <v>0</v>
      </c>
      <c r="J29" s="91">
        <f t="shared" si="5"/>
        <v>0</v>
      </c>
      <c r="K29" s="91">
        <f t="shared" si="5"/>
        <v>0</v>
      </c>
      <c r="L29" s="91">
        <f t="shared" si="5"/>
        <v>0</v>
      </c>
      <c r="M29" s="91">
        <f t="shared" si="5"/>
        <v>0</v>
      </c>
      <c r="N29" s="91">
        <f t="shared" si="5"/>
        <v>0</v>
      </c>
      <c r="O29" s="78">
        <f>SUM(E29:N29)</f>
        <v>167624000</v>
      </c>
      <c r="P29" s="90">
        <f>SUM(P26:P28)</f>
        <v>167624000</v>
      </c>
      <c r="Q29" s="90">
        <f t="shared" si="2"/>
        <v>0</v>
      </c>
    </row>
    <row r="30" spans="1:17" x14ac:dyDescent="0.3">
      <c r="A30" s="768" t="s">
        <v>4</v>
      </c>
      <c r="B30" s="769"/>
      <c r="C30" s="770"/>
      <c r="D30" s="91">
        <f>O30</f>
        <v>1147964335</v>
      </c>
      <c r="E30" s="91">
        <f>E29+E23+E18+E12</f>
        <v>207729167</v>
      </c>
      <c r="F30" s="91">
        <f t="shared" ref="F30:P30" si="6">F29+F23+F18+F12</f>
        <v>674757228</v>
      </c>
      <c r="G30" s="91">
        <f t="shared" si="6"/>
        <v>0</v>
      </c>
      <c r="H30" s="91">
        <f t="shared" si="6"/>
        <v>0</v>
      </c>
      <c r="I30" s="91">
        <f t="shared" si="6"/>
        <v>0</v>
      </c>
      <c r="J30" s="91">
        <f t="shared" si="6"/>
        <v>120401800</v>
      </c>
      <c r="K30" s="91">
        <f t="shared" si="6"/>
        <v>102320000</v>
      </c>
      <c r="L30" s="91">
        <f t="shared" si="6"/>
        <v>0</v>
      </c>
      <c r="M30" s="91">
        <f t="shared" si="6"/>
        <v>42756140</v>
      </c>
      <c r="N30" s="91">
        <f t="shared" si="6"/>
        <v>0</v>
      </c>
      <c r="O30" s="91">
        <f t="shared" si="6"/>
        <v>1147964335</v>
      </c>
      <c r="P30" s="91">
        <f t="shared" si="6"/>
        <v>1147964335</v>
      </c>
      <c r="Q30" s="90">
        <f t="shared" si="2"/>
        <v>0</v>
      </c>
    </row>
    <row r="31" spans="1:17" x14ac:dyDescent="0.3">
      <c r="A31" s="65"/>
      <c r="B31" s="65"/>
      <c r="C31" s="65"/>
      <c r="D31" s="66"/>
      <c r="E31" s="66"/>
      <c r="F31" s="66"/>
      <c r="G31" s="66"/>
      <c r="H31" s="66"/>
      <c r="I31" s="66"/>
      <c r="J31" s="66"/>
      <c r="K31" s="66"/>
      <c r="L31" s="65"/>
      <c r="M31" s="65"/>
      <c r="N31" s="65"/>
      <c r="O31" s="65"/>
    </row>
    <row r="32" spans="1:17" ht="30" customHeight="1" x14ac:dyDescent="0.3">
      <c r="A32" s="1" t="s">
        <v>198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4"/>
      <c r="M32" s="95"/>
      <c r="N32" s="94"/>
      <c r="O32" s="94"/>
    </row>
    <row r="33" spans="1:15" ht="19.5" thickBot="1" x14ac:dyDescent="0.35">
      <c r="A33" s="96"/>
      <c r="B33" s="760"/>
      <c r="C33" s="760"/>
      <c r="D33" s="760"/>
      <c r="E33" s="97" t="s">
        <v>971</v>
      </c>
      <c r="F33" s="97"/>
      <c r="G33" s="97" t="s">
        <v>1246</v>
      </c>
      <c r="H33" s="97"/>
      <c r="I33" s="97"/>
      <c r="J33" s="97"/>
      <c r="K33" s="97"/>
      <c r="L33" s="96"/>
      <c r="M33" s="96"/>
      <c r="N33" s="96"/>
      <c r="O33" s="96"/>
    </row>
    <row r="34" spans="1:15" x14ac:dyDescent="0.3">
      <c r="A34" s="96"/>
      <c r="B34" s="96"/>
      <c r="C34" s="96"/>
      <c r="D34" s="99" t="s">
        <v>926</v>
      </c>
      <c r="E34" s="99"/>
      <c r="F34" s="112">
        <f>E30+F30</f>
        <v>882486395</v>
      </c>
      <c r="G34" s="742">
        <f>F35-F34</f>
        <v>30042200</v>
      </c>
      <c r="H34" s="113"/>
      <c r="I34" s="117"/>
      <c r="J34" s="259"/>
      <c r="K34" s="96"/>
      <c r="L34" s="96"/>
      <c r="M34" s="96"/>
      <c r="N34" s="98"/>
      <c r="O34" s="96"/>
    </row>
    <row r="35" spans="1:15" x14ac:dyDescent="0.3">
      <c r="D35" s="64" t="s">
        <v>1245</v>
      </c>
      <c r="F35" s="90">
        <f>'[1]Sum, scheme'!$F$34</f>
        <v>912528595</v>
      </c>
      <c r="G35" s="114"/>
      <c r="H35" s="115"/>
      <c r="I35" s="116"/>
      <c r="J35" s="90"/>
    </row>
    <row r="37" spans="1:15" x14ac:dyDescent="0.3">
      <c r="D37" s="64" t="s">
        <v>598</v>
      </c>
      <c r="F37" s="90">
        <f>G30+H30+I30+J30+N30+K30</f>
        <v>222721800</v>
      </c>
    </row>
    <row r="38" spans="1:15" x14ac:dyDescent="0.3">
      <c r="D38" s="64" t="s">
        <v>597</v>
      </c>
      <c r="F38" s="90">
        <f>M30</f>
        <v>42756140</v>
      </c>
    </row>
    <row r="39" spans="1:15" x14ac:dyDescent="0.3">
      <c r="F39" s="90">
        <f>F38+F37+F34</f>
        <v>1147964335</v>
      </c>
    </row>
    <row r="40" spans="1:15" x14ac:dyDescent="0.3">
      <c r="C40" s="208" t="s">
        <v>874</v>
      </c>
      <c r="F40" s="90"/>
    </row>
    <row r="41" spans="1:15" x14ac:dyDescent="0.3">
      <c r="D41" s="64">
        <v>0.28999999999999998</v>
      </c>
      <c r="E41" s="64">
        <v>0.37</v>
      </c>
      <c r="F41" s="90">
        <v>0.23</v>
      </c>
      <c r="G41" s="64">
        <v>0.11</v>
      </c>
    </row>
    <row r="42" spans="1:15" x14ac:dyDescent="0.3">
      <c r="C42" s="209" t="s">
        <v>873</v>
      </c>
      <c r="D42" s="209" t="s">
        <v>7</v>
      </c>
      <c r="E42" s="209" t="s">
        <v>8</v>
      </c>
      <c r="F42" s="209" t="s">
        <v>9</v>
      </c>
      <c r="G42" s="209" t="s">
        <v>10</v>
      </c>
      <c r="H42" s="209" t="s">
        <v>17</v>
      </c>
    </row>
    <row r="43" spans="1:15" x14ac:dyDescent="0.3">
      <c r="C43" s="64" t="s">
        <v>226</v>
      </c>
      <c r="D43" s="210">
        <f>F30*D41</f>
        <v>195679596.11999997</v>
      </c>
      <c r="E43" s="210">
        <f>F30*E41</f>
        <v>249660174.35999998</v>
      </c>
      <c r="F43" s="210">
        <f>F30*F41</f>
        <v>155194162.44</v>
      </c>
      <c r="G43" s="210">
        <f>F30*G41</f>
        <v>74223295.079999998</v>
      </c>
      <c r="H43" s="210">
        <f>SUM(D43:G43)</f>
        <v>674757228</v>
      </c>
    </row>
    <row r="44" spans="1:15" x14ac:dyDescent="0.3">
      <c r="D44" s="210">
        <f>D43/H43*100</f>
        <v>28.999999999999996</v>
      </c>
      <c r="E44" s="210">
        <f>E43/H43*100</f>
        <v>37</v>
      </c>
      <c r="F44" s="210">
        <f>F43/H43*100</f>
        <v>23</v>
      </c>
      <c r="G44" s="210">
        <f>G43/H43*100</f>
        <v>11</v>
      </c>
      <c r="H44" s="210"/>
    </row>
    <row r="45" spans="1:15" x14ac:dyDescent="0.3">
      <c r="C45" s="64" t="s">
        <v>302</v>
      </c>
      <c r="D45" s="211">
        <f>E30*D41</f>
        <v>60241458.429999992</v>
      </c>
      <c r="E45" s="211">
        <f>E30*E41</f>
        <v>76859791.789999992</v>
      </c>
      <c r="F45" s="211">
        <f>E30*F41</f>
        <v>47777708.410000004</v>
      </c>
      <c r="G45" s="211">
        <f>E30*G41</f>
        <v>22850208.370000001</v>
      </c>
      <c r="H45" s="211">
        <f>SUM(D45:G45)</f>
        <v>207729166.99999997</v>
      </c>
    </row>
    <row r="46" spans="1:15" x14ac:dyDescent="0.3">
      <c r="C46" s="64" t="s">
        <v>596</v>
      </c>
      <c r="D46" s="211">
        <f>F37*D41</f>
        <v>64589321.999999993</v>
      </c>
      <c r="E46" s="211">
        <f>F37*E41</f>
        <v>82407066</v>
      </c>
      <c r="F46" s="211">
        <f>F37*F41</f>
        <v>51226014</v>
      </c>
      <c r="G46" s="211">
        <f>F37*G41</f>
        <v>24499398</v>
      </c>
      <c r="H46" s="211">
        <f>SUM(D46:G46)</f>
        <v>222721800</v>
      </c>
    </row>
    <row r="47" spans="1:15" x14ac:dyDescent="0.3">
      <c r="C47" s="209" t="s">
        <v>872</v>
      </c>
      <c r="D47" s="210">
        <f>D46+D45</f>
        <v>124830780.42999998</v>
      </c>
      <c r="E47" s="210">
        <f>E46+E45</f>
        <v>159266857.78999999</v>
      </c>
      <c r="F47" s="210">
        <f>F46+F45</f>
        <v>99003722.409999996</v>
      </c>
      <c r="G47" s="210">
        <f>G46+G45</f>
        <v>47349606.370000005</v>
      </c>
      <c r="H47" s="210">
        <f>H46+H45</f>
        <v>430450967</v>
      </c>
    </row>
    <row r="48" spans="1:15" x14ac:dyDescent="0.3">
      <c r="C48" s="209"/>
      <c r="D48" s="210">
        <f>D47/H47*100</f>
        <v>28.999999999999993</v>
      </c>
      <c r="E48" s="210">
        <f>E47/H47*100</f>
        <v>37</v>
      </c>
      <c r="F48" s="210">
        <f>F47/H47*100</f>
        <v>23</v>
      </c>
      <c r="G48" s="210">
        <f>G47/H47*100</f>
        <v>11.000000000000002</v>
      </c>
      <c r="H48" s="210"/>
    </row>
    <row r="49" spans="3:8" x14ac:dyDescent="0.3">
      <c r="C49" s="209" t="s">
        <v>597</v>
      </c>
      <c r="D49" s="210">
        <f>F38*D41</f>
        <v>12399280.6</v>
      </c>
      <c r="E49" s="210">
        <f>F38*E41</f>
        <v>15819771.799999999</v>
      </c>
      <c r="F49" s="210">
        <f>F38*F41</f>
        <v>9833912.2000000011</v>
      </c>
      <c r="G49" s="210">
        <f>F38*G41</f>
        <v>4703175.4000000004</v>
      </c>
      <c r="H49" s="209">
        <f>SUM(D49:G49)</f>
        <v>42756140</v>
      </c>
    </row>
    <row r="50" spans="3:8" x14ac:dyDescent="0.3">
      <c r="C50" s="209"/>
      <c r="D50" s="210">
        <f>D49/H49*100</f>
        <v>28.999999999999996</v>
      </c>
      <c r="E50" s="210">
        <f>E49/H49*100</f>
        <v>37</v>
      </c>
      <c r="F50" s="210">
        <f>F49/H49*100</f>
        <v>23.000000000000004</v>
      </c>
      <c r="G50" s="210">
        <f>G49/H49*100</f>
        <v>11.000000000000002</v>
      </c>
      <c r="H50" s="209"/>
    </row>
    <row r="51" spans="3:8" x14ac:dyDescent="0.3">
      <c r="C51" s="209" t="s">
        <v>17</v>
      </c>
      <c r="D51" s="210">
        <f>D49+D47+D43</f>
        <v>332909657.14999998</v>
      </c>
      <c r="E51" s="210">
        <f>E49+E47+E43</f>
        <v>424746803.94999999</v>
      </c>
      <c r="F51" s="210">
        <f>F49+F47+F43</f>
        <v>264031797.05000001</v>
      </c>
      <c r="G51" s="210">
        <f>G49+G47+G43</f>
        <v>126276076.84999999</v>
      </c>
      <c r="H51" s="210">
        <f>H49+H47+H43</f>
        <v>1147964335</v>
      </c>
    </row>
  </sheetData>
  <mergeCells count="15">
    <mergeCell ref="B33:D33"/>
    <mergeCell ref="A14:A18"/>
    <mergeCell ref="A20:A23"/>
    <mergeCell ref="A25:A29"/>
    <mergeCell ref="A1:O1"/>
    <mergeCell ref="A2:O2"/>
    <mergeCell ref="A3:O3"/>
    <mergeCell ref="A4:O4"/>
    <mergeCell ref="A8:C8"/>
    <mergeCell ref="A9:A12"/>
    <mergeCell ref="A30:C30"/>
    <mergeCell ref="A6:A7"/>
    <mergeCell ref="C6:C7"/>
    <mergeCell ref="B6:B7"/>
    <mergeCell ref="D6:D7"/>
  </mergeCells>
  <pageMargins left="0.26" right="0.3" top="0.53" bottom="0.18" header="0.17" footer="0.16"/>
  <pageSetup scale="4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40"/>
  <sheetViews>
    <sheetView topLeftCell="B25" workbookViewId="0">
      <selection activeCell="C57" sqref="C57"/>
    </sheetView>
  </sheetViews>
  <sheetFormatPr defaultColWidth="31.5703125" defaultRowHeight="15" x14ac:dyDescent="0.25"/>
  <cols>
    <col min="1" max="1" width="31.5703125" customWidth="1"/>
    <col min="2" max="2" width="7.85546875" bestFit="1" customWidth="1"/>
    <col min="3" max="3" width="53.42578125" customWidth="1"/>
    <col min="4" max="5" width="19.28515625" customWidth="1"/>
    <col min="6" max="6" width="15" customWidth="1"/>
    <col min="7" max="7" width="32.42578125" customWidth="1"/>
    <col min="8" max="8" width="16.28515625" customWidth="1"/>
  </cols>
  <sheetData>
    <row r="2" spans="2:9" ht="33" customHeight="1" x14ac:dyDescent="0.25">
      <c r="B2" s="775" t="s">
        <v>1193</v>
      </c>
      <c r="C2" s="776"/>
      <c r="D2" s="776"/>
      <c r="E2" s="739"/>
    </row>
    <row r="3" spans="2:9" x14ac:dyDescent="0.25">
      <c r="B3" s="103" t="s">
        <v>58</v>
      </c>
      <c r="C3" s="103" t="s">
        <v>13</v>
      </c>
      <c r="D3" s="103" t="s">
        <v>1194</v>
      </c>
      <c r="E3" s="103"/>
      <c r="F3" t="str">
        <f>B3</f>
        <v>Sl. No.</v>
      </c>
      <c r="G3" t="str">
        <f>C3</f>
        <v>Component</v>
      </c>
      <c r="H3" t="s">
        <v>540</v>
      </c>
    </row>
    <row r="4" spans="2:9" x14ac:dyDescent="0.25">
      <c r="B4" s="111">
        <v>1</v>
      </c>
      <c r="C4" s="103" t="s">
        <v>59</v>
      </c>
      <c r="D4" s="105"/>
      <c r="E4" s="105"/>
      <c r="F4">
        <v>1</v>
      </c>
      <c r="G4" t="str">
        <f>C4</f>
        <v>Community Empowerment</v>
      </c>
      <c r="H4" s="129">
        <f>D7</f>
        <v>265478135</v>
      </c>
      <c r="I4" s="129"/>
    </row>
    <row r="5" spans="2:9" x14ac:dyDescent="0.25">
      <c r="B5" s="104">
        <v>1.1000000000000001</v>
      </c>
      <c r="C5" s="105" t="s">
        <v>63</v>
      </c>
      <c r="D5" s="106">
        <f>'1.1'!H56</f>
        <v>246062310</v>
      </c>
      <c r="E5" s="106"/>
      <c r="F5">
        <v>2</v>
      </c>
      <c r="G5" t="str">
        <f>C8</f>
        <v>Natural Resources Management and Livelihoods Improvement</v>
      </c>
      <c r="H5" s="129">
        <f>D12</f>
        <v>574077200</v>
      </c>
      <c r="I5" s="129"/>
    </row>
    <row r="6" spans="2:9" x14ac:dyDescent="0.25">
      <c r="B6" s="104">
        <v>1.2</v>
      </c>
      <c r="C6" s="105" t="s">
        <v>68</v>
      </c>
      <c r="D6" s="106">
        <f>'1.2'!F66</f>
        <v>19415825</v>
      </c>
      <c r="E6" s="106"/>
      <c r="F6">
        <v>3</v>
      </c>
      <c r="G6" t="str">
        <f>C13</f>
        <v>Community Infrastructure and Drudgery reduction.</v>
      </c>
      <c r="H6" s="129">
        <f>D16</f>
        <v>140785000</v>
      </c>
      <c r="I6" s="129"/>
    </row>
    <row r="7" spans="2:9" x14ac:dyDescent="0.25">
      <c r="B7" s="105"/>
      <c r="C7" s="103" t="s">
        <v>3</v>
      </c>
      <c r="D7" s="107">
        <f>SUM(D5:D6)</f>
        <v>265478135</v>
      </c>
      <c r="E7" s="107"/>
      <c r="F7">
        <v>4</v>
      </c>
      <c r="G7" t="str">
        <f>C17</f>
        <v>Programme Management</v>
      </c>
      <c r="H7" s="129">
        <f>D21</f>
        <v>167624000</v>
      </c>
      <c r="I7" s="129"/>
    </row>
    <row r="8" spans="2:9" ht="30" x14ac:dyDescent="0.25">
      <c r="B8" s="111">
        <v>2</v>
      </c>
      <c r="C8" s="103" t="s">
        <v>89</v>
      </c>
      <c r="D8" s="105"/>
      <c r="E8" s="105"/>
      <c r="G8" t="s">
        <v>17</v>
      </c>
      <c r="H8" s="129">
        <f>SUM(H4:H7)</f>
        <v>1147964335</v>
      </c>
      <c r="I8" s="129"/>
    </row>
    <row r="9" spans="2:9" x14ac:dyDescent="0.25">
      <c r="B9" s="104">
        <v>2.1</v>
      </c>
      <c r="C9" s="105" t="s">
        <v>175</v>
      </c>
      <c r="D9" s="106">
        <f>'2.1'!G108</f>
        <v>221262800</v>
      </c>
      <c r="E9" s="106"/>
    </row>
    <row r="10" spans="2:9" x14ac:dyDescent="0.25">
      <c r="B10" s="104">
        <v>2.2000000000000002</v>
      </c>
      <c r="C10" s="105" t="s">
        <v>506</v>
      </c>
      <c r="D10" s="106">
        <f>'2.2'!H92</f>
        <v>44856250</v>
      </c>
      <c r="E10" s="106"/>
    </row>
    <row r="11" spans="2:9" x14ac:dyDescent="0.25">
      <c r="B11" s="104">
        <v>2.2999999999999998</v>
      </c>
      <c r="C11" s="105" t="s">
        <v>505</v>
      </c>
      <c r="D11" s="106">
        <f>'2.3'!H72</f>
        <v>307958150</v>
      </c>
      <c r="E11" s="106"/>
    </row>
    <row r="12" spans="2:9" x14ac:dyDescent="0.25">
      <c r="B12" s="105"/>
      <c r="C12" s="103" t="s">
        <v>3</v>
      </c>
      <c r="D12" s="107">
        <f>SUM(D9:D11)</f>
        <v>574077200</v>
      </c>
      <c r="E12" s="107"/>
    </row>
    <row r="13" spans="2:9" ht="21" customHeight="1" x14ac:dyDescent="0.25">
      <c r="B13" s="111">
        <v>3</v>
      </c>
      <c r="C13" s="103" t="s">
        <v>91</v>
      </c>
      <c r="D13" s="105"/>
      <c r="E13" s="105"/>
    </row>
    <row r="14" spans="2:9" x14ac:dyDescent="0.25">
      <c r="B14" s="104">
        <v>3.1</v>
      </c>
      <c r="C14" s="105" t="s">
        <v>167</v>
      </c>
      <c r="D14" s="106">
        <f>'3.1'!I56</f>
        <v>62380000</v>
      </c>
      <c r="E14" s="106"/>
    </row>
    <row r="15" spans="2:9" x14ac:dyDescent="0.25">
      <c r="B15" s="104">
        <v>3.2</v>
      </c>
      <c r="C15" s="105" t="s">
        <v>99</v>
      </c>
      <c r="D15" s="106">
        <f>'3.2'!G46</f>
        <v>78405000</v>
      </c>
      <c r="E15" s="106"/>
    </row>
    <row r="16" spans="2:9" x14ac:dyDescent="0.25">
      <c r="B16" s="105"/>
      <c r="C16" s="103" t="s">
        <v>3</v>
      </c>
      <c r="D16" s="107">
        <f>SUM(D14:D15)</f>
        <v>140785000</v>
      </c>
      <c r="E16" s="107"/>
    </row>
    <row r="17" spans="2:7" x14ac:dyDescent="0.25">
      <c r="B17" s="111">
        <v>4</v>
      </c>
      <c r="C17" s="103" t="s">
        <v>159</v>
      </c>
      <c r="D17" s="105"/>
      <c r="E17" s="105"/>
    </row>
    <row r="18" spans="2:7" x14ac:dyDescent="0.25">
      <c r="B18" s="104">
        <v>4.0999999999999996</v>
      </c>
      <c r="C18" s="105" t="s">
        <v>507</v>
      </c>
      <c r="D18" s="106">
        <f>'4.1 '!G89</f>
        <v>86675000</v>
      </c>
      <c r="E18" s="106"/>
    </row>
    <row r="19" spans="2:7" x14ac:dyDescent="0.25">
      <c r="B19" s="104">
        <v>4.2</v>
      </c>
      <c r="C19" s="105" t="s">
        <v>508</v>
      </c>
      <c r="D19" s="106">
        <f>'4.2'!G56</f>
        <v>74709000</v>
      </c>
      <c r="E19" s="106"/>
    </row>
    <row r="20" spans="2:7" x14ac:dyDescent="0.25">
      <c r="B20" s="104">
        <v>4.3</v>
      </c>
      <c r="C20" s="105" t="s">
        <v>509</v>
      </c>
      <c r="D20" s="106">
        <f>'4.3 '!H35</f>
        <v>6240000</v>
      </c>
      <c r="E20" s="106"/>
    </row>
    <row r="21" spans="2:7" x14ac:dyDescent="0.25">
      <c r="B21" s="105"/>
      <c r="C21" s="103" t="s">
        <v>3</v>
      </c>
      <c r="D21" s="107">
        <f>SUM(D18:D20)</f>
        <v>167624000</v>
      </c>
      <c r="E21" s="107"/>
    </row>
    <row r="22" spans="2:7" x14ac:dyDescent="0.25">
      <c r="B22" s="105"/>
      <c r="C22" s="105"/>
      <c r="D22" s="105"/>
      <c r="E22" s="105"/>
    </row>
    <row r="23" spans="2:7" x14ac:dyDescent="0.25">
      <c r="B23" s="105"/>
      <c r="C23" s="103" t="s">
        <v>4</v>
      </c>
      <c r="D23" s="107">
        <f>SUM(D7+D12+D16+D21)</f>
        <v>1147964335</v>
      </c>
      <c r="E23" s="107"/>
    </row>
    <row r="24" spans="2:7" x14ac:dyDescent="0.25">
      <c r="D24" s="129"/>
    </row>
    <row r="27" spans="2:7" ht="15" customHeight="1" x14ac:dyDescent="0.25">
      <c r="B27" s="777" t="s">
        <v>1195</v>
      </c>
      <c r="C27" s="778"/>
      <c r="D27" s="778"/>
      <c r="E27" s="740"/>
    </row>
    <row r="28" spans="2:7" x14ac:dyDescent="0.25">
      <c r="B28" s="103" t="s">
        <v>599</v>
      </c>
      <c r="C28" s="103" t="s">
        <v>600</v>
      </c>
      <c r="D28" s="103" t="s">
        <v>1194</v>
      </c>
      <c r="E28" s="103"/>
      <c r="F28" s="130"/>
    </row>
    <row r="29" spans="2:7" x14ac:dyDescent="0.25">
      <c r="B29" s="109">
        <v>1</v>
      </c>
      <c r="C29" s="105" t="s">
        <v>302</v>
      </c>
      <c r="D29" s="108">
        <f>'Sum, scheme'!E30</f>
        <v>207729167</v>
      </c>
      <c r="E29" s="108"/>
      <c r="F29" s="131"/>
      <c r="G29" s="131"/>
    </row>
    <row r="30" spans="2:7" x14ac:dyDescent="0.25">
      <c r="B30" s="109">
        <v>2</v>
      </c>
      <c r="C30" s="105" t="s">
        <v>226</v>
      </c>
      <c r="D30" s="108">
        <f>'Sum, scheme'!F30</f>
        <v>674757228</v>
      </c>
      <c r="E30" s="108"/>
      <c r="F30" s="131"/>
    </row>
    <row r="31" spans="2:7" x14ac:dyDescent="0.25">
      <c r="B31" s="109">
        <v>3</v>
      </c>
      <c r="C31" s="105" t="s">
        <v>601</v>
      </c>
      <c r="D31" s="108">
        <f>'Sum, scheme'!G30</f>
        <v>0</v>
      </c>
      <c r="E31" s="108"/>
      <c r="F31" s="131"/>
    </row>
    <row r="32" spans="2:7" x14ac:dyDescent="0.25">
      <c r="B32" s="109">
        <v>4</v>
      </c>
      <c r="C32" s="105" t="s">
        <v>602</v>
      </c>
      <c r="D32" s="108">
        <f>'Sum, scheme'!H30</f>
        <v>0</v>
      </c>
      <c r="E32" s="108"/>
      <c r="F32" s="131"/>
    </row>
    <row r="33" spans="2:6" x14ac:dyDescent="0.25">
      <c r="B33" s="109">
        <v>5</v>
      </c>
      <c r="C33" s="105" t="s">
        <v>603</v>
      </c>
      <c r="D33" s="108">
        <f>'Sum, scheme'!I30</f>
        <v>0</v>
      </c>
      <c r="E33" s="108"/>
      <c r="F33" s="131"/>
    </row>
    <row r="34" spans="2:6" x14ac:dyDescent="0.25">
      <c r="B34" s="109">
        <v>6</v>
      </c>
      <c r="C34" s="105" t="s">
        <v>604</v>
      </c>
      <c r="D34" s="108">
        <f>'Sum, scheme'!J30</f>
        <v>120401800</v>
      </c>
      <c r="E34" s="108"/>
      <c r="F34" s="131"/>
    </row>
    <row r="35" spans="2:6" x14ac:dyDescent="0.25">
      <c r="B35" s="109">
        <v>7</v>
      </c>
      <c r="C35" s="105" t="s">
        <v>572</v>
      </c>
      <c r="D35" s="108">
        <f>'Sum, scheme'!N30</f>
        <v>0</v>
      </c>
      <c r="E35" s="108"/>
      <c r="F35" s="131"/>
    </row>
    <row r="36" spans="2:6" x14ac:dyDescent="0.25">
      <c r="B36" s="109">
        <v>8</v>
      </c>
      <c r="C36" s="105" t="s">
        <v>890</v>
      </c>
      <c r="D36" s="108">
        <f>'Sum, scheme'!K30</f>
        <v>102320000</v>
      </c>
      <c r="E36" s="108"/>
      <c r="F36" s="131"/>
    </row>
    <row r="37" spans="2:6" x14ac:dyDescent="0.25">
      <c r="B37" s="109">
        <v>9</v>
      </c>
      <c r="C37" s="105" t="s">
        <v>597</v>
      </c>
      <c r="D37" s="108">
        <f>'Sum, scheme'!M30</f>
        <v>42756140</v>
      </c>
      <c r="E37" s="108"/>
      <c r="F37" s="131"/>
    </row>
    <row r="38" spans="2:6" x14ac:dyDescent="0.25">
      <c r="B38" s="105"/>
      <c r="C38" s="103" t="s">
        <v>17</v>
      </c>
      <c r="D38" s="110">
        <f>SUM(D29:D37)</f>
        <v>1147964335</v>
      </c>
      <c r="E38" s="110"/>
      <c r="F38" s="131"/>
    </row>
    <row r="40" spans="2:6" x14ac:dyDescent="0.25">
      <c r="D40" s="129">
        <f>D23-D38</f>
        <v>0</v>
      </c>
    </row>
  </sheetData>
  <mergeCells count="2">
    <mergeCell ref="B2:D2"/>
    <mergeCell ref="B27:D27"/>
  </mergeCells>
  <printOptions horizontalCentered="1" verticalCentered="1"/>
  <pageMargins left="0" right="0" top="0.5" bottom="0.5" header="0.3" footer="0.3"/>
  <pageSetup paperSize="9" scale="34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AS43"/>
  <sheetViews>
    <sheetView view="pageBreakPreview" zoomScale="70" zoomScaleNormal="85" zoomScaleSheetLayoutView="7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N6" sqref="N6"/>
    </sheetView>
  </sheetViews>
  <sheetFormatPr defaultColWidth="9.140625" defaultRowHeight="15.75" x14ac:dyDescent="0.25"/>
  <cols>
    <col min="1" max="1" width="8.28515625" style="2" customWidth="1"/>
    <col min="2" max="2" width="10.85546875" style="2" bestFit="1" customWidth="1"/>
    <col min="3" max="3" width="33" style="2" customWidth="1"/>
    <col min="4" max="4" width="22.28515625" style="2" bestFit="1" customWidth="1"/>
    <col min="5" max="5" width="13.42578125" style="2" bestFit="1" customWidth="1"/>
    <col min="6" max="6" width="22" style="2" bestFit="1" customWidth="1"/>
    <col min="7" max="7" width="14" style="2" bestFit="1" customWidth="1"/>
    <col min="8" max="8" width="22" style="2" bestFit="1" customWidth="1"/>
    <col min="9" max="9" width="14" style="2" bestFit="1" customWidth="1"/>
    <col min="10" max="10" width="21.5703125" style="2" bestFit="1" customWidth="1"/>
    <col min="11" max="11" width="15.140625" style="2" bestFit="1" customWidth="1"/>
    <col min="12" max="12" width="21.5703125" style="2" bestFit="1" customWidth="1"/>
    <col min="13" max="13" width="14" style="2" bestFit="1" customWidth="1"/>
    <col min="14" max="14" width="22" style="2" bestFit="1" customWidth="1"/>
    <col min="15" max="15" width="14" style="2" bestFit="1" customWidth="1"/>
    <col min="16" max="16" width="21.5703125" style="2" bestFit="1" customWidth="1"/>
    <col min="17" max="17" width="14" style="2" bestFit="1" customWidth="1"/>
    <col min="18" max="18" width="22" style="2" bestFit="1" customWidth="1"/>
    <col min="19" max="19" width="14" style="2" bestFit="1" customWidth="1"/>
    <col min="20" max="20" width="23.28515625" style="2" bestFit="1" customWidth="1"/>
    <col min="21" max="21" width="13.42578125" style="2" bestFit="1" customWidth="1"/>
    <col min="22" max="22" width="22" style="2" bestFit="1" customWidth="1"/>
    <col min="23" max="23" width="13.42578125" style="2" bestFit="1" customWidth="1"/>
    <col min="24" max="24" width="22" style="2" bestFit="1" customWidth="1"/>
    <col min="25" max="25" width="13.42578125" style="2" bestFit="1" customWidth="1"/>
    <col min="26" max="26" width="21.5703125" style="2" bestFit="1" customWidth="1"/>
    <col min="27" max="27" width="14" style="2" bestFit="1" customWidth="1"/>
    <col min="28" max="28" width="22" style="2" bestFit="1" customWidth="1"/>
    <col min="29" max="29" width="14" style="2" bestFit="1" customWidth="1"/>
    <col min="30" max="30" width="22" style="2" bestFit="1" customWidth="1"/>
    <col min="31" max="31" width="14" style="2" bestFit="1" customWidth="1"/>
    <col min="32" max="32" width="22" style="2" bestFit="1" customWidth="1"/>
    <col min="33" max="33" width="14" style="2" bestFit="1" customWidth="1"/>
    <col min="34" max="34" width="22" style="2" bestFit="1" customWidth="1"/>
    <col min="35" max="35" width="14" style="2" bestFit="1" customWidth="1"/>
    <col min="36" max="36" width="21.5703125" style="2" bestFit="1" customWidth="1"/>
    <col min="37" max="37" width="14" style="2" bestFit="1" customWidth="1"/>
    <col min="38" max="38" width="22" style="2" bestFit="1" customWidth="1"/>
    <col min="39" max="39" width="14" style="2" bestFit="1" customWidth="1"/>
    <col min="40" max="40" width="22.28515625" style="2" bestFit="1" customWidth="1"/>
    <col min="41" max="41" width="15.140625" style="2" bestFit="1" customWidth="1"/>
    <col min="42" max="42" width="25.85546875" style="2" bestFit="1" customWidth="1"/>
    <col min="43" max="43" width="9.140625" style="2"/>
    <col min="44" max="44" width="22.7109375" style="2" bestFit="1" customWidth="1"/>
    <col min="45" max="45" width="11.28515625" style="2" bestFit="1" customWidth="1"/>
    <col min="46" max="16384" width="9.140625" style="2"/>
  </cols>
  <sheetData>
    <row r="1" spans="1:45" ht="13.5" customHeight="1" x14ac:dyDescent="0.25">
      <c r="A1" s="120"/>
      <c r="B1" s="120"/>
      <c r="C1" s="120"/>
      <c r="D1" s="118"/>
      <c r="E1" s="118"/>
    </row>
    <row r="2" spans="1:45" x14ac:dyDescent="0.25">
      <c r="A2" s="120" t="s">
        <v>153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45" x14ac:dyDescent="0.25">
      <c r="A3" s="120" t="s">
        <v>1191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1:45" x14ac:dyDescent="0.25">
      <c r="A4" s="121" t="s">
        <v>5</v>
      </c>
      <c r="B4" s="121"/>
      <c r="C4" s="121"/>
      <c r="D4" s="119"/>
      <c r="E4" s="119"/>
    </row>
    <row r="5" spans="1:45" x14ac:dyDescent="0.25">
      <c r="A5" s="18"/>
      <c r="B5" s="18"/>
      <c r="C5" s="18"/>
      <c r="D5" s="18"/>
      <c r="E5" s="18"/>
    </row>
    <row r="6" spans="1:45" s="19" customFormat="1" ht="22.9" customHeight="1" x14ac:dyDescent="0.25">
      <c r="A6" s="785" t="s">
        <v>58</v>
      </c>
      <c r="B6" s="785" t="s">
        <v>56</v>
      </c>
      <c r="C6" s="787" t="s">
        <v>13</v>
      </c>
      <c r="D6" s="55"/>
      <c r="E6" s="34"/>
    </row>
    <row r="7" spans="1:45" s="20" customFormat="1" ht="54" customHeight="1" x14ac:dyDescent="0.25">
      <c r="A7" s="786"/>
      <c r="B7" s="786"/>
      <c r="C7" s="788"/>
      <c r="D7" s="56" t="s">
        <v>1196</v>
      </c>
      <c r="E7" s="779" t="s">
        <v>297</v>
      </c>
      <c r="F7" s="780"/>
      <c r="G7" s="779" t="s">
        <v>298</v>
      </c>
      <c r="H7" s="780"/>
      <c r="I7" s="779" t="s">
        <v>299</v>
      </c>
      <c r="J7" s="780"/>
      <c r="K7" s="779" t="s">
        <v>300</v>
      </c>
      <c r="L7" s="780"/>
      <c r="M7" s="779" t="s">
        <v>183</v>
      </c>
      <c r="N7" s="780"/>
      <c r="O7" s="779" t="s">
        <v>184</v>
      </c>
      <c r="P7" s="780"/>
      <c r="Q7" s="779" t="s">
        <v>185</v>
      </c>
      <c r="R7" s="780"/>
      <c r="S7" s="779" t="s">
        <v>186</v>
      </c>
      <c r="T7" s="780"/>
      <c r="U7" s="779" t="s">
        <v>187</v>
      </c>
      <c r="V7" s="780"/>
      <c r="W7" s="779" t="s">
        <v>188</v>
      </c>
      <c r="X7" s="780"/>
      <c r="Y7" s="779" t="s">
        <v>189</v>
      </c>
      <c r="Z7" s="780"/>
      <c r="AA7" s="779" t="s">
        <v>190</v>
      </c>
      <c r="AB7" s="780"/>
      <c r="AC7" s="779" t="s">
        <v>191</v>
      </c>
      <c r="AD7" s="780"/>
      <c r="AE7" s="779" t="s">
        <v>192</v>
      </c>
      <c r="AF7" s="780"/>
      <c r="AG7" s="779" t="s">
        <v>193</v>
      </c>
      <c r="AH7" s="780"/>
      <c r="AI7" s="779" t="s">
        <v>194</v>
      </c>
      <c r="AJ7" s="780"/>
      <c r="AK7" s="779" t="s">
        <v>195</v>
      </c>
      <c r="AL7" s="780"/>
      <c r="AM7" s="783" t="s">
        <v>196</v>
      </c>
      <c r="AN7" s="784"/>
      <c r="AO7" s="781" t="s">
        <v>37</v>
      </c>
      <c r="AP7" s="782"/>
      <c r="AR7" s="20" t="s">
        <v>594</v>
      </c>
    </row>
    <row r="8" spans="1:45" ht="9.75" customHeight="1" x14ac:dyDescent="0.25">
      <c r="A8" s="790"/>
      <c r="B8" s="791"/>
      <c r="C8" s="791"/>
      <c r="D8" s="57"/>
      <c r="E8" s="18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</row>
    <row r="9" spans="1:45" s="53" customFormat="1" ht="18" customHeight="1" x14ac:dyDescent="0.25">
      <c r="A9" s="792">
        <v>1</v>
      </c>
      <c r="B9" s="41">
        <v>10000</v>
      </c>
      <c r="C9" s="42" t="s">
        <v>0</v>
      </c>
      <c r="D9" s="58"/>
      <c r="E9" s="52" t="s">
        <v>14</v>
      </c>
      <c r="F9" s="32" t="s">
        <v>15</v>
      </c>
      <c r="G9" s="52" t="s">
        <v>14</v>
      </c>
      <c r="H9" s="32" t="s">
        <v>15</v>
      </c>
      <c r="I9" s="52" t="s">
        <v>14</v>
      </c>
      <c r="J9" s="32" t="s">
        <v>15</v>
      </c>
      <c r="K9" s="52" t="s">
        <v>14</v>
      </c>
      <c r="L9" s="32" t="s">
        <v>15</v>
      </c>
      <c r="M9" s="52" t="s">
        <v>14</v>
      </c>
      <c r="N9" s="32" t="s">
        <v>15</v>
      </c>
      <c r="O9" s="52" t="s">
        <v>14</v>
      </c>
      <c r="P9" s="32" t="s">
        <v>15</v>
      </c>
      <c r="Q9" s="52" t="s">
        <v>14</v>
      </c>
      <c r="R9" s="32" t="s">
        <v>15</v>
      </c>
      <c r="S9" s="52" t="s">
        <v>14</v>
      </c>
      <c r="T9" s="32" t="s">
        <v>15</v>
      </c>
      <c r="U9" s="52" t="s">
        <v>14</v>
      </c>
      <c r="V9" s="32" t="s">
        <v>15</v>
      </c>
      <c r="W9" s="52" t="s">
        <v>14</v>
      </c>
      <c r="X9" s="32" t="s">
        <v>15</v>
      </c>
      <c r="Y9" s="52" t="s">
        <v>14</v>
      </c>
      <c r="Z9" s="32" t="s">
        <v>15</v>
      </c>
      <c r="AA9" s="52" t="s">
        <v>14</v>
      </c>
      <c r="AB9" s="32" t="s">
        <v>15</v>
      </c>
      <c r="AC9" s="52" t="s">
        <v>14</v>
      </c>
      <c r="AD9" s="32" t="s">
        <v>15</v>
      </c>
      <c r="AE9" s="52" t="s">
        <v>14</v>
      </c>
      <c r="AF9" s="32" t="s">
        <v>15</v>
      </c>
      <c r="AG9" s="52" t="s">
        <v>14</v>
      </c>
      <c r="AH9" s="32" t="s">
        <v>15</v>
      </c>
      <c r="AI9" s="52" t="s">
        <v>14</v>
      </c>
      <c r="AJ9" s="32" t="s">
        <v>15</v>
      </c>
      <c r="AK9" s="52" t="s">
        <v>14</v>
      </c>
      <c r="AL9" s="32" t="s">
        <v>15</v>
      </c>
      <c r="AM9" s="52" t="s">
        <v>14</v>
      </c>
      <c r="AN9" s="32" t="s">
        <v>15</v>
      </c>
      <c r="AO9" s="52" t="s">
        <v>14</v>
      </c>
      <c r="AP9" s="32" t="s">
        <v>15</v>
      </c>
    </row>
    <row r="10" spans="1:45" s="3" customFormat="1" ht="31.5" x14ac:dyDescent="0.25">
      <c r="A10" s="793"/>
      <c r="B10" s="38">
        <v>11000</v>
      </c>
      <c r="C10" s="48" t="s">
        <v>63</v>
      </c>
      <c r="D10" s="61">
        <f>'1.1'!H56</f>
        <v>246062310</v>
      </c>
      <c r="E10" s="35">
        <f>'1.1'!AA56</f>
        <v>2470</v>
      </c>
      <c r="F10" s="35">
        <f>'1.1'!AB56</f>
        <v>12220700</v>
      </c>
      <c r="G10" s="35">
        <f>'1.1'!AC56</f>
        <v>1119</v>
      </c>
      <c r="H10" s="35">
        <f>'1.1'!AD56</f>
        <v>8990200</v>
      </c>
      <c r="I10" s="35">
        <f>'1.1'!AE56</f>
        <v>2490</v>
      </c>
      <c r="J10" s="35">
        <f>'1.1'!AF56</f>
        <v>12599900</v>
      </c>
      <c r="K10" s="35">
        <f>'1.1'!AG56</f>
        <v>3636</v>
      </c>
      <c r="L10" s="35">
        <f>'1.1'!AH56</f>
        <v>15510700</v>
      </c>
      <c r="M10" s="35">
        <f>'1.1'!AI56</f>
        <v>1727.7</v>
      </c>
      <c r="N10" s="35">
        <f>'1.1'!AJ56</f>
        <v>9989010</v>
      </c>
      <c r="O10" s="35">
        <f>'1.1'!AK56</f>
        <v>2817</v>
      </c>
      <c r="P10" s="35">
        <f>'1.1'!AL56</f>
        <v>16346200</v>
      </c>
      <c r="Q10" s="35">
        <f>'1.1'!AM56</f>
        <v>1878</v>
      </c>
      <c r="R10" s="35">
        <f>'1.1'!AN56</f>
        <v>11376600</v>
      </c>
      <c r="S10" s="35">
        <f>'1.1'!AO56</f>
        <v>3614</v>
      </c>
      <c r="T10" s="35">
        <f>'1.1'!AP56</f>
        <v>13982000</v>
      </c>
      <c r="U10" s="35">
        <f>'1.1'!AQ56</f>
        <v>875</v>
      </c>
      <c r="V10" s="35">
        <f>'1.1'!AR56</f>
        <v>8698200</v>
      </c>
      <c r="W10" s="35">
        <f>'1.1'!AS56</f>
        <v>1442</v>
      </c>
      <c r="X10" s="35">
        <f>'1.1'!AT56</f>
        <v>10807100</v>
      </c>
      <c r="Y10" s="35">
        <f>'1.1'!AU56</f>
        <v>2548</v>
      </c>
      <c r="Z10" s="35">
        <f>'1.1'!AV56</f>
        <v>11204500</v>
      </c>
      <c r="AA10" s="35">
        <f>'1.1'!AW56</f>
        <v>2239</v>
      </c>
      <c r="AB10" s="35">
        <f>'1.1'!AX56</f>
        <v>11900900</v>
      </c>
      <c r="AC10" s="35">
        <f>'1.1'!AY56</f>
        <v>2993</v>
      </c>
      <c r="AD10" s="35">
        <f>'1.1'!AZ56</f>
        <v>12962400</v>
      </c>
      <c r="AE10" s="35">
        <f>'1.1'!BA56</f>
        <v>3314</v>
      </c>
      <c r="AF10" s="35">
        <f>'1.1'!BB56</f>
        <v>13549900</v>
      </c>
      <c r="AG10" s="35">
        <f>'1.1'!BC56</f>
        <v>2889</v>
      </c>
      <c r="AH10" s="35">
        <f>'1.1'!BD56</f>
        <v>13514800</v>
      </c>
      <c r="AI10" s="35">
        <f>'1.1'!BE56</f>
        <v>5055</v>
      </c>
      <c r="AJ10" s="35">
        <f>'1.1'!BF56</f>
        <v>16784800</v>
      </c>
      <c r="AK10" s="35">
        <f>'1.1'!BG56</f>
        <v>2359</v>
      </c>
      <c r="AL10" s="35">
        <f>'1.1'!BH56</f>
        <v>10458400</v>
      </c>
      <c r="AM10" s="35">
        <f>'1.1'!BI56</f>
        <v>1029</v>
      </c>
      <c r="AN10" s="35">
        <f>'1.1'!BJ56</f>
        <v>35166000</v>
      </c>
      <c r="AO10" s="44">
        <f>AM10+AK10+AI10+AG10+AE10+AC10+AA10+Y10+W10+U10+S10+Q10+O10+M10+K10+I10+G10+E10</f>
        <v>44494.7</v>
      </c>
      <c r="AP10" s="44">
        <f>AN10+AL10+AJ10+AH10+AF10+AD10+AB10+Z10+X10+V10+T10+R10+P10+N10+L10+J10+H10+F10</f>
        <v>246062310</v>
      </c>
      <c r="AR10" s="4">
        <f>D10-AP10</f>
        <v>0</v>
      </c>
    </row>
    <row r="11" spans="1:45" s="3" customFormat="1" ht="29.25" customHeight="1" x14ac:dyDescent="0.25">
      <c r="A11" s="793"/>
      <c r="B11" s="38">
        <v>12000</v>
      </c>
      <c r="C11" s="48" t="s">
        <v>68</v>
      </c>
      <c r="D11" s="61">
        <f>'1.2'!F66</f>
        <v>19415825</v>
      </c>
      <c r="E11" s="36">
        <f>'1.2'!Y66</f>
        <v>1040</v>
      </c>
      <c r="F11" s="36">
        <f>'1.2'!Z66</f>
        <v>1212300</v>
      </c>
      <c r="G11" s="36">
        <f>'1.2'!AA66</f>
        <v>643</v>
      </c>
      <c r="H11" s="36">
        <f>'1.2'!AB66</f>
        <v>783750</v>
      </c>
      <c r="I11" s="36">
        <f>'1.2'!AC66</f>
        <v>1153</v>
      </c>
      <c r="J11" s="36">
        <f>'1.2'!AD66</f>
        <v>1378300</v>
      </c>
      <c r="K11" s="36">
        <f>'1.2'!AE66</f>
        <v>1219</v>
      </c>
      <c r="L11" s="36">
        <f>'1.2'!AF66</f>
        <v>1429650</v>
      </c>
      <c r="M11" s="36">
        <f>'1.2'!AG66</f>
        <v>523</v>
      </c>
      <c r="N11" s="36">
        <f>'1.2'!AH66</f>
        <v>701450</v>
      </c>
      <c r="O11" s="36">
        <f>'1.2'!AI66</f>
        <v>1137</v>
      </c>
      <c r="P11" s="36">
        <f>'1.2'!AJ66</f>
        <v>1221000</v>
      </c>
      <c r="Q11" s="36">
        <f>'1.2'!AK66</f>
        <v>920</v>
      </c>
      <c r="R11" s="36">
        <f>'1.2'!AL66</f>
        <v>1153750</v>
      </c>
      <c r="S11" s="36">
        <f>'1.2'!AM66</f>
        <v>1155</v>
      </c>
      <c r="T11" s="36">
        <f>'1.2'!AN66</f>
        <v>1046850</v>
      </c>
      <c r="U11" s="36">
        <f>'1.2'!AO66</f>
        <v>508</v>
      </c>
      <c r="V11" s="36">
        <f>'1.2'!AP66</f>
        <v>754300</v>
      </c>
      <c r="W11" s="36">
        <f>'1.2'!AQ66</f>
        <v>1035</v>
      </c>
      <c r="X11" s="36">
        <f>'1.2'!AR66</f>
        <v>1023250</v>
      </c>
      <c r="Y11" s="36">
        <f>'1.2'!AS66</f>
        <v>1157</v>
      </c>
      <c r="Z11" s="36">
        <f>'1.2'!AT66</f>
        <v>1290700</v>
      </c>
      <c r="AA11" s="36">
        <f>'1.2'!AU66</f>
        <v>926</v>
      </c>
      <c r="AB11" s="36">
        <f>'1.2'!AV66</f>
        <v>1036700</v>
      </c>
      <c r="AC11" s="36">
        <f>'1.2'!AW66</f>
        <v>1059</v>
      </c>
      <c r="AD11" s="36">
        <f>'1.2'!AX66</f>
        <v>1175550</v>
      </c>
      <c r="AE11" s="36">
        <f>'1.2'!AY66</f>
        <v>1206</v>
      </c>
      <c r="AF11" s="36">
        <f>'1.2'!AZ66</f>
        <v>1242700</v>
      </c>
      <c r="AG11" s="36">
        <f>'1.2'!BA66</f>
        <v>1071.5</v>
      </c>
      <c r="AH11" s="36">
        <f>'1.2'!BB66</f>
        <v>1271575</v>
      </c>
      <c r="AI11" s="36">
        <f>'1.2'!BC66</f>
        <v>1178</v>
      </c>
      <c r="AJ11" s="36">
        <f>'1.2'!BD66</f>
        <v>1180400</v>
      </c>
      <c r="AK11" s="36">
        <f>'1.2'!BE66</f>
        <v>1090</v>
      </c>
      <c r="AL11" s="36">
        <f>'1.2'!BF66</f>
        <v>1513600</v>
      </c>
      <c r="AM11" s="36">
        <f>'1.2'!BG66</f>
        <v>0</v>
      </c>
      <c r="AN11" s="36">
        <f>'1.2'!BH66</f>
        <v>0</v>
      </c>
      <c r="AO11" s="44">
        <f>AM11+AK11+AI11+AG11+AE11+AC11+AA11+Y11+W11+U11+S11+Q11+O11+M11+K11+I11+G11+E11</f>
        <v>17020.5</v>
      </c>
      <c r="AP11" s="44">
        <f>AN11+AL11+AJ11+AH11+AF11+AD11+AB11+Z11+X11+V11+T11+R11+P11+N11+L11+J11+H11+F11</f>
        <v>19415825</v>
      </c>
      <c r="AR11" s="4">
        <f>D11-AP11</f>
        <v>0</v>
      </c>
    </row>
    <row r="12" spans="1:45" s="3" customFormat="1" x14ac:dyDescent="0.25">
      <c r="A12" s="794"/>
      <c r="B12" s="41"/>
      <c r="C12" s="49" t="s">
        <v>3</v>
      </c>
      <c r="D12" s="46">
        <f t="shared" ref="D12:AP12" si="0">SUM(D10:D11)</f>
        <v>265478135</v>
      </c>
      <c r="E12" s="46">
        <f t="shared" si="0"/>
        <v>3510</v>
      </c>
      <c r="F12" s="46">
        <f t="shared" si="0"/>
        <v>13433000</v>
      </c>
      <c r="G12" s="46">
        <f t="shared" si="0"/>
        <v>1762</v>
      </c>
      <c r="H12" s="46">
        <f t="shared" si="0"/>
        <v>9773950</v>
      </c>
      <c r="I12" s="46">
        <f t="shared" si="0"/>
        <v>3643</v>
      </c>
      <c r="J12" s="46">
        <f t="shared" si="0"/>
        <v>13978200</v>
      </c>
      <c r="K12" s="46">
        <f t="shared" si="0"/>
        <v>4855</v>
      </c>
      <c r="L12" s="46">
        <f t="shared" si="0"/>
        <v>16940350</v>
      </c>
      <c r="M12" s="46">
        <f t="shared" si="0"/>
        <v>2250.6999999999998</v>
      </c>
      <c r="N12" s="46">
        <f t="shared" si="0"/>
        <v>10690460</v>
      </c>
      <c r="O12" s="46">
        <f t="shared" si="0"/>
        <v>3954</v>
      </c>
      <c r="P12" s="46">
        <f t="shared" si="0"/>
        <v>17567200</v>
      </c>
      <c r="Q12" s="46">
        <f t="shared" si="0"/>
        <v>2798</v>
      </c>
      <c r="R12" s="46">
        <f t="shared" si="0"/>
        <v>12530350</v>
      </c>
      <c r="S12" s="46">
        <f t="shared" si="0"/>
        <v>4769</v>
      </c>
      <c r="T12" s="46">
        <f t="shared" si="0"/>
        <v>15028850</v>
      </c>
      <c r="U12" s="46">
        <f t="shared" si="0"/>
        <v>1383</v>
      </c>
      <c r="V12" s="46">
        <f t="shared" si="0"/>
        <v>9452500</v>
      </c>
      <c r="W12" s="46">
        <f t="shared" si="0"/>
        <v>2477</v>
      </c>
      <c r="X12" s="46">
        <f t="shared" si="0"/>
        <v>11830350</v>
      </c>
      <c r="Y12" s="46">
        <f t="shared" si="0"/>
        <v>3705</v>
      </c>
      <c r="Z12" s="46">
        <f t="shared" si="0"/>
        <v>12495200</v>
      </c>
      <c r="AA12" s="46">
        <f t="shared" si="0"/>
        <v>3165</v>
      </c>
      <c r="AB12" s="46">
        <f t="shared" si="0"/>
        <v>12937600</v>
      </c>
      <c r="AC12" s="46">
        <f t="shared" si="0"/>
        <v>4052</v>
      </c>
      <c r="AD12" s="46">
        <f>SUM(AD10:AD11)</f>
        <v>14137950</v>
      </c>
      <c r="AE12" s="46">
        <f t="shared" si="0"/>
        <v>4520</v>
      </c>
      <c r="AF12" s="46">
        <f t="shared" si="0"/>
        <v>14792600</v>
      </c>
      <c r="AG12" s="46">
        <f t="shared" si="0"/>
        <v>3960.5</v>
      </c>
      <c r="AH12" s="46">
        <f t="shared" si="0"/>
        <v>14786375</v>
      </c>
      <c r="AI12" s="46">
        <f t="shared" si="0"/>
        <v>6233</v>
      </c>
      <c r="AJ12" s="46">
        <f t="shared" si="0"/>
        <v>17965200</v>
      </c>
      <c r="AK12" s="46">
        <f t="shared" si="0"/>
        <v>3449</v>
      </c>
      <c r="AL12" s="46">
        <f t="shared" si="0"/>
        <v>11972000</v>
      </c>
      <c r="AM12" s="46">
        <f t="shared" si="0"/>
        <v>1029</v>
      </c>
      <c r="AN12" s="46">
        <f t="shared" si="0"/>
        <v>35166000</v>
      </c>
      <c r="AO12" s="46">
        <f t="shared" si="0"/>
        <v>61515.199999999997</v>
      </c>
      <c r="AP12" s="46">
        <f t="shared" si="0"/>
        <v>265478135</v>
      </c>
      <c r="AR12" s="4">
        <f>D12-AP12</f>
        <v>0</v>
      </c>
    </row>
    <row r="13" spans="1:45" s="3" customFormat="1" x14ac:dyDescent="0.25">
      <c r="A13" s="47"/>
      <c r="B13" s="47"/>
      <c r="C13" s="50"/>
      <c r="D13" s="50"/>
      <c r="E13" s="35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33"/>
    </row>
    <row r="14" spans="1:45" s="3" customFormat="1" x14ac:dyDescent="0.25">
      <c r="A14" s="792">
        <v>2</v>
      </c>
      <c r="B14" s="41">
        <v>20000</v>
      </c>
      <c r="C14" s="37" t="s">
        <v>89</v>
      </c>
      <c r="D14" s="59"/>
      <c r="E14" s="35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33"/>
    </row>
    <row r="15" spans="1:45" s="3" customFormat="1" x14ac:dyDescent="0.25">
      <c r="A15" s="793"/>
      <c r="B15" s="38">
        <v>21000</v>
      </c>
      <c r="C15" s="39" t="s">
        <v>175</v>
      </c>
      <c r="D15" s="62">
        <f>'2.1'!G108</f>
        <v>221262800</v>
      </c>
      <c r="E15" s="35">
        <f>'2.1'!Z108</f>
        <v>435</v>
      </c>
      <c r="F15" s="35">
        <f>'2.1'!AA108</f>
        <v>11510000</v>
      </c>
      <c r="G15" s="35">
        <f>'2.1'!AB108</f>
        <v>513</v>
      </c>
      <c r="H15" s="35">
        <f>'2.1'!AC108</f>
        <v>18626100</v>
      </c>
      <c r="I15" s="35">
        <f>'2.1'!AD108</f>
        <v>365</v>
      </c>
      <c r="J15" s="35">
        <f>'2.1'!AE108</f>
        <v>6567000</v>
      </c>
      <c r="K15" s="35">
        <f>'2.1'!AF108</f>
        <v>1041</v>
      </c>
      <c r="L15" s="35">
        <f>'2.1'!AG108</f>
        <v>21193500</v>
      </c>
      <c r="M15" s="35">
        <f>'2.1'!AH108</f>
        <v>668</v>
      </c>
      <c r="N15" s="35">
        <f>'2.1'!AI108</f>
        <v>7504000</v>
      </c>
      <c r="O15" s="35">
        <f>'2.1'!AJ108</f>
        <v>272</v>
      </c>
      <c r="P15" s="35">
        <f>'2.1'!AK108</f>
        <v>16249500</v>
      </c>
      <c r="Q15" s="35">
        <f>'2.1'!AL108</f>
        <v>462</v>
      </c>
      <c r="R15" s="35">
        <f>'2.1'!AM108</f>
        <v>14497500</v>
      </c>
      <c r="S15" s="35">
        <f>'2.1'!AN108</f>
        <v>549</v>
      </c>
      <c r="T15" s="35">
        <f>'2.1'!AO108</f>
        <v>12361300</v>
      </c>
      <c r="U15" s="35">
        <f>'2.1'!AP108</f>
        <v>241</v>
      </c>
      <c r="V15" s="35">
        <f>'2.1'!AQ108</f>
        <v>7892000</v>
      </c>
      <c r="W15" s="35">
        <f>'2.1'!AR108</f>
        <v>2474</v>
      </c>
      <c r="X15" s="35">
        <f>'2.1'!AS108</f>
        <v>21369800</v>
      </c>
      <c r="Y15" s="35">
        <f>'2.1'!AT108</f>
        <v>668</v>
      </c>
      <c r="Z15" s="35">
        <f>'2.1'!AU108</f>
        <v>13661500</v>
      </c>
      <c r="AA15" s="35">
        <f>'2.1'!AV108</f>
        <v>237</v>
      </c>
      <c r="AB15" s="35">
        <f>'2.1'!AW108</f>
        <v>10404100</v>
      </c>
      <c r="AC15" s="35">
        <f>'2.1'!AX108</f>
        <v>858.5</v>
      </c>
      <c r="AD15" s="35">
        <f>'2.1'!AY108</f>
        <v>9548500</v>
      </c>
      <c r="AE15" s="35">
        <f>'2.1'!AZ108</f>
        <v>431</v>
      </c>
      <c r="AF15" s="35">
        <f>'2.1'!BA108</f>
        <v>17703000</v>
      </c>
      <c r="AG15" s="35">
        <f>'2.1'!BB108</f>
        <v>346</v>
      </c>
      <c r="AH15" s="35">
        <f>'2.1'!BC108</f>
        <v>13907000</v>
      </c>
      <c r="AI15" s="35">
        <f>'2.1'!BD108</f>
        <v>278</v>
      </c>
      <c r="AJ15" s="35">
        <f>'2.1'!BE108</f>
        <v>8093500</v>
      </c>
      <c r="AK15" s="35">
        <f>'2.1'!BF108</f>
        <v>402</v>
      </c>
      <c r="AL15" s="35">
        <f>'2.1'!BG108</f>
        <v>10074500</v>
      </c>
      <c r="AM15" s="35">
        <f>'2.1'!BH108</f>
        <v>1</v>
      </c>
      <c r="AN15" s="35">
        <f>'2.1'!BI108</f>
        <v>100000</v>
      </c>
      <c r="AO15" s="44">
        <f>AM15+AK15+AI15+AG15+AE15+AC15+AA15+Y15+W15+U15+S15+Q15+O15+M15+K15+I15+G15+E15</f>
        <v>10241.5</v>
      </c>
      <c r="AP15" s="44">
        <f>AN15+AL15+AJ15+AH15+AF15+AD15+AB15+Z15+X15+V15+T15+R15+P15+N15+L15+J15+H15+F15</f>
        <v>221262800</v>
      </c>
      <c r="AR15" s="4">
        <f>D15-AP15</f>
        <v>0</v>
      </c>
      <c r="AS15" s="4">
        <f>D15-AP15</f>
        <v>0</v>
      </c>
    </row>
    <row r="16" spans="1:45" s="3" customFormat="1" x14ac:dyDescent="0.25">
      <c r="A16" s="793"/>
      <c r="B16" s="38">
        <v>22000</v>
      </c>
      <c r="C16" s="39" t="s">
        <v>506</v>
      </c>
      <c r="D16" s="62">
        <f>'2.2'!H92</f>
        <v>44856250</v>
      </c>
      <c r="E16" s="35">
        <f>'2.2'!AA92</f>
        <v>1254</v>
      </c>
      <c r="F16" s="35">
        <f>'2.2'!AB92</f>
        <v>6010000</v>
      </c>
      <c r="G16" s="35">
        <f>'2.2'!AC92</f>
        <v>644</v>
      </c>
      <c r="H16" s="35">
        <f>'2.2'!AD92</f>
        <v>3227500</v>
      </c>
      <c r="I16" s="35">
        <f>'2.2'!AE92</f>
        <v>850</v>
      </c>
      <c r="J16" s="35">
        <f>'2.2'!AF92</f>
        <v>3970000</v>
      </c>
      <c r="K16" s="35">
        <f>'2.2'!AG92</f>
        <v>584</v>
      </c>
      <c r="L16" s="35">
        <f>'2.2'!AH92</f>
        <v>2897500</v>
      </c>
      <c r="M16" s="35">
        <f>'2.2'!AI92</f>
        <v>119</v>
      </c>
      <c r="N16" s="35">
        <f>'2.2'!AJ92</f>
        <v>100000</v>
      </c>
      <c r="O16" s="35">
        <f>'2.2'!AK92</f>
        <v>710</v>
      </c>
      <c r="P16" s="35">
        <f>'2.2'!AL92</f>
        <v>3790000</v>
      </c>
      <c r="Q16" s="35">
        <f>'2.2'!AM92</f>
        <v>758</v>
      </c>
      <c r="R16" s="35">
        <f>'2.2'!AN92</f>
        <v>3475000</v>
      </c>
      <c r="S16" s="35">
        <f>'2.2'!AO92</f>
        <v>552</v>
      </c>
      <c r="T16" s="35">
        <f>'2.2'!AP92</f>
        <v>2642500</v>
      </c>
      <c r="U16" s="35">
        <f>'2.2'!AQ92</f>
        <v>587</v>
      </c>
      <c r="V16" s="35">
        <f>'2.2'!AR92</f>
        <v>3187500</v>
      </c>
      <c r="W16" s="35">
        <f>'2.2'!AS92</f>
        <v>600</v>
      </c>
      <c r="X16" s="35">
        <f>'2.2'!AT92</f>
        <v>2755000</v>
      </c>
      <c r="Y16" s="35">
        <f>'2.2'!AU92</f>
        <v>472</v>
      </c>
      <c r="Z16" s="35">
        <f>'2.2'!AV92</f>
        <v>2002000</v>
      </c>
      <c r="AA16" s="35">
        <f>'2.2'!AW92</f>
        <v>415</v>
      </c>
      <c r="AB16" s="35">
        <f>'2.2'!AX92</f>
        <v>2083750</v>
      </c>
      <c r="AC16" s="35">
        <f>'2.2'!AY92</f>
        <v>492</v>
      </c>
      <c r="AD16" s="35">
        <f>'2.2'!AZ92</f>
        <v>1840000</v>
      </c>
      <c r="AE16" s="35">
        <f>'2.2'!BA92</f>
        <v>758</v>
      </c>
      <c r="AF16" s="35">
        <f>'2.2'!BB92</f>
        <v>2695000</v>
      </c>
      <c r="AG16" s="35">
        <f>'2.2'!BC92</f>
        <v>317</v>
      </c>
      <c r="AH16" s="35">
        <f>'2.2'!BD92</f>
        <v>1217500</v>
      </c>
      <c r="AI16" s="35">
        <f>'2.2'!BE92</f>
        <v>395</v>
      </c>
      <c r="AJ16" s="35">
        <f>'2.2'!BF92</f>
        <v>1217500</v>
      </c>
      <c r="AK16" s="35">
        <f>'2.2'!BG92</f>
        <v>388</v>
      </c>
      <c r="AL16" s="35">
        <f>'2.2'!BH92</f>
        <v>1745500</v>
      </c>
      <c r="AM16" s="35">
        <f>'2.2'!BI92</f>
        <v>0</v>
      </c>
      <c r="AN16" s="35">
        <f>'2.2'!BJ92</f>
        <v>0</v>
      </c>
      <c r="AO16" s="44">
        <f t="shared" ref="AO16:AO17" si="1">AM16+AK16+AI16+AG16+AE16+AC16+AA16+Y16+W16+U16+S16+Q16+O16+M16+K16+I16+G16+E16</f>
        <v>9895</v>
      </c>
      <c r="AP16" s="44">
        <f>AN16+AL16+AJ16+AH16+AF16+AD16+AB16+Z16+X16+V16+T16+R16+P16+N16+L16+J16+H16+F16</f>
        <v>44856250</v>
      </c>
      <c r="AR16" s="4">
        <f>D16-AP16</f>
        <v>0</v>
      </c>
    </row>
    <row r="17" spans="1:44" s="3" customFormat="1" x14ac:dyDescent="0.25">
      <c r="A17" s="793"/>
      <c r="B17" s="38">
        <v>23000</v>
      </c>
      <c r="C17" s="39" t="s">
        <v>505</v>
      </c>
      <c r="D17" s="62">
        <f>'2.3'!H72</f>
        <v>307958150</v>
      </c>
      <c r="E17" s="35">
        <f>'2.3'!AA72</f>
        <v>1553</v>
      </c>
      <c r="F17" s="35">
        <f>'2.3'!AB72</f>
        <v>20350800</v>
      </c>
      <c r="G17" s="35">
        <f>'2.3'!AC72</f>
        <v>1690</v>
      </c>
      <c r="H17" s="35">
        <f>'2.3'!AD72</f>
        <v>18300000</v>
      </c>
      <c r="I17" s="35">
        <f>'2.3'!AE72</f>
        <v>1384</v>
      </c>
      <c r="J17" s="35">
        <f>'2.3'!AF72</f>
        <v>12582000</v>
      </c>
      <c r="K17" s="35">
        <f>'2.3'!AG72</f>
        <v>2170</v>
      </c>
      <c r="L17" s="35">
        <f>'2.3'!AH72</f>
        <v>26018100</v>
      </c>
      <c r="M17" s="35">
        <f>'2.3'!AI72</f>
        <v>414</v>
      </c>
      <c r="N17" s="35">
        <f>'2.3'!AJ72</f>
        <v>10060200</v>
      </c>
      <c r="O17" s="35">
        <f>'2.3'!AK72</f>
        <v>2026</v>
      </c>
      <c r="P17" s="35">
        <f>'2.3'!AL72</f>
        <v>28063600</v>
      </c>
      <c r="Q17" s="35">
        <f>'2.3'!AM72</f>
        <v>1083</v>
      </c>
      <c r="R17" s="35">
        <f>'2.3'!AN72</f>
        <v>17196500</v>
      </c>
      <c r="S17" s="35">
        <f>'2.3'!AO72</f>
        <v>1388</v>
      </c>
      <c r="T17" s="35">
        <f>'2.3'!AP72</f>
        <v>12399800</v>
      </c>
      <c r="U17" s="35">
        <f>'2.3'!AQ72</f>
        <v>147</v>
      </c>
      <c r="V17" s="35">
        <f>'2.3'!AR72</f>
        <v>16866300</v>
      </c>
      <c r="W17" s="35">
        <f>'2.3'!AS72</f>
        <v>1945</v>
      </c>
      <c r="X17" s="35">
        <f>'2.3'!AT72</f>
        <v>29891400</v>
      </c>
      <c r="Y17" s="35">
        <f>'2.3'!AU72</f>
        <v>1741</v>
      </c>
      <c r="Z17" s="35">
        <f>'2.3'!AV72</f>
        <v>19646300</v>
      </c>
      <c r="AA17" s="35">
        <f>'2.3'!AW72</f>
        <v>2595</v>
      </c>
      <c r="AB17" s="35">
        <f>'2.3'!AX72</f>
        <v>16783950</v>
      </c>
      <c r="AC17" s="35">
        <f>'2.3'!AY72</f>
        <v>1574</v>
      </c>
      <c r="AD17" s="35">
        <f>'2.3'!AZ72</f>
        <v>14854900</v>
      </c>
      <c r="AE17" s="35">
        <f>'2.3'!BA72</f>
        <v>1381</v>
      </c>
      <c r="AF17" s="35">
        <f>'2.3'!BB72</f>
        <v>17431100</v>
      </c>
      <c r="AG17" s="35">
        <f>'2.3'!BC72</f>
        <v>125</v>
      </c>
      <c r="AH17" s="35">
        <f>'2.3'!BD72</f>
        <v>9573800</v>
      </c>
      <c r="AI17" s="35">
        <f>'2.3'!BE72</f>
        <v>2421</v>
      </c>
      <c r="AJ17" s="35">
        <f>'2.3'!BF72</f>
        <v>19747000</v>
      </c>
      <c r="AK17" s="35">
        <f>'2.3'!BG72</f>
        <v>835</v>
      </c>
      <c r="AL17" s="35">
        <f>'2.3'!BH72</f>
        <v>15192400</v>
      </c>
      <c r="AM17" s="35">
        <f>'2.3'!BI72</f>
        <v>3</v>
      </c>
      <c r="AN17" s="35">
        <f>'2.3'!BJ72</f>
        <v>3000000</v>
      </c>
      <c r="AO17" s="44">
        <f t="shared" si="1"/>
        <v>24475</v>
      </c>
      <c r="AP17" s="44">
        <f>AN17+AL17+AJ17+AH17+AF17+AD17+AB17+Z17+X17+V17+T17+R17+P17+N17+L17+J17+H17+F17</f>
        <v>307958150</v>
      </c>
      <c r="AR17" s="4">
        <f>D17-AP17</f>
        <v>0</v>
      </c>
    </row>
    <row r="18" spans="1:44" s="3" customFormat="1" x14ac:dyDescent="0.25">
      <c r="A18" s="794"/>
      <c r="B18" s="41"/>
      <c r="C18" s="49" t="s">
        <v>3</v>
      </c>
      <c r="D18" s="46">
        <f t="shared" ref="D18:AP18" si="2">SUM(D15:D17)</f>
        <v>574077200</v>
      </c>
      <c r="E18" s="46">
        <f t="shared" si="2"/>
        <v>3242</v>
      </c>
      <c r="F18" s="46">
        <f t="shared" si="2"/>
        <v>37870800</v>
      </c>
      <c r="G18" s="46">
        <f t="shared" si="2"/>
        <v>2847</v>
      </c>
      <c r="H18" s="46">
        <f t="shared" si="2"/>
        <v>40153600</v>
      </c>
      <c r="I18" s="46">
        <f t="shared" si="2"/>
        <v>2599</v>
      </c>
      <c r="J18" s="46">
        <f t="shared" si="2"/>
        <v>23119000</v>
      </c>
      <c r="K18" s="46">
        <f t="shared" si="2"/>
        <v>3795</v>
      </c>
      <c r="L18" s="46">
        <f t="shared" si="2"/>
        <v>50109100</v>
      </c>
      <c r="M18" s="46">
        <f t="shared" si="2"/>
        <v>1201</v>
      </c>
      <c r="N18" s="46">
        <f t="shared" si="2"/>
        <v>17664200</v>
      </c>
      <c r="O18" s="46">
        <f t="shared" si="2"/>
        <v>3008</v>
      </c>
      <c r="P18" s="46">
        <f t="shared" si="2"/>
        <v>48103100</v>
      </c>
      <c r="Q18" s="46">
        <f t="shared" si="2"/>
        <v>2303</v>
      </c>
      <c r="R18" s="46">
        <f t="shared" si="2"/>
        <v>35169000</v>
      </c>
      <c r="S18" s="46">
        <f t="shared" si="2"/>
        <v>2489</v>
      </c>
      <c r="T18" s="46">
        <f t="shared" si="2"/>
        <v>27403600</v>
      </c>
      <c r="U18" s="46">
        <f t="shared" si="2"/>
        <v>975</v>
      </c>
      <c r="V18" s="46">
        <f t="shared" si="2"/>
        <v>27945800</v>
      </c>
      <c r="W18" s="46">
        <f t="shared" si="2"/>
        <v>5019</v>
      </c>
      <c r="X18" s="46">
        <f t="shared" si="2"/>
        <v>54016200</v>
      </c>
      <c r="Y18" s="46">
        <f t="shared" si="2"/>
        <v>2881</v>
      </c>
      <c r="Z18" s="46">
        <f t="shared" si="2"/>
        <v>35309800</v>
      </c>
      <c r="AA18" s="46">
        <f t="shared" si="2"/>
        <v>3247</v>
      </c>
      <c r="AB18" s="46">
        <f t="shared" si="2"/>
        <v>29271800</v>
      </c>
      <c r="AC18" s="46">
        <f t="shared" si="2"/>
        <v>2924.5</v>
      </c>
      <c r="AD18" s="46">
        <f t="shared" si="2"/>
        <v>26243400</v>
      </c>
      <c r="AE18" s="46">
        <f t="shared" si="2"/>
        <v>2570</v>
      </c>
      <c r="AF18" s="46">
        <f t="shared" si="2"/>
        <v>37829100</v>
      </c>
      <c r="AG18" s="46">
        <f t="shared" si="2"/>
        <v>788</v>
      </c>
      <c r="AH18" s="46">
        <f t="shared" si="2"/>
        <v>24698300</v>
      </c>
      <c r="AI18" s="46">
        <f t="shared" si="2"/>
        <v>3094</v>
      </c>
      <c r="AJ18" s="46">
        <f t="shared" si="2"/>
        <v>29058000</v>
      </c>
      <c r="AK18" s="46">
        <f t="shared" si="2"/>
        <v>1625</v>
      </c>
      <c r="AL18" s="46">
        <f t="shared" si="2"/>
        <v>27012400</v>
      </c>
      <c r="AM18" s="46">
        <f t="shared" si="2"/>
        <v>4</v>
      </c>
      <c r="AN18" s="46">
        <f t="shared" si="2"/>
        <v>3100000</v>
      </c>
      <c r="AO18" s="46">
        <f t="shared" si="2"/>
        <v>44611.5</v>
      </c>
      <c r="AP18" s="46">
        <f t="shared" si="2"/>
        <v>574077200</v>
      </c>
      <c r="AR18" s="4">
        <f>D18-AP18</f>
        <v>0</v>
      </c>
    </row>
    <row r="19" spans="1:44" s="3" customFormat="1" ht="13.5" customHeight="1" x14ac:dyDescent="0.25">
      <c r="A19" s="47"/>
      <c r="B19" s="47"/>
      <c r="C19" s="50"/>
      <c r="D19" s="50"/>
      <c r="E19" s="35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33"/>
    </row>
    <row r="20" spans="1:44" s="3" customFormat="1" ht="31.5" x14ac:dyDescent="0.25">
      <c r="A20" s="792">
        <v>3</v>
      </c>
      <c r="B20" s="41">
        <v>30000</v>
      </c>
      <c r="C20" s="51" t="s">
        <v>91</v>
      </c>
      <c r="D20" s="60"/>
      <c r="E20" s="35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33"/>
    </row>
    <row r="21" spans="1:44" s="3" customFormat="1" x14ac:dyDescent="0.25">
      <c r="A21" s="793"/>
      <c r="B21" s="38">
        <v>31000</v>
      </c>
      <c r="C21" s="39" t="s">
        <v>167</v>
      </c>
      <c r="D21" s="62">
        <f>'3.1'!I56</f>
        <v>62380000</v>
      </c>
      <c r="E21" s="35">
        <f>'3.1'!AB56</f>
        <v>19</v>
      </c>
      <c r="F21" s="35">
        <f>'3.1'!AC56</f>
        <v>2500000</v>
      </c>
      <c r="G21" s="35">
        <f>'3.1'!AD56</f>
        <v>13</v>
      </c>
      <c r="H21" s="35">
        <f>'3.1'!AE56</f>
        <v>2100000</v>
      </c>
      <c r="I21" s="35">
        <f>'3.1'!AF56</f>
        <v>15</v>
      </c>
      <c r="J21" s="35">
        <f>'3.1'!AG56</f>
        <v>2700000</v>
      </c>
      <c r="K21" s="35">
        <f>'3.1'!AH56</f>
        <v>65</v>
      </c>
      <c r="L21" s="35">
        <f>'3.1'!AI56</f>
        <v>5260000</v>
      </c>
      <c r="M21" s="35">
        <f>'3.1'!AJ56</f>
        <v>33</v>
      </c>
      <c r="N21" s="35">
        <f>'3.1'!AK56</f>
        <v>3160000</v>
      </c>
      <c r="O21" s="35">
        <f>'3.1'!AL56</f>
        <v>38</v>
      </c>
      <c r="P21" s="35">
        <f>'3.1'!AM56</f>
        <v>5760000</v>
      </c>
      <c r="Q21" s="35">
        <f>'3.1'!AN56</f>
        <v>13</v>
      </c>
      <c r="R21" s="35">
        <f>'3.1'!AO56</f>
        <v>1400000</v>
      </c>
      <c r="S21" s="35">
        <f>'3.1'!AP56</f>
        <v>32</v>
      </c>
      <c r="T21" s="35">
        <f>'3.1'!AQ56</f>
        <v>1980000</v>
      </c>
      <c r="U21" s="35">
        <f>'3.1'!AR56</f>
        <v>10</v>
      </c>
      <c r="V21" s="35">
        <f>'3.1'!AS56</f>
        <v>1580000</v>
      </c>
      <c r="W21" s="35">
        <f>'3.1'!AT56</f>
        <v>25</v>
      </c>
      <c r="X21" s="35">
        <f>'3.1'!AU56</f>
        <v>4200000</v>
      </c>
      <c r="Y21" s="35">
        <f>'3.1'!AV56</f>
        <v>52</v>
      </c>
      <c r="Z21" s="35">
        <f>'3.1'!AW56</f>
        <v>5180000</v>
      </c>
      <c r="AA21" s="35">
        <f>'3.1'!AX56</f>
        <v>134</v>
      </c>
      <c r="AB21" s="35">
        <f>'3.1'!AY56</f>
        <v>5340000</v>
      </c>
      <c r="AC21" s="35">
        <f>'3.1'!AZ56</f>
        <v>192</v>
      </c>
      <c r="AD21" s="35">
        <f>'3.1'!BA56</f>
        <v>3000000</v>
      </c>
      <c r="AE21" s="35">
        <f>'3.1'!BB56</f>
        <v>49</v>
      </c>
      <c r="AF21" s="35">
        <f>'3.1'!BC56</f>
        <v>5080000</v>
      </c>
      <c r="AG21" s="35">
        <f>'3.1'!BD56</f>
        <v>72</v>
      </c>
      <c r="AH21" s="35">
        <f>'3.1'!BE56</f>
        <v>5180000</v>
      </c>
      <c r="AI21" s="35">
        <f>'3.1'!BF56</f>
        <v>46</v>
      </c>
      <c r="AJ21" s="35">
        <f>'3.1'!BG56</f>
        <v>5180000</v>
      </c>
      <c r="AK21" s="35">
        <f>'3.1'!BH56</f>
        <v>15</v>
      </c>
      <c r="AL21" s="35">
        <f>'3.1'!BI56</f>
        <v>2700000</v>
      </c>
      <c r="AM21" s="35">
        <f>'3.1'!BJ56</f>
        <v>2</v>
      </c>
      <c r="AN21" s="35">
        <f>'3.1'!BK56</f>
        <v>80000</v>
      </c>
      <c r="AO21" s="44">
        <f>AM21+AK21+AI21+AG21+AE21+AC21+AA21+Y21+W21+U21+S21+Q21+O21+M21+K21+I21+G21+E21</f>
        <v>825</v>
      </c>
      <c r="AP21" s="44">
        <f>AN21+AL21+AJ21+AH21+AF21+AD21+AB21+Z21+X21+V21+T21+R21+P21+N21+L21+J21+H21+F21</f>
        <v>62380000</v>
      </c>
      <c r="AR21" s="4">
        <f>D21-AP21</f>
        <v>0</v>
      </c>
    </row>
    <row r="22" spans="1:44" s="3" customFormat="1" x14ac:dyDescent="0.25">
      <c r="A22" s="793"/>
      <c r="B22" s="38">
        <v>32000</v>
      </c>
      <c r="C22" s="39" t="s">
        <v>99</v>
      </c>
      <c r="D22" s="62">
        <f>'3.2'!G46</f>
        <v>78405000</v>
      </c>
      <c r="E22" s="35">
        <f>'3.2'!Z46</f>
        <v>891</v>
      </c>
      <c r="F22" s="35">
        <f>'3.2'!AA46</f>
        <v>1485000</v>
      </c>
      <c r="G22" s="35">
        <f>'3.2'!AB46</f>
        <v>48</v>
      </c>
      <c r="H22" s="35">
        <f>'3.2'!AC46</f>
        <v>3745000</v>
      </c>
      <c r="I22" s="35">
        <f>'3.2'!AD46</f>
        <v>452</v>
      </c>
      <c r="J22" s="35">
        <f>'3.2'!AE46</f>
        <v>4545000</v>
      </c>
      <c r="K22" s="35">
        <f>'3.2'!AF46</f>
        <v>1914</v>
      </c>
      <c r="L22" s="35">
        <f>'3.2'!AG46</f>
        <v>3970000</v>
      </c>
      <c r="M22" s="35">
        <f>'3.2'!AH46</f>
        <v>1019</v>
      </c>
      <c r="N22" s="35">
        <f>'3.2'!AI46</f>
        <v>1045000</v>
      </c>
      <c r="O22" s="35">
        <f>'3.2'!AJ46</f>
        <v>43</v>
      </c>
      <c r="P22" s="35">
        <f>'3.2'!AK46</f>
        <v>9645000</v>
      </c>
      <c r="Q22" s="35">
        <f>'3.2'!AL46</f>
        <v>23</v>
      </c>
      <c r="R22" s="35">
        <f>'3.2'!AM46</f>
        <v>3195000</v>
      </c>
      <c r="S22" s="35">
        <f>'3.2'!AN46</f>
        <v>285</v>
      </c>
      <c r="T22" s="35">
        <f>'3.2'!AO46</f>
        <v>1920000</v>
      </c>
      <c r="U22" s="35">
        <f>'3.2'!AP46</f>
        <v>446</v>
      </c>
      <c r="V22" s="35">
        <f>'3.2'!AQ46</f>
        <v>2195000</v>
      </c>
      <c r="W22" s="35">
        <f>'3.2'!AR46</f>
        <v>2713</v>
      </c>
      <c r="X22" s="35">
        <f>'3.2'!AS46</f>
        <v>6195000</v>
      </c>
      <c r="Y22" s="35">
        <f>'3.2'!AT46</f>
        <v>672</v>
      </c>
      <c r="Z22" s="35">
        <f>'3.2'!AU46</f>
        <v>8445000</v>
      </c>
      <c r="AA22" s="35">
        <f>'3.2'!AV46</f>
        <v>512</v>
      </c>
      <c r="AB22" s="35">
        <f>'3.2'!AW46</f>
        <v>7245000</v>
      </c>
      <c r="AC22" s="35">
        <f>'3.2'!AX46</f>
        <v>766</v>
      </c>
      <c r="AD22" s="35">
        <f>'3.2'!AY46</f>
        <v>3595000</v>
      </c>
      <c r="AE22" s="35">
        <f>'3.2'!AZ46</f>
        <v>519</v>
      </c>
      <c r="AF22" s="35">
        <f>'3.2'!BA46</f>
        <v>1295000</v>
      </c>
      <c r="AG22" s="35">
        <f>'3.2'!BB46</f>
        <v>38</v>
      </c>
      <c r="AH22" s="35">
        <f>'3.2'!BC46</f>
        <v>8195000</v>
      </c>
      <c r="AI22" s="35">
        <f>'3.2'!BD46</f>
        <v>696</v>
      </c>
      <c r="AJ22" s="35">
        <f>'3.2'!BE46</f>
        <v>4895000</v>
      </c>
      <c r="AK22" s="35">
        <f>'3.2'!BF46</f>
        <v>2058</v>
      </c>
      <c r="AL22" s="35">
        <f>'3.2'!BG46</f>
        <v>6795000</v>
      </c>
      <c r="AM22" s="35">
        <f>'3.2'!BH46</f>
        <v>0</v>
      </c>
      <c r="AN22" s="35">
        <f>'3.2'!BI46</f>
        <v>0</v>
      </c>
      <c r="AO22" s="44">
        <f>AM22+AK22+AI22+AG22+AE22+AC22+AA22+Y22+W22+U22+S22+Q22+O22+M22+K22+I22+G22+E22</f>
        <v>13095</v>
      </c>
      <c r="AP22" s="44">
        <f>AN22+AL22+AJ22+AH22+AF22+AD22+AB22+Z22+X22+V22+T22+R22+P22+N22+L22+J22+H22+F22</f>
        <v>78405000</v>
      </c>
      <c r="AR22" s="4">
        <f>D22-AP22</f>
        <v>0</v>
      </c>
    </row>
    <row r="23" spans="1:44" s="3" customFormat="1" x14ac:dyDescent="0.25">
      <c r="A23" s="794"/>
      <c r="B23" s="41"/>
      <c r="C23" s="49" t="s">
        <v>3</v>
      </c>
      <c r="D23" s="46">
        <f t="shared" ref="D23:AP23" si="3">SUM(D21:D22)</f>
        <v>140785000</v>
      </c>
      <c r="E23" s="46">
        <f>SUM(E21:E22)</f>
        <v>910</v>
      </c>
      <c r="F23" s="46">
        <f t="shared" si="3"/>
        <v>3985000</v>
      </c>
      <c r="G23" s="46">
        <f t="shared" si="3"/>
        <v>61</v>
      </c>
      <c r="H23" s="46">
        <f t="shared" si="3"/>
        <v>5845000</v>
      </c>
      <c r="I23" s="46">
        <f t="shared" si="3"/>
        <v>467</v>
      </c>
      <c r="J23" s="46">
        <f t="shared" si="3"/>
        <v>7245000</v>
      </c>
      <c r="K23" s="46">
        <f t="shared" si="3"/>
        <v>1979</v>
      </c>
      <c r="L23" s="46">
        <f t="shared" si="3"/>
        <v>9230000</v>
      </c>
      <c r="M23" s="46">
        <f t="shared" si="3"/>
        <v>1052</v>
      </c>
      <c r="N23" s="46">
        <f t="shared" si="3"/>
        <v>4205000</v>
      </c>
      <c r="O23" s="46">
        <f t="shared" si="3"/>
        <v>81</v>
      </c>
      <c r="P23" s="46">
        <f t="shared" si="3"/>
        <v>15405000</v>
      </c>
      <c r="Q23" s="46">
        <f t="shared" si="3"/>
        <v>36</v>
      </c>
      <c r="R23" s="46">
        <f t="shared" si="3"/>
        <v>4595000</v>
      </c>
      <c r="S23" s="46">
        <f t="shared" si="3"/>
        <v>317</v>
      </c>
      <c r="T23" s="46">
        <f t="shared" si="3"/>
        <v>3900000</v>
      </c>
      <c r="U23" s="46">
        <f t="shared" si="3"/>
        <v>456</v>
      </c>
      <c r="V23" s="46">
        <f t="shared" si="3"/>
        <v>3775000</v>
      </c>
      <c r="W23" s="46">
        <f t="shared" si="3"/>
        <v>2738</v>
      </c>
      <c r="X23" s="46">
        <f t="shared" si="3"/>
        <v>10395000</v>
      </c>
      <c r="Y23" s="46">
        <f t="shared" si="3"/>
        <v>724</v>
      </c>
      <c r="Z23" s="46">
        <f t="shared" si="3"/>
        <v>13625000</v>
      </c>
      <c r="AA23" s="46">
        <f t="shared" si="3"/>
        <v>646</v>
      </c>
      <c r="AB23" s="46">
        <f t="shared" si="3"/>
        <v>12585000</v>
      </c>
      <c r="AC23" s="46">
        <f t="shared" si="3"/>
        <v>958</v>
      </c>
      <c r="AD23" s="46">
        <f t="shared" si="3"/>
        <v>6595000</v>
      </c>
      <c r="AE23" s="46">
        <f t="shared" si="3"/>
        <v>568</v>
      </c>
      <c r="AF23" s="46">
        <f t="shared" si="3"/>
        <v>6375000</v>
      </c>
      <c r="AG23" s="46">
        <f t="shared" si="3"/>
        <v>110</v>
      </c>
      <c r="AH23" s="46">
        <f t="shared" si="3"/>
        <v>13375000</v>
      </c>
      <c r="AI23" s="46">
        <f t="shared" si="3"/>
        <v>742</v>
      </c>
      <c r="AJ23" s="46">
        <f t="shared" si="3"/>
        <v>10075000</v>
      </c>
      <c r="AK23" s="46">
        <f t="shared" si="3"/>
        <v>2073</v>
      </c>
      <c r="AL23" s="46">
        <f t="shared" si="3"/>
        <v>9495000</v>
      </c>
      <c r="AM23" s="46">
        <f t="shared" si="3"/>
        <v>2</v>
      </c>
      <c r="AN23" s="46">
        <f t="shared" si="3"/>
        <v>80000</v>
      </c>
      <c r="AO23" s="46">
        <f t="shared" si="3"/>
        <v>13920</v>
      </c>
      <c r="AP23" s="46">
        <f t="shared" si="3"/>
        <v>140785000</v>
      </c>
      <c r="AR23" s="4">
        <f>D23-AP23</f>
        <v>0</v>
      </c>
    </row>
    <row r="24" spans="1:44" s="3" customFormat="1" x14ac:dyDescent="0.25">
      <c r="A24" s="47"/>
      <c r="B24" s="47"/>
      <c r="C24" s="50"/>
      <c r="D24" s="50"/>
      <c r="E24" s="35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4"/>
    </row>
    <row r="25" spans="1:44" s="3" customFormat="1" x14ac:dyDescent="0.25">
      <c r="A25" s="792">
        <v>4</v>
      </c>
      <c r="B25" s="41">
        <v>40000</v>
      </c>
      <c r="C25" s="51" t="s">
        <v>159</v>
      </c>
      <c r="D25" s="60"/>
      <c r="E25" s="40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4"/>
    </row>
    <row r="26" spans="1:44" s="3" customFormat="1" ht="15.75" customHeight="1" x14ac:dyDescent="0.25">
      <c r="A26" s="793"/>
      <c r="B26" s="38">
        <v>41000</v>
      </c>
      <c r="C26" s="48" t="s">
        <v>507</v>
      </c>
      <c r="D26" s="61">
        <f>'4.1 '!G89</f>
        <v>86675000</v>
      </c>
      <c r="E26" s="36">
        <f>'4.1 '!Z89</f>
        <v>0</v>
      </c>
      <c r="F26" s="36">
        <f>'4.1 '!AA89</f>
        <v>0</v>
      </c>
      <c r="G26" s="36">
        <f>'4.1 '!AB89</f>
        <v>0</v>
      </c>
      <c r="H26" s="36">
        <f>'4.1 '!AC89</f>
        <v>0</v>
      </c>
      <c r="I26" s="36">
        <f>'4.1 '!AD89</f>
        <v>0</v>
      </c>
      <c r="J26" s="36">
        <f>'4.1 '!AE89</f>
        <v>0</v>
      </c>
      <c r="K26" s="36">
        <f>'4.1 '!AF89</f>
        <v>0</v>
      </c>
      <c r="L26" s="36">
        <f>'4.1 '!AG89</f>
        <v>0</v>
      </c>
      <c r="M26" s="36">
        <f>'4.1 '!AH89</f>
        <v>0</v>
      </c>
      <c r="N26" s="36">
        <f>'4.1 '!AI89</f>
        <v>0</v>
      </c>
      <c r="O26" s="36">
        <f>'4.1 '!AJ89</f>
        <v>0</v>
      </c>
      <c r="P26" s="36">
        <f>'4.1 '!AK89</f>
        <v>0</v>
      </c>
      <c r="Q26" s="36">
        <f>'4.1 '!AL89</f>
        <v>0</v>
      </c>
      <c r="R26" s="36">
        <f>'4.1 '!AM89</f>
        <v>0</v>
      </c>
      <c r="S26" s="36">
        <f>'4.1 '!AN89</f>
        <v>0</v>
      </c>
      <c r="T26" s="36">
        <f>'4.1 '!AO89</f>
        <v>0</v>
      </c>
      <c r="U26" s="36">
        <f>'4.1 '!AP89</f>
        <v>0</v>
      </c>
      <c r="V26" s="36">
        <f>'4.1 '!AQ89</f>
        <v>0</v>
      </c>
      <c r="W26" s="36">
        <f>'4.1 '!AR89</f>
        <v>0</v>
      </c>
      <c r="X26" s="36">
        <f>'4.1 '!AS89</f>
        <v>0</v>
      </c>
      <c r="Y26" s="36">
        <f>'4.1 '!AT89</f>
        <v>0</v>
      </c>
      <c r="Z26" s="36">
        <f>'4.1 '!AU89</f>
        <v>0</v>
      </c>
      <c r="AA26" s="36">
        <f>'4.1 '!AV89</f>
        <v>0</v>
      </c>
      <c r="AB26" s="36">
        <f>'4.1 '!AW89</f>
        <v>0</v>
      </c>
      <c r="AC26" s="36">
        <f>'4.1 '!AX89</f>
        <v>0</v>
      </c>
      <c r="AD26" s="36">
        <f>'4.1 '!AY89</f>
        <v>0</v>
      </c>
      <c r="AE26" s="36">
        <f>'4.1 '!AZ89</f>
        <v>0</v>
      </c>
      <c r="AF26" s="36">
        <f>'4.1 '!BA89</f>
        <v>0</v>
      </c>
      <c r="AG26" s="36">
        <f>'4.1 '!BB89</f>
        <v>0</v>
      </c>
      <c r="AH26" s="36">
        <f>'4.1 '!BC89</f>
        <v>0</v>
      </c>
      <c r="AI26" s="36">
        <f>'4.1 '!BD89</f>
        <v>0</v>
      </c>
      <c r="AJ26" s="36">
        <f>'4.1 '!BE89</f>
        <v>0</v>
      </c>
      <c r="AK26" s="36">
        <f>'4.1 '!BF89</f>
        <v>0</v>
      </c>
      <c r="AL26" s="36">
        <f>'4.1 '!BG89</f>
        <v>0</v>
      </c>
      <c r="AM26" s="36">
        <f>'4.1 '!BH89</f>
        <v>320</v>
      </c>
      <c r="AN26" s="36">
        <f>'4.1 '!BI89</f>
        <v>86675000</v>
      </c>
      <c r="AO26" s="44">
        <f>AM26+AK26+AI26+AG26+AE26+AC26+AA26+Y26+W26+U26+S26+Q26+O26+M26+K26+I26+G26+E26</f>
        <v>320</v>
      </c>
      <c r="AP26" s="44">
        <f>AN26+AL26+AJ26+AH26+AF26+AD26+AB26+Z26+X26+V26+T26+R26+P26+N26+L26+J26+H26+F26</f>
        <v>86675000</v>
      </c>
      <c r="AR26" s="4">
        <f>D26-AP26</f>
        <v>0</v>
      </c>
    </row>
    <row r="27" spans="1:44" s="3" customFormat="1" ht="15.75" customHeight="1" x14ac:dyDescent="0.25">
      <c r="A27" s="793"/>
      <c r="B27" s="38">
        <v>42000</v>
      </c>
      <c r="C27" s="48" t="s">
        <v>508</v>
      </c>
      <c r="D27" s="61">
        <f>'4.2'!G56</f>
        <v>74709000</v>
      </c>
      <c r="E27" s="36">
        <f>'4.2'!Z56</f>
        <v>184</v>
      </c>
      <c r="F27" s="36">
        <f>'4.2'!AA56</f>
        <v>4427000</v>
      </c>
      <c r="G27" s="36">
        <f>'4.2'!AB56</f>
        <v>184</v>
      </c>
      <c r="H27" s="36">
        <f>'4.2'!AC56</f>
        <v>4427000</v>
      </c>
      <c r="I27" s="36">
        <f>'4.2'!AD56</f>
        <v>185</v>
      </c>
      <c r="J27" s="36">
        <f>'4.2'!AE56</f>
        <v>4427000</v>
      </c>
      <c r="K27" s="36">
        <f>'4.2'!AF56</f>
        <v>208</v>
      </c>
      <c r="L27" s="36">
        <f>'4.2'!AG56</f>
        <v>4427000</v>
      </c>
      <c r="M27" s="36">
        <f>'4.2'!AH56</f>
        <v>185</v>
      </c>
      <c r="N27" s="36">
        <f>'4.2'!AI56</f>
        <v>4427000</v>
      </c>
      <c r="O27" s="36">
        <f>'4.2'!AJ56</f>
        <v>185</v>
      </c>
      <c r="P27" s="36">
        <f>'4.2'!AK56</f>
        <v>4427000</v>
      </c>
      <c r="Q27" s="36">
        <f>'4.2'!AL56</f>
        <v>185</v>
      </c>
      <c r="R27" s="36">
        <f>'4.2'!AM56</f>
        <v>4307000</v>
      </c>
      <c r="S27" s="36">
        <f>'4.2'!AN56</f>
        <v>197</v>
      </c>
      <c r="T27" s="36">
        <f>'4.2'!AO56</f>
        <v>4307000</v>
      </c>
      <c r="U27" s="36">
        <f>'4.2'!AP56</f>
        <v>174</v>
      </c>
      <c r="V27" s="36">
        <f>'4.2'!AQ56</f>
        <v>4427000</v>
      </c>
      <c r="W27" s="36">
        <f>'4.2'!AR56</f>
        <v>184</v>
      </c>
      <c r="X27" s="36">
        <f>'4.2'!AS56</f>
        <v>4307000</v>
      </c>
      <c r="Y27" s="36">
        <f>'4.2'!AT56</f>
        <v>185</v>
      </c>
      <c r="Z27" s="36">
        <f>'4.2'!AU56</f>
        <v>4307000</v>
      </c>
      <c r="AA27" s="36">
        <f>'4.2'!AV56</f>
        <v>184</v>
      </c>
      <c r="AB27" s="36">
        <f>'4.2'!AW56</f>
        <v>4487000</v>
      </c>
      <c r="AC27" s="36">
        <f>'4.2'!AX56</f>
        <v>197</v>
      </c>
      <c r="AD27" s="36">
        <f>'4.2'!AY56</f>
        <v>4497000</v>
      </c>
      <c r="AE27" s="36">
        <f>'4.2'!AZ56</f>
        <v>197</v>
      </c>
      <c r="AF27" s="36">
        <f>'4.2'!BA56</f>
        <v>4227000</v>
      </c>
      <c r="AG27" s="36">
        <f>'4.2'!BB56</f>
        <v>185</v>
      </c>
      <c r="AH27" s="36">
        <f>'4.2'!BC56</f>
        <v>4427000</v>
      </c>
      <c r="AI27" s="36">
        <f>'4.2'!BD56</f>
        <v>196</v>
      </c>
      <c r="AJ27" s="36">
        <f>'4.2'!BE56</f>
        <v>4427000</v>
      </c>
      <c r="AK27" s="36">
        <f>'4.2'!BF56</f>
        <v>184</v>
      </c>
      <c r="AL27" s="36">
        <f>'4.2'!BG56</f>
        <v>4427000</v>
      </c>
      <c r="AM27" s="36">
        <f>'4.2'!BH56</f>
        <v>0</v>
      </c>
      <c r="AN27" s="36">
        <f>'4.2'!BI56</f>
        <v>0</v>
      </c>
      <c r="AO27" s="44">
        <f t="shared" ref="AO27:AO28" si="4">AM27+AK27+AI27+AG27+AE27+AC27+AA27+Y27+W27+U27+S27+Q27+O27+M27+K27+I27+G27+E27</f>
        <v>3199</v>
      </c>
      <c r="AP27" s="44">
        <f>AN27+AL27+AJ27+AH27+AF27+AD27+AB27+Z27+X27+V27+T27+R27+P27+N27+L27+J27+H27+F27</f>
        <v>74709000</v>
      </c>
      <c r="AR27" s="4">
        <f>D27-AP27</f>
        <v>0</v>
      </c>
    </row>
    <row r="28" spans="1:44" s="3" customFormat="1" x14ac:dyDescent="0.25">
      <c r="A28" s="793"/>
      <c r="B28" s="38">
        <v>43000</v>
      </c>
      <c r="C28" s="48" t="s">
        <v>509</v>
      </c>
      <c r="D28" s="61">
        <f>'4.3 '!H35</f>
        <v>6240000</v>
      </c>
      <c r="E28" s="36">
        <f>'4.3 '!AA35</f>
        <v>2</v>
      </c>
      <c r="F28" s="36">
        <f>'4.3 '!AB35</f>
        <v>20000</v>
      </c>
      <c r="G28" s="36">
        <f>'4.3 '!AC35</f>
        <v>2</v>
      </c>
      <c r="H28" s="36">
        <f>'4.3 '!AD35</f>
        <v>20000</v>
      </c>
      <c r="I28" s="36">
        <f>'4.3 '!AE35</f>
        <v>2</v>
      </c>
      <c r="J28" s="36">
        <f>'4.3 '!AF35</f>
        <v>20000</v>
      </c>
      <c r="K28" s="36">
        <f>'4.3 '!AG35</f>
        <v>2</v>
      </c>
      <c r="L28" s="36">
        <f>'4.3 '!AH35</f>
        <v>20000</v>
      </c>
      <c r="M28" s="36">
        <f>'4.3 '!AI35</f>
        <v>2</v>
      </c>
      <c r="N28" s="36">
        <f>'4.3 '!AJ35</f>
        <v>20000</v>
      </c>
      <c r="O28" s="36">
        <f>'4.3 '!AK35</f>
        <v>2</v>
      </c>
      <c r="P28" s="36">
        <f>'4.3 '!AL35</f>
        <v>20000</v>
      </c>
      <c r="Q28" s="36">
        <f>'4.3 '!AM35</f>
        <v>2</v>
      </c>
      <c r="R28" s="36">
        <f>'4.3 '!AN35</f>
        <v>20000</v>
      </c>
      <c r="S28" s="36">
        <f>'4.3 '!AO35</f>
        <v>2</v>
      </c>
      <c r="T28" s="36">
        <f>'4.3 '!AP35</f>
        <v>20000</v>
      </c>
      <c r="U28" s="36">
        <f>'4.3 '!AQ35</f>
        <v>2</v>
      </c>
      <c r="V28" s="36">
        <f>'4.3 '!AR35</f>
        <v>20000</v>
      </c>
      <c r="W28" s="36">
        <f>'4.3 '!AS35</f>
        <v>2</v>
      </c>
      <c r="X28" s="36">
        <f>'4.3 '!AT35</f>
        <v>20000</v>
      </c>
      <c r="Y28" s="36">
        <f>'4.3 '!AU35</f>
        <v>2</v>
      </c>
      <c r="Z28" s="36">
        <f>'4.3 '!AV35</f>
        <v>20000</v>
      </c>
      <c r="AA28" s="36">
        <f>'4.3 '!AW35</f>
        <v>2</v>
      </c>
      <c r="AB28" s="36">
        <f>'4.3 '!AX35</f>
        <v>20000</v>
      </c>
      <c r="AC28" s="36">
        <f>'4.3 '!AY35</f>
        <v>2</v>
      </c>
      <c r="AD28" s="36">
        <f>'4.3 '!AZ35</f>
        <v>20000</v>
      </c>
      <c r="AE28" s="36">
        <f>'4.3 '!BA35</f>
        <v>2</v>
      </c>
      <c r="AF28" s="36">
        <f>'4.3 '!BB35</f>
        <v>20000</v>
      </c>
      <c r="AG28" s="36">
        <f>'4.3 '!BC35</f>
        <v>2</v>
      </c>
      <c r="AH28" s="36">
        <f>'4.3 '!BD35</f>
        <v>20000</v>
      </c>
      <c r="AI28" s="36">
        <f>'4.3 '!BE35</f>
        <v>2</v>
      </c>
      <c r="AJ28" s="36">
        <f>'4.3 '!BF35</f>
        <v>20000</v>
      </c>
      <c r="AK28" s="36">
        <f>'4.3 '!BG35</f>
        <v>2</v>
      </c>
      <c r="AL28" s="36">
        <f>'4.3 '!BH35</f>
        <v>20000</v>
      </c>
      <c r="AM28" s="36">
        <f>'4.3 '!BI35</f>
        <v>4</v>
      </c>
      <c r="AN28" s="36">
        <f>'4.3 '!BJ35</f>
        <v>5900000</v>
      </c>
      <c r="AO28" s="44">
        <f t="shared" si="4"/>
        <v>38</v>
      </c>
      <c r="AP28" s="44">
        <f>AN28+AL28+AJ28+AH28+AF28+AD28+AB28+Z28+X28+V28+T28+R28+P28+N28+L28+J28+H28+F28</f>
        <v>6240000</v>
      </c>
      <c r="AR28" s="4">
        <f>D28-AP28</f>
        <v>0</v>
      </c>
    </row>
    <row r="29" spans="1:44" s="3" customFormat="1" x14ac:dyDescent="0.25">
      <c r="A29" s="794"/>
      <c r="B29" s="41"/>
      <c r="C29" s="45" t="s">
        <v>3</v>
      </c>
      <c r="D29" s="21">
        <f t="shared" ref="D29:AP29" si="5">SUM(D26:D28)</f>
        <v>167624000</v>
      </c>
      <c r="E29" s="21">
        <f>SUM(E26:E28)</f>
        <v>186</v>
      </c>
      <c r="F29" s="21">
        <f t="shared" si="5"/>
        <v>4447000</v>
      </c>
      <c r="G29" s="21">
        <f t="shared" si="5"/>
        <v>186</v>
      </c>
      <c r="H29" s="21">
        <f t="shared" si="5"/>
        <v>4447000</v>
      </c>
      <c r="I29" s="21">
        <f t="shared" si="5"/>
        <v>187</v>
      </c>
      <c r="J29" s="21">
        <f t="shared" si="5"/>
        <v>4447000</v>
      </c>
      <c r="K29" s="21">
        <f t="shared" si="5"/>
        <v>210</v>
      </c>
      <c r="L29" s="21">
        <f t="shared" si="5"/>
        <v>4447000</v>
      </c>
      <c r="M29" s="21">
        <f t="shared" si="5"/>
        <v>187</v>
      </c>
      <c r="N29" s="21">
        <f t="shared" si="5"/>
        <v>4447000</v>
      </c>
      <c r="O29" s="21">
        <f t="shared" si="5"/>
        <v>187</v>
      </c>
      <c r="P29" s="21">
        <f t="shared" si="5"/>
        <v>4447000</v>
      </c>
      <c r="Q29" s="21">
        <f t="shared" si="5"/>
        <v>187</v>
      </c>
      <c r="R29" s="21">
        <f t="shared" si="5"/>
        <v>4327000</v>
      </c>
      <c r="S29" s="21">
        <f t="shared" si="5"/>
        <v>199</v>
      </c>
      <c r="T29" s="21">
        <f t="shared" si="5"/>
        <v>4327000</v>
      </c>
      <c r="U29" s="21">
        <f t="shared" si="5"/>
        <v>176</v>
      </c>
      <c r="V29" s="21">
        <f t="shared" si="5"/>
        <v>4447000</v>
      </c>
      <c r="W29" s="21">
        <f t="shared" si="5"/>
        <v>186</v>
      </c>
      <c r="X29" s="21">
        <f t="shared" si="5"/>
        <v>4327000</v>
      </c>
      <c r="Y29" s="21">
        <f t="shared" si="5"/>
        <v>187</v>
      </c>
      <c r="Z29" s="21">
        <f t="shared" si="5"/>
        <v>4327000</v>
      </c>
      <c r="AA29" s="21">
        <f t="shared" si="5"/>
        <v>186</v>
      </c>
      <c r="AB29" s="21">
        <f t="shared" si="5"/>
        <v>4507000</v>
      </c>
      <c r="AC29" s="21">
        <f t="shared" si="5"/>
        <v>199</v>
      </c>
      <c r="AD29" s="21">
        <f t="shared" si="5"/>
        <v>4517000</v>
      </c>
      <c r="AE29" s="21">
        <f t="shared" si="5"/>
        <v>199</v>
      </c>
      <c r="AF29" s="21">
        <f t="shared" si="5"/>
        <v>4247000</v>
      </c>
      <c r="AG29" s="21">
        <f t="shared" si="5"/>
        <v>187</v>
      </c>
      <c r="AH29" s="21">
        <f t="shared" si="5"/>
        <v>4447000</v>
      </c>
      <c r="AI29" s="21">
        <f t="shared" si="5"/>
        <v>198</v>
      </c>
      <c r="AJ29" s="21">
        <f t="shared" si="5"/>
        <v>4447000</v>
      </c>
      <c r="AK29" s="21">
        <f t="shared" si="5"/>
        <v>186</v>
      </c>
      <c r="AL29" s="21">
        <f t="shared" si="5"/>
        <v>4447000</v>
      </c>
      <c r="AM29" s="21">
        <f t="shared" si="5"/>
        <v>324</v>
      </c>
      <c r="AN29" s="21">
        <f t="shared" si="5"/>
        <v>92575000</v>
      </c>
      <c r="AO29" s="21">
        <f t="shared" si="5"/>
        <v>3557</v>
      </c>
      <c r="AP29" s="21">
        <f t="shared" si="5"/>
        <v>167624000</v>
      </c>
      <c r="AR29" s="4">
        <f>D29-AP29</f>
        <v>0</v>
      </c>
    </row>
    <row r="30" spans="1:44" s="3" customFormat="1" x14ac:dyDescent="0.25">
      <c r="A30" s="47"/>
      <c r="B30" s="47"/>
      <c r="C30" s="47"/>
      <c r="D30" s="61"/>
      <c r="E30" s="22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4"/>
    </row>
    <row r="31" spans="1:44" s="3" customFormat="1" x14ac:dyDescent="0.25">
      <c r="A31" s="795" t="s">
        <v>4</v>
      </c>
      <c r="B31" s="796"/>
      <c r="C31" s="797"/>
      <c r="D31" s="21">
        <f t="shared" ref="D31:AP31" si="6">D29+D23+D18+D12</f>
        <v>1147964335</v>
      </c>
      <c r="E31" s="21">
        <f>E29+E23+E18+E12</f>
        <v>7848</v>
      </c>
      <c r="F31" s="21">
        <f t="shared" si="6"/>
        <v>59735800</v>
      </c>
      <c r="G31" s="21">
        <f t="shared" si="6"/>
        <v>4856</v>
      </c>
      <c r="H31" s="21">
        <f t="shared" si="6"/>
        <v>60219550</v>
      </c>
      <c r="I31" s="21">
        <f t="shared" si="6"/>
        <v>6896</v>
      </c>
      <c r="J31" s="21">
        <f t="shared" si="6"/>
        <v>48789200</v>
      </c>
      <c r="K31" s="21">
        <f t="shared" si="6"/>
        <v>10839</v>
      </c>
      <c r="L31" s="21">
        <f t="shared" si="6"/>
        <v>80726450</v>
      </c>
      <c r="M31" s="21">
        <f t="shared" si="6"/>
        <v>4690.7</v>
      </c>
      <c r="N31" s="21">
        <f t="shared" si="6"/>
        <v>37006660</v>
      </c>
      <c r="O31" s="21">
        <f t="shared" si="6"/>
        <v>7230</v>
      </c>
      <c r="P31" s="21">
        <f t="shared" si="6"/>
        <v>85522300</v>
      </c>
      <c r="Q31" s="21">
        <f t="shared" si="6"/>
        <v>5324</v>
      </c>
      <c r="R31" s="21">
        <f t="shared" si="6"/>
        <v>56621350</v>
      </c>
      <c r="S31" s="21">
        <f t="shared" si="6"/>
        <v>7774</v>
      </c>
      <c r="T31" s="21">
        <f t="shared" si="6"/>
        <v>50659450</v>
      </c>
      <c r="U31" s="21">
        <f t="shared" si="6"/>
        <v>2990</v>
      </c>
      <c r="V31" s="21">
        <f t="shared" si="6"/>
        <v>45620300</v>
      </c>
      <c r="W31" s="21">
        <f t="shared" si="6"/>
        <v>10420</v>
      </c>
      <c r="X31" s="21">
        <f t="shared" si="6"/>
        <v>80568550</v>
      </c>
      <c r="Y31" s="21">
        <f t="shared" si="6"/>
        <v>7497</v>
      </c>
      <c r="Z31" s="21">
        <f t="shared" si="6"/>
        <v>65757000</v>
      </c>
      <c r="AA31" s="21">
        <f t="shared" si="6"/>
        <v>7244</v>
      </c>
      <c r="AB31" s="21">
        <f t="shared" si="6"/>
        <v>59301400</v>
      </c>
      <c r="AC31" s="21">
        <f t="shared" si="6"/>
        <v>8133.5</v>
      </c>
      <c r="AD31" s="21">
        <f t="shared" si="6"/>
        <v>51493350</v>
      </c>
      <c r="AE31" s="21">
        <f t="shared" si="6"/>
        <v>7857</v>
      </c>
      <c r="AF31" s="21">
        <f t="shared" si="6"/>
        <v>63243700</v>
      </c>
      <c r="AG31" s="21">
        <f t="shared" si="6"/>
        <v>5045.5</v>
      </c>
      <c r="AH31" s="21">
        <f t="shared" si="6"/>
        <v>57306675</v>
      </c>
      <c r="AI31" s="21">
        <f t="shared" si="6"/>
        <v>10267</v>
      </c>
      <c r="AJ31" s="21">
        <f t="shared" si="6"/>
        <v>61545200</v>
      </c>
      <c r="AK31" s="21">
        <f t="shared" si="6"/>
        <v>7333</v>
      </c>
      <c r="AL31" s="21">
        <f t="shared" si="6"/>
        <v>52926400</v>
      </c>
      <c r="AM31" s="21">
        <f t="shared" si="6"/>
        <v>1359</v>
      </c>
      <c r="AN31" s="21">
        <f t="shared" si="6"/>
        <v>130921000</v>
      </c>
      <c r="AO31" s="21">
        <f t="shared" si="6"/>
        <v>123603.7</v>
      </c>
      <c r="AP31" s="21">
        <f t="shared" si="6"/>
        <v>1147964335</v>
      </c>
      <c r="AR31" s="4">
        <f>D31-AP31</f>
        <v>0</v>
      </c>
    </row>
    <row r="32" spans="1:44" x14ac:dyDescent="0.25">
      <c r="A32" s="18"/>
      <c r="B32" s="18"/>
      <c r="C32" s="18"/>
      <c r="D32" s="18"/>
      <c r="E32" s="18"/>
    </row>
    <row r="33" spans="1:40" hidden="1" x14ac:dyDescent="0.25">
      <c r="A33" s="23" t="s">
        <v>198</v>
      </c>
      <c r="B33" s="24"/>
      <c r="C33" s="24"/>
      <c r="D33" s="24"/>
      <c r="E33" s="25"/>
    </row>
    <row r="34" spans="1:40" x14ac:dyDescent="0.25">
      <c r="A34" s="26"/>
      <c r="B34" s="789"/>
      <c r="C34" s="789"/>
      <c r="D34" s="54"/>
      <c r="E34" s="26"/>
    </row>
    <row r="35" spans="1:40" x14ac:dyDescent="0.25">
      <c r="A35" s="26"/>
      <c r="B35" s="26"/>
      <c r="C35" s="26"/>
      <c r="D35" s="26"/>
      <c r="E35" s="26"/>
      <c r="AN35" s="13"/>
    </row>
    <row r="36" spans="1:40" x14ac:dyDescent="0.25">
      <c r="E36" s="27"/>
      <c r="X36" s="13"/>
      <c r="Y36" s="13"/>
      <c r="AJ36" s="13"/>
    </row>
    <row r="37" spans="1:40" x14ac:dyDescent="0.25">
      <c r="X37" s="13"/>
      <c r="Y37" s="13"/>
    </row>
    <row r="38" spans="1:40" x14ac:dyDescent="0.25">
      <c r="E38" s="13"/>
    </row>
    <row r="40" spans="1:40" x14ac:dyDescent="0.25">
      <c r="X40" s="13"/>
      <c r="Y40" s="13"/>
    </row>
    <row r="41" spans="1:40" x14ac:dyDescent="0.25">
      <c r="X41" s="13"/>
      <c r="Y41" s="13"/>
    </row>
    <row r="42" spans="1:40" x14ac:dyDescent="0.25">
      <c r="X42" s="13"/>
      <c r="Y42" s="13"/>
    </row>
    <row r="43" spans="1:40" x14ac:dyDescent="0.25">
      <c r="X43" s="29"/>
      <c r="Y43" s="29"/>
    </row>
  </sheetData>
  <mergeCells count="29">
    <mergeCell ref="B34:C34"/>
    <mergeCell ref="A8:C8"/>
    <mergeCell ref="A9:A12"/>
    <mergeCell ref="A14:A18"/>
    <mergeCell ref="A20:A23"/>
    <mergeCell ref="A25:A29"/>
    <mergeCell ref="A31:C31"/>
    <mergeCell ref="Q7:R7"/>
    <mergeCell ref="O7:P7"/>
    <mergeCell ref="M7:N7"/>
    <mergeCell ref="A6:A7"/>
    <mergeCell ref="B6:B7"/>
    <mergeCell ref="C6:C7"/>
    <mergeCell ref="K7:L7"/>
    <mergeCell ref="I7:J7"/>
    <mergeCell ref="G7:H7"/>
    <mergeCell ref="E7:F7"/>
    <mergeCell ref="AO7:AP7"/>
    <mergeCell ref="AM7:AN7"/>
    <mergeCell ref="AK7:AL7"/>
    <mergeCell ref="AI7:AJ7"/>
    <mergeCell ref="AG7:AH7"/>
    <mergeCell ref="S7:T7"/>
    <mergeCell ref="AE7:AF7"/>
    <mergeCell ref="AC7:AD7"/>
    <mergeCell ref="AA7:AB7"/>
    <mergeCell ref="Y7:Z7"/>
    <mergeCell ref="W7:X7"/>
    <mergeCell ref="U7:V7"/>
  </mergeCells>
  <pageMargins left="0.25" right="0.25" top="0.75" bottom="0.75" header="0.3" footer="0.3"/>
  <pageSetup paperSize="9" scale="53" fitToHeight="0" orientation="landscape" r:id="rId1"/>
  <colBreaks count="3" manualBreakCount="3">
    <brk id="12" max="1048575" man="1"/>
    <brk id="22" max="1048575" man="1"/>
    <brk id="32" max="3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F29"/>
  <sheetViews>
    <sheetView topLeftCell="A7" zoomScale="85" zoomScaleNormal="85" workbookViewId="0">
      <selection activeCell="F38" sqref="F38"/>
    </sheetView>
  </sheetViews>
  <sheetFormatPr defaultRowHeight="15" x14ac:dyDescent="0.25"/>
  <cols>
    <col min="1" max="1" width="6" bestFit="1" customWidth="1"/>
    <col min="2" max="2" width="19.28515625" bestFit="1" customWidth="1"/>
    <col min="3" max="3" width="23.85546875" customWidth="1"/>
    <col min="4" max="4" width="11.28515625" customWidth="1"/>
    <col min="5" max="5" width="17.7109375" customWidth="1"/>
    <col min="6" max="6" width="22.28515625" bestFit="1" customWidth="1"/>
    <col min="7" max="7" width="20.85546875" bestFit="1" customWidth="1"/>
    <col min="8" max="8" width="16.42578125" bestFit="1" customWidth="1"/>
    <col min="9" max="16" width="15.42578125" customWidth="1"/>
    <col min="17" max="32" width="6.5703125" customWidth="1"/>
  </cols>
  <sheetData>
    <row r="1" spans="1:9" s="2" customFormat="1" ht="15.75" x14ac:dyDescent="0.25">
      <c r="A1" s="798" t="s">
        <v>1197</v>
      </c>
      <c r="B1" s="798"/>
      <c r="C1" s="798"/>
      <c r="D1" s="798"/>
    </row>
    <row r="2" spans="1:9" s="2" customFormat="1" ht="47.25" x14ac:dyDescent="0.25">
      <c r="A2" s="16" t="s">
        <v>293</v>
      </c>
      <c r="B2" s="16" t="s">
        <v>294</v>
      </c>
      <c r="C2" s="16" t="s">
        <v>540</v>
      </c>
      <c r="D2" s="28" t="s">
        <v>559</v>
      </c>
      <c r="E2" s="184" t="s">
        <v>931</v>
      </c>
      <c r="F2" s="185" t="s">
        <v>933</v>
      </c>
      <c r="G2" s="185" t="s">
        <v>934</v>
      </c>
      <c r="H2" s="186" t="s">
        <v>930</v>
      </c>
      <c r="I2" s="186" t="s">
        <v>936</v>
      </c>
    </row>
    <row r="3" spans="1:9" s="2" customFormat="1" ht="15.75" x14ac:dyDescent="0.25">
      <c r="A3" s="8">
        <v>1</v>
      </c>
      <c r="B3" s="14" t="s">
        <v>179</v>
      </c>
      <c r="C3" s="7">
        <f>'Sum , MPA'!F31</f>
        <v>59735800</v>
      </c>
      <c r="D3" s="7">
        <f>C3/10000000</f>
        <v>5.9735800000000001</v>
      </c>
      <c r="E3" s="12">
        <f t="shared" ref="E3:E19" si="0">C3*0.71</f>
        <v>42412418</v>
      </c>
      <c r="F3" s="194">
        <f>E3/E23*100</f>
        <v>4.9720205976570142</v>
      </c>
      <c r="G3" s="195">
        <f>C3/C23*100</f>
        <v>5.8734763745342278</v>
      </c>
      <c r="H3" s="12">
        <v>2560</v>
      </c>
      <c r="I3" s="187">
        <f>H3/H21*100</f>
        <v>9.3080754826746173</v>
      </c>
    </row>
    <row r="4" spans="1:9" s="2" customFormat="1" ht="15.75" x14ac:dyDescent="0.25">
      <c r="A4" s="8">
        <v>2</v>
      </c>
      <c r="B4" s="14" t="s">
        <v>180</v>
      </c>
      <c r="C4" s="7">
        <f>'Sum , MPA'!H31</f>
        <v>60219550</v>
      </c>
      <c r="D4" s="7">
        <f t="shared" ref="D4:D21" si="1">C4/10000000</f>
        <v>6.0219550000000002</v>
      </c>
      <c r="E4" s="12">
        <f t="shared" si="0"/>
        <v>42755880.5</v>
      </c>
      <c r="F4" s="194">
        <f>E4/E23*100</f>
        <v>5.0122848104760704</v>
      </c>
      <c r="G4" s="195">
        <f>C4/C23*100</f>
        <v>5.921040719469441</v>
      </c>
      <c r="H4" s="12">
        <v>831</v>
      </c>
      <c r="I4" s="187">
        <f>H4/H21*100</f>
        <v>3.021488564883831</v>
      </c>
    </row>
    <row r="5" spans="1:9" s="2" customFormat="1" ht="13.5" customHeight="1" x14ac:dyDescent="0.25">
      <c r="A5" s="8">
        <v>3</v>
      </c>
      <c r="B5" s="14" t="s">
        <v>181</v>
      </c>
      <c r="C5" s="7">
        <f>'Sum , MPA'!J31</f>
        <v>48789200</v>
      </c>
      <c r="D5" s="7">
        <f t="shared" si="1"/>
        <v>4.8789199999999999</v>
      </c>
      <c r="E5" s="12">
        <f t="shared" si="0"/>
        <v>34640332</v>
      </c>
      <c r="F5" s="194">
        <f>E5/E23*100</f>
        <v>4.0608966037653733</v>
      </c>
      <c r="G5" s="195">
        <f>C5/C23*100</f>
        <v>4.7971603884509006</v>
      </c>
      <c r="H5" s="12">
        <v>1907</v>
      </c>
      <c r="I5" s="187">
        <f>H5/H21*100</f>
        <v>6.9337890411955057</v>
      </c>
    </row>
    <row r="6" spans="1:9" s="178" customFormat="1" ht="15.75" x14ac:dyDescent="0.25">
      <c r="A6" s="132">
        <v>4</v>
      </c>
      <c r="B6" s="63" t="s">
        <v>182</v>
      </c>
      <c r="C6" s="177">
        <f>'Sum , MPA'!L31</f>
        <v>80726450</v>
      </c>
      <c r="D6" s="177">
        <f t="shared" si="1"/>
        <v>8.0726449999999996</v>
      </c>
      <c r="E6" s="188">
        <f t="shared" si="0"/>
        <v>57315779.5</v>
      </c>
      <c r="F6" s="196">
        <f>E6/E23*100</f>
        <v>6.7191461765930827</v>
      </c>
      <c r="G6" s="197">
        <f>C6/C23*100</f>
        <v>7.9373658153907467</v>
      </c>
      <c r="H6" s="188">
        <v>1853</v>
      </c>
      <c r="I6" s="189">
        <f>H6/H21*100</f>
        <v>6.7374468239828387</v>
      </c>
    </row>
    <row r="7" spans="1:9" s="2" customFormat="1" ht="15.75" x14ac:dyDescent="0.25">
      <c r="A7" s="8">
        <v>5</v>
      </c>
      <c r="B7" s="14" t="s">
        <v>183</v>
      </c>
      <c r="C7" s="7">
        <f>'Sum , MPA'!N31</f>
        <v>37006660</v>
      </c>
      <c r="D7" s="7">
        <f t="shared" si="1"/>
        <v>3.700666</v>
      </c>
      <c r="E7" s="12">
        <f t="shared" si="0"/>
        <v>26274728.599999998</v>
      </c>
      <c r="F7" s="194">
        <f>E7/E23*100</f>
        <v>3.0801943854521059</v>
      </c>
      <c r="G7" s="195">
        <f>C7/C23*100</f>
        <v>3.6386512478349808</v>
      </c>
      <c r="H7" s="12">
        <v>730</v>
      </c>
      <c r="I7" s="187">
        <f>H7/H21*100</f>
        <v>2.6542558993564338</v>
      </c>
    </row>
    <row r="8" spans="1:9" s="2" customFormat="1" ht="15.75" x14ac:dyDescent="0.25">
      <c r="A8" s="8">
        <v>6</v>
      </c>
      <c r="B8" s="14" t="s">
        <v>184</v>
      </c>
      <c r="C8" s="7">
        <f>'Sum , MPA'!P31</f>
        <v>85522300</v>
      </c>
      <c r="D8" s="7">
        <f t="shared" si="1"/>
        <v>8.5522299999999998</v>
      </c>
      <c r="E8" s="12">
        <f t="shared" si="0"/>
        <v>60720833</v>
      </c>
      <c r="F8" s="194">
        <f>E8/E23*100</f>
        <v>7.1183216288892499</v>
      </c>
      <c r="G8" s="195">
        <f>C8/C23*100</f>
        <v>8.4089140606776613</v>
      </c>
      <c r="H8" s="12">
        <v>1661</v>
      </c>
      <c r="I8" s="187">
        <f>H8/H21*100</f>
        <v>6.0393411627822422</v>
      </c>
    </row>
    <row r="9" spans="1:9" s="2" customFormat="1" ht="15.75" x14ac:dyDescent="0.25">
      <c r="A9" s="8">
        <v>7</v>
      </c>
      <c r="B9" s="14" t="s">
        <v>185</v>
      </c>
      <c r="C9" s="7">
        <f>'Sum , MPA'!R31</f>
        <v>56621350</v>
      </c>
      <c r="D9" s="7">
        <f t="shared" si="1"/>
        <v>5.6621350000000001</v>
      </c>
      <c r="E9" s="12">
        <f t="shared" si="0"/>
        <v>40201158.5</v>
      </c>
      <c r="F9" s="194">
        <f>E9/E23*100</f>
        <v>4.7127939772656768</v>
      </c>
      <c r="G9" s="195">
        <f>C9/C23*100</f>
        <v>5.5672504849559834</v>
      </c>
      <c r="H9" s="12">
        <v>930</v>
      </c>
      <c r="I9" s="187">
        <f>H9/H21*100</f>
        <v>3.3814492964403886</v>
      </c>
    </row>
    <row r="10" spans="1:9" s="2" customFormat="1" ht="15.75" x14ac:dyDescent="0.25">
      <c r="A10" s="8">
        <v>8</v>
      </c>
      <c r="B10" s="14" t="s">
        <v>186</v>
      </c>
      <c r="C10" s="7">
        <f>'Sum , MPA'!T31</f>
        <v>50659450</v>
      </c>
      <c r="D10" s="7">
        <f t="shared" si="1"/>
        <v>5.0659450000000001</v>
      </c>
      <c r="E10" s="12">
        <f t="shared" si="0"/>
        <v>35968209.5</v>
      </c>
      <c r="F10" s="194">
        <f>E10/E23*100</f>
        <v>4.2165640849536734</v>
      </c>
      <c r="G10" s="195">
        <f>C10/C23*100</f>
        <v>4.9810512744769131</v>
      </c>
      <c r="H10" s="12">
        <v>1232</v>
      </c>
      <c r="I10" s="187">
        <f>H10/H21*100</f>
        <v>4.4795113260371595</v>
      </c>
    </row>
    <row r="11" spans="1:9" s="2" customFormat="1" ht="15.75" x14ac:dyDescent="0.25">
      <c r="A11" s="8">
        <v>9</v>
      </c>
      <c r="B11" s="14" t="s">
        <v>187</v>
      </c>
      <c r="C11" s="7">
        <f>'Sum , MPA'!V31</f>
        <v>45620300</v>
      </c>
      <c r="D11" s="7">
        <f t="shared" si="1"/>
        <v>4.56203</v>
      </c>
      <c r="E11" s="12">
        <f t="shared" si="0"/>
        <v>32390413</v>
      </c>
      <c r="F11" s="194">
        <f>E11/E23*100</f>
        <v>3.7971379184892857</v>
      </c>
      <c r="G11" s="195">
        <f>C11/C23*100</f>
        <v>4.4855807446985532</v>
      </c>
      <c r="H11" s="12">
        <v>1301</v>
      </c>
      <c r="I11" s="187">
        <f>H11/H21*100</f>
        <v>4.7303930480311234</v>
      </c>
    </row>
    <row r="12" spans="1:9" s="178" customFormat="1" ht="15.75" x14ac:dyDescent="0.25">
      <c r="A12" s="132">
        <v>10</v>
      </c>
      <c r="B12" s="63" t="s">
        <v>188</v>
      </c>
      <c r="C12" s="177">
        <f>'Sum , MPA'!X31</f>
        <v>80568550</v>
      </c>
      <c r="D12" s="177">
        <f t="shared" si="1"/>
        <v>8.0568550000000005</v>
      </c>
      <c r="E12" s="188">
        <f t="shared" si="0"/>
        <v>57203670.5</v>
      </c>
      <c r="F12" s="196">
        <f>E12/E23*100</f>
        <v>6.7060036045948834</v>
      </c>
      <c r="G12" s="197">
        <f>C12/C23*100</f>
        <v>7.9218404199069852</v>
      </c>
      <c r="H12" s="188">
        <v>2876</v>
      </c>
      <c r="I12" s="189">
        <f>H12/H21*100</f>
        <v>10.457041050067266</v>
      </c>
    </row>
    <row r="13" spans="1:9" s="2" customFormat="1" ht="15.75" x14ac:dyDescent="0.25">
      <c r="A13" s="8">
        <v>11</v>
      </c>
      <c r="B13" s="14" t="s">
        <v>189</v>
      </c>
      <c r="C13" s="7">
        <f>'Sum , MPA'!Z31</f>
        <v>65757000</v>
      </c>
      <c r="D13" s="7">
        <f t="shared" si="1"/>
        <v>6.5757000000000003</v>
      </c>
      <c r="E13" s="12">
        <f t="shared" si="0"/>
        <v>46687470</v>
      </c>
      <c r="F13" s="194">
        <f>E13/E23*100</f>
        <v>5.4731862374008937</v>
      </c>
      <c r="G13" s="195">
        <f>C13/C23*100</f>
        <v>6.4655062116895934</v>
      </c>
      <c r="H13" s="12">
        <v>1842</v>
      </c>
      <c r="I13" s="187">
        <f>H13/H21*100</f>
        <v>6.6974511871432201</v>
      </c>
    </row>
    <row r="14" spans="1:9" s="2" customFormat="1" ht="15.75" x14ac:dyDescent="0.25">
      <c r="A14" s="8">
        <v>12</v>
      </c>
      <c r="B14" s="14" t="s">
        <v>190</v>
      </c>
      <c r="C14" s="7">
        <f>'Sum , MPA'!AB31</f>
        <v>59301400</v>
      </c>
      <c r="D14" s="7">
        <f t="shared" si="1"/>
        <v>5.9301399999999997</v>
      </c>
      <c r="E14" s="12">
        <f t="shared" si="0"/>
        <v>42103994</v>
      </c>
      <c r="F14" s="194">
        <f>E14/E23*100</f>
        <v>4.9358639587968636</v>
      </c>
      <c r="G14" s="195">
        <f>C14/C23*100</f>
        <v>5.8307643302141106</v>
      </c>
      <c r="H14" s="12">
        <v>1376</v>
      </c>
      <c r="I14" s="187">
        <f>H14/H21*100</f>
        <v>5.0030905719376069</v>
      </c>
    </row>
    <row r="15" spans="1:9" s="2" customFormat="1" ht="15.75" x14ac:dyDescent="0.25">
      <c r="A15" s="8">
        <v>13</v>
      </c>
      <c r="B15" s="14" t="s">
        <v>191</v>
      </c>
      <c r="C15" s="7">
        <f>'Sum , MPA'!AD31</f>
        <v>51493350</v>
      </c>
      <c r="D15" s="7">
        <f t="shared" si="1"/>
        <v>5.1493349999999998</v>
      </c>
      <c r="E15" s="12">
        <f t="shared" si="0"/>
        <v>36560278.5</v>
      </c>
      <c r="F15" s="194">
        <f>E15/E23*100</f>
        <v>4.2859725130049622</v>
      </c>
      <c r="G15" s="195">
        <f>C15/C23*100</f>
        <v>5.063043847585905</v>
      </c>
      <c r="H15" s="12">
        <v>1131</v>
      </c>
      <c r="I15" s="187">
        <f>H15/H21*100</f>
        <v>4.1122786605097623</v>
      </c>
    </row>
    <row r="16" spans="1:9" s="2" customFormat="1" ht="15.75" x14ac:dyDescent="0.25">
      <c r="A16" s="8">
        <v>14</v>
      </c>
      <c r="B16" s="14" t="s">
        <v>192</v>
      </c>
      <c r="C16" s="7">
        <f>'Sum , MPA'!AF31</f>
        <v>63243700</v>
      </c>
      <c r="D16" s="7">
        <f t="shared" si="1"/>
        <v>6.32437</v>
      </c>
      <c r="E16" s="12">
        <f t="shared" si="0"/>
        <v>44903027</v>
      </c>
      <c r="F16" s="194">
        <f>E16/E23*100</f>
        <v>5.2639954444745181</v>
      </c>
      <c r="G16" s="195">
        <f>C16/C23*100</f>
        <v>6.2183879313264461</v>
      </c>
      <c r="H16" s="12">
        <v>1314</v>
      </c>
      <c r="I16" s="187">
        <f>H16/H21*100</f>
        <v>4.7776606188415807</v>
      </c>
    </row>
    <row r="17" spans="1:32" s="2" customFormat="1" ht="15.75" x14ac:dyDescent="0.25">
      <c r="A17" s="8">
        <v>15</v>
      </c>
      <c r="B17" s="14" t="s">
        <v>193</v>
      </c>
      <c r="C17" s="7">
        <f>'Sum , MPA'!AH31</f>
        <v>57306675</v>
      </c>
      <c r="D17" s="7">
        <f t="shared" si="1"/>
        <v>5.7306675</v>
      </c>
      <c r="E17" s="12">
        <f t="shared" si="0"/>
        <v>40687739.25</v>
      </c>
      <c r="F17" s="194">
        <f>E17/E23*100</f>
        <v>4.7698359858449422</v>
      </c>
      <c r="G17" s="195">
        <f>C17/C23*100</f>
        <v>5.6346345360003758</v>
      </c>
      <c r="H17" s="12">
        <v>2691</v>
      </c>
      <c r="I17" s="187">
        <f>H17/H21*100</f>
        <v>9.7843871577646073</v>
      </c>
    </row>
    <row r="18" spans="1:32" s="125" customFormat="1" ht="15.75" x14ac:dyDescent="0.25">
      <c r="A18" s="8">
        <v>16</v>
      </c>
      <c r="B18" s="14" t="s">
        <v>194</v>
      </c>
      <c r="C18" s="7">
        <f>'Sum , MPA'!AJ31</f>
        <v>61545200</v>
      </c>
      <c r="D18" s="7">
        <f t="shared" si="1"/>
        <v>6.1545199999999998</v>
      </c>
      <c r="E18" s="12">
        <f t="shared" si="0"/>
        <v>43697092</v>
      </c>
      <c r="F18" s="194">
        <f>E18/E23*100</f>
        <v>5.1226233194653874</v>
      </c>
      <c r="G18" s="195">
        <f>C18/C23*100</f>
        <v>6.0513842313316957</v>
      </c>
      <c r="H18" s="126">
        <v>682</v>
      </c>
      <c r="I18" s="187">
        <f>H18/H21*100</f>
        <v>2.4797294840562847</v>
      </c>
    </row>
    <row r="19" spans="1:32" s="182" customFormat="1" ht="15.75" x14ac:dyDescent="0.25">
      <c r="A19" s="179">
        <v>17</v>
      </c>
      <c r="B19" s="180" t="s">
        <v>195</v>
      </c>
      <c r="C19" s="181">
        <f>'Sum , MPA'!AL31</f>
        <v>52926400</v>
      </c>
      <c r="D19" s="181">
        <f t="shared" si="1"/>
        <v>5.2926399999999996</v>
      </c>
      <c r="E19" s="190">
        <f t="shared" si="0"/>
        <v>37577744</v>
      </c>
      <c r="F19" s="198">
        <f>E19/E23*100</f>
        <v>4.4052503014914706</v>
      </c>
      <c r="G19" s="199">
        <f>C19/C23*100</f>
        <v>5.2039473814554817</v>
      </c>
      <c r="H19" s="190">
        <v>2586</v>
      </c>
      <c r="I19" s="191">
        <f>H19/H21*100</f>
        <v>9.4026106242955318</v>
      </c>
    </row>
    <row r="20" spans="1:32" s="2" customFormat="1" ht="15.75" x14ac:dyDescent="0.25">
      <c r="A20" s="8">
        <v>18</v>
      </c>
      <c r="B20" s="15" t="s">
        <v>196</v>
      </c>
      <c r="C20" s="7">
        <f>'Sum , MPA'!AN31</f>
        <v>130921000</v>
      </c>
      <c r="D20" s="7">
        <f t="shared" si="1"/>
        <v>13.0921</v>
      </c>
      <c r="E20" s="265">
        <f>C20</f>
        <v>130921000</v>
      </c>
      <c r="F20" s="12"/>
      <c r="G20" s="12"/>
      <c r="H20" s="12"/>
      <c r="I20" s="12"/>
    </row>
    <row r="21" spans="1:32" s="5" customFormat="1" ht="15.75" x14ac:dyDescent="0.25">
      <c r="A21" s="16"/>
      <c r="B21" s="17" t="s">
        <v>37</v>
      </c>
      <c r="C21" s="11">
        <f>SUM(C3:C20)</f>
        <v>1147964335</v>
      </c>
      <c r="D21" s="7">
        <f t="shared" si="1"/>
        <v>114.79643350000001</v>
      </c>
      <c r="E21" s="186"/>
      <c r="F21" s="192">
        <f>SUM(F3:F20)</f>
        <v>84.652091548615459</v>
      </c>
      <c r="G21" s="193">
        <f>SUM(G3:G20)</f>
        <v>100</v>
      </c>
      <c r="H21" s="186">
        <f>SUM(H3:H20)</f>
        <v>27503</v>
      </c>
      <c r="I21" s="192">
        <f>SUM(I3:I20)</f>
        <v>100</v>
      </c>
    </row>
    <row r="23" spans="1:32" x14ac:dyDescent="0.25">
      <c r="C23" s="129">
        <f>C21-C20</f>
        <v>1017043335</v>
      </c>
      <c r="E23">
        <f>SUM(E3:E20)</f>
        <v>853021767.85000002</v>
      </c>
    </row>
    <row r="25" spans="1:32" x14ac:dyDescent="0.25">
      <c r="B25" t="s">
        <v>932</v>
      </c>
      <c r="C25" s="129">
        <f>'Sum, scheme'!F34</f>
        <v>882486395</v>
      </c>
    </row>
    <row r="26" spans="1:32" ht="30" x14ac:dyDescent="0.25">
      <c r="B26" s="183" t="s">
        <v>935</v>
      </c>
      <c r="C26" s="129">
        <f>C25-C20</f>
        <v>751565395</v>
      </c>
      <c r="D26">
        <f>C26/C23*100</f>
        <v>73.897086695917437</v>
      </c>
    </row>
    <row r="27" spans="1:32" ht="0.75" customHeight="1" x14ac:dyDescent="0.25">
      <c r="E27" s="9"/>
      <c r="F27" s="9"/>
      <c r="G27" s="9"/>
      <c r="I27" s="9"/>
      <c r="K27" s="9"/>
      <c r="M27" s="9"/>
      <c r="O27" s="9"/>
      <c r="Q27" s="9"/>
      <c r="S27" s="9"/>
      <c r="U27" s="9"/>
      <c r="W27" s="9"/>
      <c r="Y27" s="9"/>
      <c r="AA27" s="9"/>
      <c r="AC27" s="9"/>
      <c r="AE27" s="9"/>
    </row>
    <row r="28" spans="1:32" ht="15.75" hidden="1" x14ac:dyDescent="0.25">
      <c r="C28" s="9">
        <v>48</v>
      </c>
      <c r="D28" s="9"/>
      <c r="E28" s="9"/>
      <c r="F28" s="9"/>
      <c r="G28" s="9"/>
      <c r="H28" s="9">
        <v>43</v>
      </c>
      <c r="I28" s="9"/>
      <c r="J28" s="9">
        <v>75</v>
      </c>
      <c r="K28" s="9"/>
      <c r="L28" s="9">
        <v>41</v>
      </c>
      <c r="M28" s="9"/>
      <c r="N28" s="9">
        <v>101</v>
      </c>
      <c r="O28" s="9"/>
      <c r="P28" s="9">
        <v>8</v>
      </c>
      <c r="Q28" s="9"/>
      <c r="R28" s="9">
        <v>33</v>
      </c>
      <c r="S28" s="9"/>
      <c r="T28" s="9">
        <v>53</v>
      </c>
      <c r="U28" s="9"/>
      <c r="V28" s="9">
        <v>52</v>
      </c>
      <c r="W28" s="9"/>
      <c r="X28" s="9">
        <v>76</v>
      </c>
      <c r="Y28" s="9"/>
      <c r="Z28" s="9">
        <v>82</v>
      </c>
      <c r="AA28" s="9"/>
      <c r="AB28" s="9">
        <v>104</v>
      </c>
      <c r="AC28" s="9"/>
      <c r="AD28" s="9">
        <v>147</v>
      </c>
      <c r="AE28" s="9"/>
      <c r="AF28" s="9">
        <v>54</v>
      </c>
    </row>
    <row r="29" spans="1:32" ht="15.75" hidden="1" x14ac:dyDescent="0.25">
      <c r="E29" s="10">
        <f>E28/1125*100</f>
        <v>0</v>
      </c>
      <c r="F29" s="10"/>
      <c r="G29" s="10"/>
      <c r="I29" s="10">
        <f>I28/1125*100</f>
        <v>0</v>
      </c>
      <c r="K29" s="10">
        <f>K28/1125*100</f>
        <v>0</v>
      </c>
      <c r="M29" s="10">
        <f>M28/1125*100</f>
        <v>0</v>
      </c>
      <c r="O29" s="10">
        <f>O28/1125*100</f>
        <v>0</v>
      </c>
      <c r="Q29" s="10">
        <f>Q28/1125*100</f>
        <v>0</v>
      </c>
      <c r="S29" s="10">
        <f>S28/1125*100</f>
        <v>0</v>
      </c>
      <c r="U29" s="10">
        <f>U28/1125*100</f>
        <v>0</v>
      </c>
      <c r="W29" s="10">
        <f>W28/1125*100</f>
        <v>0</v>
      </c>
      <c r="Y29" s="10">
        <f>Y28/1125*100</f>
        <v>0</v>
      </c>
      <c r="AA29" s="10">
        <f>AA28/1125*100</f>
        <v>0</v>
      </c>
      <c r="AC29" s="10">
        <f>AC28/1125*100</f>
        <v>0</v>
      </c>
      <c r="AE29" s="10">
        <f>AE28/1125*100</f>
        <v>0</v>
      </c>
    </row>
  </sheetData>
  <mergeCells count="1">
    <mergeCell ref="A1:D1"/>
  </mergeCells>
  <pageMargins left="0.7" right="0.7" top="0.75" bottom="0.75" header="0.3" footer="0.3"/>
  <pageSetup scale="2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0">
    <tabColor rgb="FF00B0F0"/>
    <pageSetUpPr fitToPage="1"/>
  </sheetPr>
  <dimension ref="B1:BW59"/>
  <sheetViews>
    <sheetView topLeftCell="C4" zoomScale="80" zoomScaleNormal="80" workbookViewId="0">
      <pane xSplit="6" ySplit="7" topLeftCell="I44" activePane="bottomRight" state="frozen"/>
      <selection activeCell="C4" sqref="C4"/>
      <selection pane="topRight" activeCell="I4" sqref="I4"/>
      <selection pane="bottomLeft" activeCell="C11" sqref="C11"/>
      <selection pane="bottomRight" activeCell="J67" sqref="J67"/>
    </sheetView>
  </sheetViews>
  <sheetFormatPr defaultColWidth="8.7109375" defaultRowHeight="15.75" x14ac:dyDescent="0.25"/>
  <cols>
    <col min="1" max="1" width="8" style="266" customWidth="1"/>
    <col min="2" max="2" width="6" style="266" customWidth="1"/>
    <col min="3" max="3" width="11.28515625" style="266" bestFit="1" customWidth="1"/>
    <col min="4" max="4" width="46.28515625" style="266" bestFit="1" customWidth="1"/>
    <col min="5" max="5" width="13.140625" style="266" bestFit="1" customWidth="1"/>
    <col min="6" max="6" width="12.85546875" style="123" customWidth="1"/>
    <col min="7" max="7" width="11.7109375" style="266" customWidth="1"/>
    <col min="8" max="8" width="16.7109375" style="128" bestFit="1" customWidth="1"/>
    <col min="9" max="9" width="15.5703125" style="128" bestFit="1" customWidth="1"/>
    <col min="10" max="10" width="16.7109375" style="128" bestFit="1" customWidth="1"/>
    <col min="11" max="11" width="11.28515625" style="128" customWidth="1"/>
    <col min="12" max="12" width="13.85546875" style="128" customWidth="1"/>
    <col min="13" max="13" width="7" style="128" customWidth="1"/>
    <col min="14" max="14" width="13.140625" style="128" customWidth="1"/>
    <col min="15" max="15" width="7.85546875" style="128" customWidth="1"/>
    <col min="16" max="16" width="7.7109375" style="266" customWidth="1"/>
    <col min="17" max="17" width="13.140625" style="266" customWidth="1"/>
    <col min="18" max="18" width="8.28515625" style="266" customWidth="1"/>
    <col min="19" max="21" width="11" style="266" bestFit="1" customWidth="1"/>
    <col min="22" max="22" width="11" style="266" customWidth="1"/>
    <col min="23" max="25" width="15.5703125" style="266" bestFit="1" customWidth="1"/>
    <col min="26" max="26" width="17" style="266" customWidth="1"/>
    <col min="27" max="27" width="9.85546875" style="266" bestFit="1" customWidth="1"/>
    <col min="28" max="28" width="14.28515625" style="128" bestFit="1" customWidth="1"/>
    <col min="29" max="29" width="9.85546875" style="266" bestFit="1" customWidth="1"/>
    <col min="30" max="30" width="14.28515625" style="266" bestFit="1" customWidth="1"/>
    <col min="31" max="31" width="9.85546875" style="266" bestFit="1" customWidth="1"/>
    <col min="32" max="32" width="14.28515625" style="266" bestFit="1" customWidth="1"/>
    <col min="33" max="33" width="9.85546875" style="266" bestFit="1" customWidth="1"/>
    <col min="34" max="34" width="15.42578125" style="266" bestFit="1" customWidth="1"/>
    <col min="35" max="35" width="9.85546875" style="266" bestFit="1" customWidth="1"/>
    <col min="36" max="36" width="15.5703125" style="266" bestFit="1" customWidth="1"/>
    <col min="37" max="37" width="9.85546875" style="266" bestFit="1" customWidth="1"/>
    <col min="38" max="38" width="15.5703125" style="266" bestFit="1" customWidth="1"/>
    <col min="39" max="39" width="9" style="266" bestFit="1" customWidth="1"/>
    <col min="40" max="40" width="14.28515625" style="266" bestFit="1" customWidth="1"/>
    <col min="41" max="41" width="9" style="266" bestFit="1" customWidth="1"/>
    <col min="42" max="42" width="14.28515625" style="266" bestFit="1" customWidth="1"/>
    <col min="43" max="43" width="9.28515625" style="266" customWidth="1"/>
    <col min="44" max="44" width="13.140625" style="266" bestFit="1" customWidth="1"/>
    <col min="45" max="45" width="9" style="266" bestFit="1" customWidth="1"/>
    <col min="46" max="46" width="14.28515625" style="266" bestFit="1" customWidth="1"/>
    <col min="47" max="47" width="9" style="266" bestFit="1" customWidth="1"/>
    <col min="48" max="48" width="14.28515625" style="266" bestFit="1" customWidth="1"/>
    <col min="49" max="49" width="9" style="266" bestFit="1" customWidth="1"/>
    <col min="50" max="50" width="15.5703125" style="266" bestFit="1" customWidth="1"/>
    <col min="51" max="51" width="9.85546875" style="266" bestFit="1" customWidth="1"/>
    <col min="52" max="52" width="15.5703125" style="266" bestFit="1" customWidth="1"/>
    <col min="53" max="53" width="9.85546875" style="266" bestFit="1" customWidth="1"/>
    <col min="54" max="54" width="15.5703125" style="266" bestFit="1" customWidth="1"/>
    <col min="55" max="55" width="9.85546875" style="266" bestFit="1" customWidth="1"/>
    <col min="56" max="56" width="15.5703125" style="266" bestFit="1" customWidth="1"/>
    <col min="57" max="57" width="9.85546875" style="266" bestFit="1" customWidth="1"/>
    <col min="58" max="58" width="15.5703125" style="266" bestFit="1" customWidth="1"/>
    <col min="59" max="59" width="9.85546875" style="266" bestFit="1" customWidth="1"/>
    <col min="60" max="60" width="15.5703125" style="266" bestFit="1" customWidth="1"/>
    <col min="61" max="61" width="9.85546875" style="266" bestFit="1" customWidth="1"/>
    <col min="62" max="62" width="15.5703125" style="266" bestFit="1" customWidth="1"/>
    <col min="63" max="63" width="11" style="266" bestFit="1" customWidth="1"/>
    <col min="64" max="64" width="16.7109375" style="266" bestFit="1" customWidth="1"/>
    <col min="65" max="65" width="22.140625" style="134" bestFit="1" customWidth="1"/>
    <col min="66" max="66" width="5.5703125" style="266" bestFit="1" customWidth="1"/>
    <col min="67" max="67" width="7.28515625" style="266" bestFit="1" customWidth="1"/>
    <col min="68" max="68" width="17.7109375" style="266" bestFit="1" customWidth="1"/>
    <col min="69" max="69" width="18.140625" style="266" bestFit="1" customWidth="1"/>
    <col min="70" max="70" width="7.42578125" style="266" bestFit="1" customWidth="1"/>
    <col min="71" max="71" width="17.85546875" style="266" bestFit="1" customWidth="1"/>
    <col min="72" max="72" width="12" style="266" bestFit="1" customWidth="1"/>
    <col min="73" max="73" width="10.85546875" style="266" bestFit="1" customWidth="1"/>
    <col min="74" max="74" width="16.140625" style="266" bestFit="1" customWidth="1"/>
    <col min="75" max="75" width="18.140625" style="266" bestFit="1" customWidth="1"/>
    <col min="76" max="78" width="9.140625" style="266" customWidth="1"/>
    <col min="79" max="16384" width="8.7109375" style="266"/>
  </cols>
  <sheetData>
    <row r="1" spans="2:75" x14ac:dyDescent="0.25">
      <c r="B1" s="805"/>
      <c r="C1" s="805"/>
      <c r="D1" s="805"/>
      <c r="E1" s="805"/>
      <c r="F1" s="805"/>
      <c r="G1" s="805"/>
      <c r="H1" s="805"/>
      <c r="I1" s="805"/>
      <c r="J1" s="805"/>
      <c r="K1" s="805"/>
      <c r="L1" s="805"/>
      <c r="M1" s="805"/>
      <c r="N1" s="805"/>
      <c r="O1" s="805"/>
      <c r="P1" s="805"/>
      <c r="Q1" s="805"/>
      <c r="R1" s="805"/>
    </row>
    <row r="2" spans="2:75" x14ac:dyDescent="0.25">
      <c r="B2" s="804" t="s">
        <v>158</v>
      </c>
      <c r="C2" s="804"/>
      <c r="D2" s="804" t="s">
        <v>152</v>
      </c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134"/>
      <c r="T2" s="134"/>
      <c r="U2" s="134"/>
      <c r="V2" s="134"/>
      <c r="W2" s="134"/>
      <c r="X2" s="134"/>
      <c r="Y2" s="134"/>
      <c r="Z2" s="134"/>
      <c r="AA2" s="266" t="s">
        <v>287</v>
      </c>
      <c r="AB2" s="266">
        <v>8.34</v>
      </c>
      <c r="AD2" s="266">
        <v>2.85</v>
      </c>
      <c r="AF2" s="266">
        <v>8.3800000000000008</v>
      </c>
      <c r="AH2" s="266">
        <v>7.49</v>
      </c>
      <c r="AJ2" s="266">
        <v>3.33</v>
      </c>
      <c r="AL2" s="266">
        <v>6.64</v>
      </c>
      <c r="AN2" s="266">
        <v>3.67</v>
      </c>
      <c r="AP2" s="266">
        <v>5.0599999999999996</v>
      </c>
      <c r="AR2" s="266">
        <v>5.94</v>
      </c>
      <c r="AT2" s="266">
        <v>6.85</v>
      </c>
      <c r="AV2" s="266">
        <v>7.45</v>
      </c>
      <c r="AX2" s="266">
        <v>5.13</v>
      </c>
      <c r="AZ2" s="266">
        <v>4.8600000000000003</v>
      </c>
      <c r="BB2" s="266">
        <v>5.79</v>
      </c>
      <c r="BD2" s="266">
        <v>5.3</v>
      </c>
      <c r="BF2" s="266">
        <v>3.47</v>
      </c>
      <c r="BH2" s="266">
        <v>9.42</v>
      </c>
    </row>
    <row r="3" spans="2:75" x14ac:dyDescent="0.25">
      <c r="B3" s="804" t="s">
        <v>154</v>
      </c>
      <c r="C3" s="804"/>
      <c r="D3" s="804" t="s">
        <v>153</v>
      </c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  <c r="S3" s="134"/>
      <c r="T3" s="134"/>
      <c r="U3" s="134"/>
      <c r="V3" s="134"/>
      <c r="W3" s="134"/>
      <c r="X3" s="134"/>
      <c r="Y3" s="134"/>
      <c r="Z3" s="134"/>
      <c r="AA3" s="266" t="s">
        <v>285</v>
      </c>
      <c r="AB3" s="266">
        <v>48</v>
      </c>
      <c r="AD3" s="266">
        <v>23</v>
      </c>
      <c r="AF3" s="266">
        <v>80</v>
      </c>
      <c r="AH3" s="266">
        <v>105</v>
      </c>
      <c r="AJ3" s="266">
        <v>43</v>
      </c>
      <c r="AL3" s="266">
        <v>75</v>
      </c>
      <c r="AN3" s="266">
        <v>41</v>
      </c>
      <c r="AP3" s="266">
        <v>101</v>
      </c>
      <c r="AR3" s="266">
        <v>8</v>
      </c>
      <c r="AT3" s="266">
        <v>33</v>
      </c>
      <c r="AV3" s="266">
        <v>53</v>
      </c>
      <c r="AX3" s="266">
        <v>52</v>
      </c>
      <c r="AZ3" s="266">
        <v>76</v>
      </c>
      <c r="BB3" s="266">
        <v>82</v>
      </c>
      <c r="BD3" s="266">
        <v>104</v>
      </c>
      <c r="BF3" s="266">
        <v>147</v>
      </c>
      <c r="BH3" s="266">
        <v>54</v>
      </c>
    </row>
    <row r="4" spans="2:75" x14ac:dyDescent="0.25">
      <c r="B4" s="804" t="s">
        <v>155</v>
      </c>
      <c r="C4" s="804"/>
      <c r="D4" s="804" t="s">
        <v>1174</v>
      </c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  <c r="S4" s="134"/>
      <c r="T4" s="134"/>
      <c r="U4" s="134"/>
      <c r="V4" s="134"/>
      <c r="W4" s="134"/>
      <c r="X4" s="134"/>
      <c r="Y4" s="134"/>
      <c r="Z4" s="134"/>
      <c r="AA4" s="266" t="s">
        <v>286</v>
      </c>
      <c r="AB4" s="289">
        <f>AB3/1125*100</f>
        <v>4.2666666666666666</v>
      </c>
      <c r="AC4" s="289">
        <f t="shared" ref="AC4:BH4" si="0">AC3/1125*100</f>
        <v>0</v>
      </c>
      <c r="AD4" s="289">
        <f t="shared" si="0"/>
        <v>2.0444444444444447</v>
      </c>
      <c r="AE4" s="289">
        <f t="shared" si="0"/>
        <v>0</v>
      </c>
      <c r="AF4" s="289">
        <f t="shared" si="0"/>
        <v>7.1111111111111107</v>
      </c>
      <c r="AG4" s="289">
        <f t="shared" si="0"/>
        <v>0</v>
      </c>
      <c r="AH4" s="289">
        <f t="shared" si="0"/>
        <v>9.3333333333333339</v>
      </c>
      <c r="AI4" s="289">
        <f t="shared" si="0"/>
        <v>0</v>
      </c>
      <c r="AJ4" s="289">
        <f t="shared" si="0"/>
        <v>3.822222222222222</v>
      </c>
      <c r="AK4" s="289">
        <f t="shared" si="0"/>
        <v>0</v>
      </c>
      <c r="AL4" s="289">
        <f t="shared" si="0"/>
        <v>6.666666666666667</v>
      </c>
      <c r="AM4" s="289">
        <f t="shared" si="0"/>
        <v>0</v>
      </c>
      <c r="AN4" s="289">
        <f t="shared" si="0"/>
        <v>3.6444444444444448</v>
      </c>
      <c r="AO4" s="289">
        <f t="shared" si="0"/>
        <v>0</v>
      </c>
      <c r="AP4" s="289">
        <f t="shared" si="0"/>
        <v>8.9777777777777779</v>
      </c>
      <c r="AQ4" s="289">
        <f t="shared" si="0"/>
        <v>0</v>
      </c>
      <c r="AR4" s="289">
        <f t="shared" si="0"/>
        <v>0.71111111111111114</v>
      </c>
      <c r="AS4" s="289">
        <f t="shared" si="0"/>
        <v>0</v>
      </c>
      <c r="AT4" s="289">
        <f t="shared" si="0"/>
        <v>2.9333333333333331</v>
      </c>
      <c r="AU4" s="289">
        <f t="shared" si="0"/>
        <v>0</v>
      </c>
      <c r="AV4" s="289">
        <f t="shared" si="0"/>
        <v>4.7111111111111112</v>
      </c>
      <c r="AW4" s="289">
        <f t="shared" si="0"/>
        <v>0</v>
      </c>
      <c r="AX4" s="289">
        <f t="shared" si="0"/>
        <v>4.6222222222222218</v>
      </c>
      <c r="AY4" s="289">
        <f t="shared" si="0"/>
        <v>0</v>
      </c>
      <c r="AZ4" s="289">
        <f t="shared" si="0"/>
        <v>6.7555555555555546</v>
      </c>
      <c r="BA4" s="289">
        <f t="shared" si="0"/>
        <v>0</v>
      </c>
      <c r="BB4" s="289">
        <f t="shared" si="0"/>
        <v>7.2888888888888896</v>
      </c>
      <c r="BC4" s="289">
        <f t="shared" si="0"/>
        <v>0</v>
      </c>
      <c r="BD4" s="289">
        <f t="shared" si="0"/>
        <v>9.2444444444444436</v>
      </c>
      <c r="BE4" s="289">
        <f t="shared" si="0"/>
        <v>0</v>
      </c>
      <c r="BF4" s="289">
        <f t="shared" si="0"/>
        <v>13.066666666666665</v>
      </c>
      <c r="BG4" s="289">
        <f t="shared" si="0"/>
        <v>0</v>
      </c>
      <c r="BH4" s="289">
        <f t="shared" si="0"/>
        <v>4.8</v>
      </c>
    </row>
    <row r="5" spans="2:75" x14ac:dyDescent="0.25">
      <c r="B5" s="134" t="s">
        <v>156</v>
      </c>
      <c r="C5" s="134"/>
      <c r="D5" s="134" t="s">
        <v>0</v>
      </c>
      <c r="E5" s="134"/>
      <c r="F5" s="134"/>
      <c r="G5" s="134" t="s">
        <v>1177</v>
      </c>
      <c r="H5" s="134" t="s">
        <v>1178</v>
      </c>
      <c r="I5" s="134" t="s">
        <v>1179</v>
      </c>
      <c r="J5" s="134" t="s">
        <v>1180</v>
      </c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B5" s="266"/>
    </row>
    <row r="6" spans="2:75" x14ac:dyDescent="0.25">
      <c r="B6" s="134" t="s">
        <v>157</v>
      </c>
      <c r="C6" s="134"/>
      <c r="D6" s="134" t="s">
        <v>63</v>
      </c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</row>
    <row r="7" spans="2:75" x14ac:dyDescent="0.25">
      <c r="B7" s="801"/>
      <c r="C7" s="802"/>
      <c r="D7" s="802"/>
      <c r="E7" s="802"/>
      <c r="F7" s="803"/>
      <c r="G7" s="799" t="s">
        <v>11</v>
      </c>
      <c r="H7" s="800"/>
      <c r="I7" s="801" t="s">
        <v>151</v>
      </c>
      <c r="J7" s="802"/>
      <c r="K7" s="802"/>
      <c r="L7" s="802"/>
      <c r="M7" s="802"/>
      <c r="N7" s="802"/>
      <c r="O7" s="802"/>
      <c r="P7" s="802"/>
      <c r="Q7" s="802"/>
      <c r="R7" s="803"/>
      <c r="S7" s="801" t="s">
        <v>60</v>
      </c>
      <c r="T7" s="802"/>
      <c r="U7" s="802"/>
      <c r="V7" s="803"/>
      <c r="W7" s="801" t="s">
        <v>6</v>
      </c>
      <c r="X7" s="802"/>
      <c r="Y7" s="802"/>
      <c r="Z7" s="803"/>
      <c r="AA7" s="799" t="s">
        <v>179</v>
      </c>
      <c r="AB7" s="800"/>
      <c r="AC7" s="799" t="s">
        <v>180</v>
      </c>
      <c r="AD7" s="800"/>
      <c r="AE7" s="799" t="s">
        <v>181</v>
      </c>
      <c r="AF7" s="800"/>
      <c r="AG7" s="799" t="s">
        <v>182</v>
      </c>
      <c r="AH7" s="800"/>
      <c r="AI7" s="799" t="s">
        <v>183</v>
      </c>
      <c r="AJ7" s="800"/>
      <c r="AK7" s="799" t="s">
        <v>184</v>
      </c>
      <c r="AL7" s="800"/>
      <c r="AM7" s="799" t="s">
        <v>185</v>
      </c>
      <c r="AN7" s="800"/>
      <c r="AO7" s="799" t="s">
        <v>186</v>
      </c>
      <c r="AP7" s="800"/>
      <c r="AQ7" s="799" t="s">
        <v>187</v>
      </c>
      <c r="AR7" s="800"/>
      <c r="AS7" s="799" t="s">
        <v>188</v>
      </c>
      <c r="AT7" s="800"/>
      <c r="AU7" s="799" t="s">
        <v>189</v>
      </c>
      <c r="AV7" s="800"/>
      <c r="AW7" s="799" t="s">
        <v>190</v>
      </c>
      <c r="AX7" s="800"/>
      <c r="AY7" s="799" t="s">
        <v>191</v>
      </c>
      <c r="AZ7" s="800"/>
      <c r="BA7" s="799" t="s">
        <v>192</v>
      </c>
      <c r="BB7" s="800"/>
      <c r="BC7" s="799" t="s">
        <v>193</v>
      </c>
      <c r="BD7" s="800"/>
      <c r="BE7" s="799" t="s">
        <v>194</v>
      </c>
      <c r="BF7" s="800"/>
      <c r="BG7" s="810" t="s">
        <v>195</v>
      </c>
      <c r="BH7" s="810"/>
      <c r="BI7" s="806" t="s">
        <v>196</v>
      </c>
      <c r="BJ7" s="806"/>
      <c r="BK7" s="806" t="s">
        <v>17</v>
      </c>
      <c r="BL7" s="806"/>
      <c r="BM7" s="135" t="s">
        <v>216</v>
      </c>
      <c r="BO7" s="807" t="s">
        <v>227</v>
      </c>
      <c r="BP7" s="807"/>
      <c r="BQ7" s="807"/>
      <c r="BR7" s="807"/>
      <c r="BS7" s="807"/>
      <c r="BT7" s="807" t="s">
        <v>228</v>
      </c>
      <c r="BU7" s="807"/>
      <c r="BV7" s="807"/>
      <c r="BW7" s="807" t="s">
        <v>17</v>
      </c>
    </row>
    <row r="8" spans="2:75" ht="47.25" x14ac:dyDescent="0.25">
      <c r="B8" s="124" t="s">
        <v>41</v>
      </c>
      <c r="C8" s="124" t="s">
        <v>20</v>
      </c>
      <c r="D8" s="290" t="s">
        <v>12</v>
      </c>
      <c r="E8" s="290" t="s">
        <v>14</v>
      </c>
      <c r="F8" s="291" t="s">
        <v>18</v>
      </c>
      <c r="G8" s="124" t="s">
        <v>19</v>
      </c>
      <c r="H8" s="124" t="s">
        <v>15</v>
      </c>
      <c r="I8" s="290" t="s">
        <v>199</v>
      </c>
      <c r="J8" s="290" t="s">
        <v>200</v>
      </c>
      <c r="K8" s="290" t="s">
        <v>201</v>
      </c>
      <c r="L8" s="290" t="s">
        <v>202</v>
      </c>
      <c r="M8" s="290" t="s">
        <v>203</v>
      </c>
      <c r="N8" s="290" t="s">
        <v>204</v>
      </c>
      <c r="O8" s="290" t="s">
        <v>889</v>
      </c>
      <c r="P8" s="290" t="s">
        <v>205</v>
      </c>
      <c r="Q8" s="290" t="s">
        <v>206</v>
      </c>
      <c r="R8" s="290" t="s">
        <v>740</v>
      </c>
      <c r="S8" s="290" t="s">
        <v>7</v>
      </c>
      <c r="T8" s="290" t="s">
        <v>8</v>
      </c>
      <c r="U8" s="290" t="s">
        <v>9</v>
      </c>
      <c r="V8" s="290" t="s">
        <v>10</v>
      </c>
      <c r="W8" s="290" t="s">
        <v>7</v>
      </c>
      <c r="X8" s="290" t="s">
        <v>8</v>
      </c>
      <c r="Y8" s="290" t="s">
        <v>9</v>
      </c>
      <c r="Z8" s="290" t="s">
        <v>10</v>
      </c>
      <c r="AA8" s="290" t="s">
        <v>14</v>
      </c>
      <c r="AB8" s="290" t="s">
        <v>15</v>
      </c>
      <c r="AC8" s="290" t="s">
        <v>14</v>
      </c>
      <c r="AD8" s="290" t="s">
        <v>15</v>
      </c>
      <c r="AE8" s="290" t="s">
        <v>14</v>
      </c>
      <c r="AF8" s="290" t="s">
        <v>15</v>
      </c>
      <c r="AG8" s="290" t="s">
        <v>14</v>
      </c>
      <c r="AH8" s="290" t="s">
        <v>15</v>
      </c>
      <c r="AI8" s="290" t="s">
        <v>14</v>
      </c>
      <c r="AJ8" s="290" t="s">
        <v>15</v>
      </c>
      <c r="AK8" s="290" t="s">
        <v>14</v>
      </c>
      <c r="AL8" s="290" t="s">
        <v>15</v>
      </c>
      <c r="AM8" s="290" t="s">
        <v>14</v>
      </c>
      <c r="AN8" s="290" t="s">
        <v>15</v>
      </c>
      <c r="AO8" s="290" t="s">
        <v>14</v>
      </c>
      <c r="AP8" s="290" t="s">
        <v>15</v>
      </c>
      <c r="AQ8" s="290" t="s">
        <v>14</v>
      </c>
      <c r="AR8" s="290" t="s">
        <v>15</v>
      </c>
      <c r="AS8" s="290" t="s">
        <v>14</v>
      </c>
      <c r="AT8" s="290" t="s">
        <v>15</v>
      </c>
      <c r="AU8" s="290" t="s">
        <v>14</v>
      </c>
      <c r="AV8" s="290" t="s">
        <v>15</v>
      </c>
      <c r="AW8" s="290" t="s">
        <v>14</v>
      </c>
      <c r="AX8" s="290" t="s">
        <v>15</v>
      </c>
      <c r="AY8" s="290" t="s">
        <v>14</v>
      </c>
      <c r="AZ8" s="290" t="s">
        <v>15</v>
      </c>
      <c r="BA8" s="290" t="s">
        <v>14</v>
      </c>
      <c r="BB8" s="290" t="s">
        <v>15</v>
      </c>
      <c r="BC8" s="290" t="s">
        <v>14</v>
      </c>
      <c r="BD8" s="290" t="s">
        <v>15</v>
      </c>
      <c r="BE8" s="290" t="s">
        <v>14</v>
      </c>
      <c r="BF8" s="290" t="s">
        <v>15</v>
      </c>
      <c r="BG8" s="290" t="s">
        <v>14</v>
      </c>
      <c r="BH8" s="290" t="s">
        <v>15</v>
      </c>
      <c r="BI8" s="290" t="s">
        <v>14</v>
      </c>
      <c r="BJ8" s="290" t="s">
        <v>15</v>
      </c>
      <c r="BK8" s="290" t="s">
        <v>14</v>
      </c>
      <c r="BL8" s="290" t="s">
        <v>15</v>
      </c>
      <c r="BM8" s="292"/>
      <c r="BO8" s="136" t="s">
        <v>218</v>
      </c>
      <c r="BP8" s="127" t="s">
        <v>219</v>
      </c>
      <c r="BQ8" s="127" t="s">
        <v>220</v>
      </c>
      <c r="BR8" s="136" t="s">
        <v>221</v>
      </c>
      <c r="BS8" s="127" t="s">
        <v>222</v>
      </c>
      <c r="BT8" s="127" t="s">
        <v>223</v>
      </c>
      <c r="BU8" s="127" t="s">
        <v>224</v>
      </c>
      <c r="BV8" s="127" t="s">
        <v>225</v>
      </c>
      <c r="BW8" s="807"/>
    </row>
    <row r="9" spans="2:75" x14ac:dyDescent="0.25">
      <c r="B9" s="808" t="s">
        <v>59</v>
      </c>
      <c r="C9" s="293"/>
      <c r="D9" s="294" t="s">
        <v>314</v>
      </c>
      <c r="E9" s="284"/>
      <c r="F9" s="122"/>
      <c r="G9" s="284"/>
      <c r="H9" s="6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135"/>
      <c r="T9" s="135"/>
      <c r="U9" s="135"/>
      <c r="V9" s="135"/>
      <c r="W9" s="135"/>
      <c r="X9" s="135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284"/>
      <c r="BO9" s="286"/>
      <c r="BP9" s="286"/>
      <c r="BQ9" s="286"/>
      <c r="BR9" s="286"/>
      <c r="BS9" s="286"/>
      <c r="BT9" s="286"/>
      <c r="BU9" s="286"/>
      <c r="BV9" s="286"/>
      <c r="BW9" s="287">
        <f>BS9+BV9</f>
        <v>0</v>
      </c>
    </row>
    <row r="10" spans="2:75" s="134" customFormat="1" x14ac:dyDescent="0.25">
      <c r="B10" s="809"/>
      <c r="C10" s="296" t="s">
        <v>667</v>
      </c>
      <c r="D10" s="722" t="s">
        <v>461</v>
      </c>
      <c r="E10" s="297" t="s">
        <v>64</v>
      </c>
      <c r="F10" s="298">
        <f>6300000+630000</f>
        <v>6930000</v>
      </c>
      <c r="G10" s="299">
        <f>BK10</f>
        <v>17</v>
      </c>
      <c r="H10" s="135">
        <f>BL10</f>
        <v>121152000</v>
      </c>
      <c r="I10" s="135">
        <f>H10*0.5</f>
        <v>60576000</v>
      </c>
      <c r="J10" s="135">
        <f>H10*0.5</f>
        <v>60576000</v>
      </c>
      <c r="K10" s="135"/>
      <c r="L10" s="135"/>
      <c r="M10" s="135"/>
      <c r="N10" s="135"/>
      <c r="O10" s="135"/>
      <c r="P10" s="135"/>
      <c r="Q10" s="135"/>
      <c r="R10" s="135"/>
      <c r="S10" s="135">
        <v>4</v>
      </c>
      <c r="T10" s="135">
        <v>4</v>
      </c>
      <c r="U10" s="135">
        <v>4</v>
      </c>
      <c r="V10" s="135">
        <v>5</v>
      </c>
      <c r="W10" s="6">
        <f>H10*0.25</f>
        <v>30288000</v>
      </c>
      <c r="X10" s="6">
        <f>H10*0.25</f>
        <v>30288000</v>
      </c>
      <c r="Y10" s="6">
        <f>H10*0.25</f>
        <v>30288000</v>
      </c>
      <c r="Z10" s="6">
        <f>H10*0.25</f>
        <v>30288000</v>
      </c>
      <c r="AA10" s="135">
        <v>1</v>
      </c>
      <c r="AB10" s="135">
        <f>AA10*F10</f>
        <v>6930000</v>
      </c>
      <c r="AC10" s="135">
        <v>1</v>
      </c>
      <c r="AD10" s="135">
        <f>AC10*F10</f>
        <v>6930000</v>
      </c>
      <c r="AE10" s="135">
        <v>1</v>
      </c>
      <c r="AF10" s="135">
        <f>AE10*F10</f>
        <v>6930000</v>
      </c>
      <c r="AG10" s="135">
        <v>1</v>
      </c>
      <c r="AH10" s="135">
        <v>8052000</v>
      </c>
      <c r="AI10" s="135">
        <v>1</v>
      </c>
      <c r="AJ10" s="135">
        <f>AI10*F10</f>
        <v>6930000</v>
      </c>
      <c r="AK10" s="135">
        <v>1</v>
      </c>
      <c r="AL10" s="135">
        <f>AK10*F10</f>
        <v>6930000</v>
      </c>
      <c r="AM10" s="135">
        <v>1</v>
      </c>
      <c r="AN10" s="135">
        <f>AM10*F10</f>
        <v>6930000</v>
      </c>
      <c r="AO10" s="135">
        <v>1</v>
      </c>
      <c r="AP10" s="135">
        <f>AO10*F10</f>
        <v>6930000</v>
      </c>
      <c r="AQ10" s="135">
        <v>1</v>
      </c>
      <c r="AR10" s="135">
        <v>6300000</v>
      </c>
      <c r="AS10" s="135">
        <v>1</v>
      </c>
      <c r="AT10" s="135">
        <f>AS10*F10</f>
        <v>6930000</v>
      </c>
      <c r="AU10" s="135">
        <v>1</v>
      </c>
      <c r="AV10" s="135">
        <f>AU10*F10</f>
        <v>6930000</v>
      </c>
      <c r="AW10" s="135">
        <v>1</v>
      </c>
      <c r="AX10" s="135">
        <f>AW10*F10</f>
        <v>6930000</v>
      </c>
      <c r="AY10" s="135">
        <v>1</v>
      </c>
      <c r="AZ10" s="135">
        <f>AY10*F10</f>
        <v>6930000</v>
      </c>
      <c r="BA10" s="135">
        <v>1</v>
      </c>
      <c r="BB10" s="135">
        <f>BA10*F10</f>
        <v>6930000</v>
      </c>
      <c r="BC10" s="135">
        <v>1</v>
      </c>
      <c r="BD10" s="135">
        <f>BC10*F10</f>
        <v>6930000</v>
      </c>
      <c r="BE10" s="135">
        <v>1</v>
      </c>
      <c r="BF10" s="135">
        <v>9780000</v>
      </c>
      <c r="BG10" s="135">
        <v>1</v>
      </c>
      <c r="BH10" s="135">
        <f>BG10*F10</f>
        <v>6930000</v>
      </c>
      <c r="BI10" s="300"/>
      <c r="BJ10" s="135">
        <f>BI10*F10</f>
        <v>0</v>
      </c>
      <c r="BK10" s="135">
        <f>AA10+AC10+AE10+AG10+AI10+AK10+AM10+AO10+AQ10+AS10+AU10+AW10+AY10+BA10+BC10+BE10+BG10+BI10</f>
        <v>17</v>
      </c>
      <c r="BL10" s="135">
        <f>AB10+AD10+AF10+AH10+AJ10+AL10+AN10+AP10+AR10+AT10+AV10+AX10+AZ10+BB10+BD10+BF10+BH10+BJ10</f>
        <v>121152000</v>
      </c>
      <c r="BM10" s="297" t="s">
        <v>211</v>
      </c>
      <c r="BO10" s="301"/>
      <c r="BP10" s="301"/>
      <c r="BQ10" s="286">
        <f>H10</f>
        <v>121152000</v>
      </c>
      <c r="BR10" s="286"/>
      <c r="BS10" s="286">
        <f>BO10+BP10+BQ10+BR10</f>
        <v>121152000</v>
      </c>
      <c r="BT10" s="286"/>
      <c r="BU10" s="286"/>
      <c r="BV10" s="286">
        <f>BT10+BU10</f>
        <v>0</v>
      </c>
      <c r="BW10" s="302">
        <f t="shared" ref="BW10:BW38" si="1">BS10+BV10</f>
        <v>121152000</v>
      </c>
    </row>
    <row r="11" spans="2:75" s="134" customFormat="1" x14ac:dyDescent="0.25">
      <c r="B11" s="809"/>
      <c r="C11" s="293"/>
      <c r="D11" s="294" t="s">
        <v>462</v>
      </c>
      <c r="E11" s="284"/>
      <c r="F11" s="122"/>
      <c r="G11" s="28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284"/>
      <c r="BO11" s="303"/>
      <c r="BP11" s="303"/>
      <c r="BQ11" s="303"/>
      <c r="BR11" s="303"/>
      <c r="BS11" s="303"/>
      <c r="BT11" s="303"/>
      <c r="BU11" s="303"/>
      <c r="BV11" s="303"/>
      <c r="BW11" s="303"/>
    </row>
    <row r="12" spans="2:75" ht="31.5" x14ac:dyDescent="0.25">
      <c r="B12" s="809"/>
      <c r="C12" s="304" t="s">
        <v>668</v>
      </c>
      <c r="D12" s="283" t="s">
        <v>463</v>
      </c>
      <c r="E12" s="284" t="s">
        <v>16</v>
      </c>
      <c r="F12" s="122">
        <v>1000000</v>
      </c>
      <c r="G12" s="285">
        <f>BK12</f>
        <v>1</v>
      </c>
      <c r="H12" s="6">
        <f>F12*G12</f>
        <v>1000000</v>
      </c>
      <c r="I12" s="6">
        <f>H12*0.2</f>
        <v>200000</v>
      </c>
      <c r="J12" s="6">
        <f>H12*0.8</f>
        <v>800000</v>
      </c>
      <c r="K12" s="6"/>
      <c r="L12" s="6"/>
      <c r="M12" s="6"/>
      <c r="N12" s="6"/>
      <c r="O12" s="6"/>
      <c r="P12" s="135"/>
      <c r="Q12" s="135"/>
      <c r="R12" s="135"/>
      <c r="S12" s="6">
        <f>G12*0.4</f>
        <v>0.4</v>
      </c>
      <c r="T12" s="6">
        <f>G12*0.4</f>
        <v>0.4</v>
      </c>
      <c r="U12" s="6">
        <f>G12*0.1</f>
        <v>0.1</v>
      </c>
      <c r="V12" s="6">
        <f>G12*0.1</f>
        <v>0.1</v>
      </c>
      <c r="W12" s="6">
        <f>H12*0.4</f>
        <v>400000</v>
      </c>
      <c r="X12" s="6">
        <f>H12*0.4</f>
        <v>400000</v>
      </c>
      <c r="Y12" s="6">
        <f>H12*0.1</f>
        <v>100000</v>
      </c>
      <c r="Z12" s="6">
        <f>H12*0.1</f>
        <v>100000</v>
      </c>
      <c r="AA12" s="6">
        <f>SUM(AA11)</f>
        <v>0</v>
      </c>
      <c r="AB12" s="6">
        <f>AA12*F12</f>
        <v>0</v>
      </c>
      <c r="AC12" s="6"/>
      <c r="AD12" s="6">
        <f>AC12*F12</f>
        <v>0</v>
      </c>
      <c r="AE12" s="6">
        <v>0</v>
      </c>
      <c r="AF12" s="6">
        <f>AE12*F12</f>
        <v>0</v>
      </c>
      <c r="AG12" s="6">
        <v>0</v>
      </c>
      <c r="AH12" s="6">
        <f>AG12*F12</f>
        <v>0</v>
      </c>
      <c r="AI12" s="6">
        <v>0</v>
      </c>
      <c r="AJ12" s="6">
        <f>AI12*F12</f>
        <v>0</v>
      </c>
      <c r="AK12" s="6">
        <v>0</v>
      </c>
      <c r="AL12" s="6">
        <f>AK12*F12</f>
        <v>0</v>
      </c>
      <c r="AM12" s="6"/>
      <c r="AN12" s="6">
        <f>AM12*F12</f>
        <v>0</v>
      </c>
      <c r="AO12" s="6"/>
      <c r="AP12" s="6">
        <f>AO12*F12</f>
        <v>0</v>
      </c>
      <c r="AQ12" s="6"/>
      <c r="AR12" s="6">
        <f>AQ12*F12</f>
        <v>0</v>
      </c>
      <c r="AS12" s="6"/>
      <c r="AT12" s="6">
        <f>AS12*F12</f>
        <v>0</v>
      </c>
      <c r="AU12" s="6"/>
      <c r="AV12" s="6">
        <f>AU12*F12</f>
        <v>0</v>
      </c>
      <c r="AW12" s="6">
        <v>0</v>
      </c>
      <c r="AX12" s="6">
        <f>AW12*F12</f>
        <v>0</v>
      </c>
      <c r="AY12" s="6">
        <v>0</v>
      </c>
      <c r="AZ12" s="6">
        <f>AY12*F12</f>
        <v>0</v>
      </c>
      <c r="BA12" s="6">
        <v>0</v>
      </c>
      <c r="BB12" s="6">
        <f>BA12*F12</f>
        <v>0</v>
      </c>
      <c r="BC12" s="6">
        <v>0</v>
      </c>
      <c r="BD12" s="6">
        <f>BC12*F12</f>
        <v>0</v>
      </c>
      <c r="BE12" s="6">
        <v>0</v>
      </c>
      <c r="BF12" s="6">
        <f>BE12*F12</f>
        <v>0</v>
      </c>
      <c r="BG12" s="6">
        <v>0</v>
      </c>
      <c r="BH12" s="6">
        <f>BG12*F12</f>
        <v>0</v>
      </c>
      <c r="BI12" s="30">
        <v>1</v>
      </c>
      <c r="BJ12" s="6">
        <f t="shared" ref="BJ12:BJ54" si="2">BI12*F12</f>
        <v>1000000</v>
      </c>
      <c r="BK12" s="6">
        <f t="shared" ref="BK12:BL15" si="3">AA12+AC12+AE12+AG12+AI12+AK12+AM12+AO12+AQ12+AS12+AU12+AW12+AY12+BA12+BC12+BE12+BG12+BI12</f>
        <v>1</v>
      </c>
      <c r="BL12" s="6">
        <f t="shared" si="3"/>
        <v>1000000</v>
      </c>
      <c r="BM12" s="284" t="s">
        <v>209</v>
      </c>
      <c r="BO12" s="286"/>
      <c r="BP12" s="286">
        <f>BL12</f>
        <v>1000000</v>
      </c>
      <c r="BQ12" s="286"/>
      <c r="BR12" s="286"/>
      <c r="BS12" s="286">
        <f>BO12+BP12+BQ12+BR12</f>
        <v>1000000</v>
      </c>
      <c r="BT12" s="286"/>
      <c r="BU12" s="286"/>
      <c r="BV12" s="286"/>
      <c r="BW12" s="287">
        <f t="shared" si="1"/>
        <v>1000000</v>
      </c>
    </row>
    <row r="13" spans="2:75" ht="31.5" x14ac:dyDescent="0.25">
      <c r="B13" s="809"/>
      <c r="C13" s="282" t="s">
        <v>669</v>
      </c>
      <c r="D13" s="283" t="s">
        <v>464</v>
      </c>
      <c r="E13" s="284" t="s">
        <v>66</v>
      </c>
      <c r="F13" s="122">
        <v>1000</v>
      </c>
      <c r="G13" s="285">
        <f>BK13</f>
        <v>0</v>
      </c>
      <c r="H13" s="6">
        <f>F13*G13</f>
        <v>0</v>
      </c>
      <c r="I13" s="6">
        <f>H13*0.2</f>
        <v>0</v>
      </c>
      <c r="J13" s="6">
        <f>H13*0.8</f>
        <v>0</v>
      </c>
      <c r="K13" s="6"/>
      <c r="L13" s="6"/>
      <c r="M13" s="6"/>
      <c r="N13" s="6"/>
      <c r="O13" s="6"/>
      <c r="P13" s="6"/>
      <c r="Q13" s="6"/>
      <c r="R13" s="6"/>
      <c r="S13" s="6">
        <f>G13*0.25</f>
        <v>0</v>
      </c>
      <c r="T13" s="30">
        <f>G13*0.25</f>
        <v>0</v>
      </c>
      <c r="U13" s="30">
        <f>G13*0.25</f>
        <v>0</v>
      </c>
      <c r="V13" s="30">
        <f>G13*0.25</f>
        <v>0</v>
      </c>
      <c r="W13" s="6">
        <f t="shared" ref="W13" si="4">H13*0.25</f>
        <v>0</v>
      </c>
      <c r="X13" s="6">
        <f t="shared" ref="X13" si="5">H13*0.25</f>
        <v>0</v>
      </c>
      <c r="Y13" s="6">
        <f t="shared" ref="Y13" si="6">H13*0.25</f>
        <v>0</v>
      </c>
      <c r="Z13" s="6">
        <f t="shared" ref="Z13" si="7">H13*0.25</f>
        <v>0</v>
      </c>
      <c r="AA13" s="6">
        <f>SUM(AA12)</f>
        <v>0</v>
      </c>
      <c r="AB13" s="6">
        <f>AA13*F13</f>
        <v>0</v>
      </c>
      <c r="AC13" s="6"/>
      <c r="AD13" s="6">
        <f>AC13*F13</f>
        <v>0</v>
      </c>
      <c r="AE13" s="6">
        <v>0</v>
      </c>
      <c r="AF13" s="6">
        <f>AE13*F13</f>
        <v>0</v>
      </c>
      <c r="AG13" s="6">
        <v>0</v>
      </c>
      <c r="AH13" s="6">
        <f>AG13*F13</f>
        <v>0</v>
      </c>
      <c r="AI13" s="6">
        <v>0</v>
      </c>
      <c r="AJ13" s="6">
        <f>AI13*F13</f>
        <v>0</v>
      </c>
      <c r="AK13" s="6">
        <v>0</v>
      </c>
      <c r="AL13" s="6">
        <f>AK13*F13</f>
        <v>0</v>
      </c>
      <c r="AM13" s="6"/>
      <c r="AN13" s="6">
        <f>AM13*F13</f>
        <v>0</v>
      </c>
      <c r="AO13" s="6"/>
      <c r="AP13" s="6">
        <f>AO13*F13</f>
        <v>0</v>
      </c>
      <c r="AQ13" s="6"/>
      <c r="AR13" s="6">
        <f>AQ13*F13</f>
        <v>0</v>
      </c>
      <c r="AS13" s="6"/>
      <c r="AT13" s="6">
        <f>AS13*F13</f>
        <v>0</v>
      </c>
      <c r="AU13" s="6"/>
      <c r="AV13" s="6">
        <f>AU13*F13</f>
        <v>0</v>
      </c>
      <c r="AW13" s="6">
        <v>0</v>
      </c>
      <c r="AX13" s="6">
        <f>AW13*F13</f>
        <v>0</v>
      </c>
      <c r="AY13" s="6">
        <v>0</v>
      </c>
      <c r="AZ13" s="6">
        <f>AY13*F13</f>
        <v>0</v>
      </c>
      <c r="BA13" s="6">
        <v>0</v>
      </c>
      <c r="BB13" s="6">
        <f>BA13*F13</f>
        <v>0</v>
      </c>
      <c r="BC13" s="6">
        <v>0</v>
      </c>
      <c r="BD13" s="6">
        <f>BC13*F13</f>
        <v>0</v>
      </c>
      <c r="BE13" s="6">
        <v>0</v>
      </c>
      <c r="BF13" s="6">
        <f>BE13*F13</f>
        <v>0</v>
      </c>
      <c r="BG13" s="6">
        <v>0</v>
      </c>
      <c r="BH13" s="6">
        <f>BG13*F13</f>
        <v>0</v>
      </c>
      <c r="BI13" s="30">
        <v>0</v>
      </c>
      <c r="BJ13" s="6">
        <f t="shared" si="2"/>
        <v>0</v>
      </c>
      <c r="BK13" s="6">
        <f t="shared" si="3"/>
        <v>0</v>
      </c>
      <c r="BL13" s="6">
        <f t="shared" si="3"/>
        <v>0</v>
      </c>
      <c r="BM13" s="284" t="s">
        <v>478</v>
      </c>
      <c r="BO13" s="286"/>
      <c r="BP13" s="286">
        <f>BL13</f>
        <v>0</v>
      </c>
      <c r="BQ13" s="286"/>
      <c r="BR13" s="286"/>
      <c r="BS13" s="286">
        <f>BO13+BP13+BQ13+BR13</f>
        <v>0</v>
      </c>
      <c r="BT13" s="286"/>
      <c r="BU13" s="286"/>
      <c r="BV13" s="286">
        <f>BT13+BU13</f>
        <v>0</v>
      </c>
      <c r="BW13" s="287">
        <f t="shared" si="1"/>
        <v>0</v>
      </c>
    </row>
    <row r="14" spans="2:75" ht="31.5" x14ac:dyDescent="0.25">
      <c r="B14" s="809"/>
      <c r="C14" s="282" t="s">
        <v>1150</v>
      </c>
      <c r="D14" s="283" t="s">
        <v>1225</v>
      </c>
      <c r="E14" s="284" t="s">
        <v>16</v>
      </c>
      <c r="F14" s="122">
        <v>1000000</v>
      </c>
      <c r="G14" s="285">
        <f>BK14</f>
        <v>1</v>
      </c>
      <c r="H14" s="6">
        <f>F14*G14</f>
        <v>1000000</v>
      </c>
      <c r="I14" s="6">
        <f>H14*0.2</f>
        <v>200000</v>
      </c>
      <c r="J14" s="6">
        <f>H14*0.8</f>
        <v>800000</v>
      </c>
      <c r="K14" s="6"/>
      <c r="L14" s="6"/>
      <c r="M14" s="6"/>
      <c r="N14" s="6"/>
      <c r="O14" s="6"/>
      <c r="P14" s="6"/>
      <c r="Q14" s="6"/>
      <c r="R14" s="6"/>
      <c r="S14" s="6">
        <f>G14*0.25</f>
        <v>0.25</v>
      </c>
      <c r="T14" s="30">
        <f>G14*0.25</f>
        <v>0.25</v>
      </c>
      <c r="U14" s="30">
        <f>G14*0.25</f>
        <v>0.25</v>
      </c>
      <c r="V14" s="30">
        <f>G14*0.25</f>
        <v>0.25</v>
      </c>
      <c r="W14" s="6">
        <f>H14*0.3</f>
        <v>300000</v>
      </c>
      <c r="X14" s="6">
        <f>H14*0.3</f>
        <v>300000</v>
      </c>
      <c r="Y14" s="6">
        <f>H14*0.3</f>
        <v>300000</v>
      </c>
      <c r="Z14" s="6">
        <f>H14*0.1</f>
        <v>100000</v>
      </c>
      <c r="AA14" s="6">
        <f>SUM(AA13)</f>
        <v>0</v>
      </c>
      <c r="AB14" s="6">
        <f>AA14*F14</f>
        <v>0</v>
      </c>
      <c r="AC14" s="6"/>
      <c r="AD14" s="6">
        <f>AC14*F14</f>
        <v>0</v>
      </c>
      <c r="AE14" s="6">
        <v>0</v>
      </c>
      <c r="AF14" s="6">
        <f>AE14*F14</f>
        <v>0</v>
      </c>
      <c r="AG14" s="6">
        <v>0</v>
      </c>
      <c r="AH14" s="6">
        <f>AG14*F14</f>
        <v>0</v>
      </c>
      <c r="AI14" s="6">
        <v>0</v>
      </c>
      <c r="AJ14" s="6">
        <f>AI14*F14</f>
        <v>0</v>
      </c>
      <c r="AK14" s="6">
        <v>0</v>
      </c>
      <c r="AL14" s="6">
        <f>AK14*F14</f>
        <v>0</v>
      </c>
      <c r="AM14" s="6"/>
      <c r="AN14" s="6">
        <f>AM14*F14</f>
        <v>0</v>
      </c>
      <c r="AO14" s="6"/>
      <c r="AP14" s="6">
        <f>AO14*F14</f>
        <v>0</v>
      </c>
      <c r="AQ14" s="6"/>
      <c r="AR14" s="6">
        <f>AQ14*F14</f>
        <v>0</v>
      </c>
      <c r="AS14" s="6"/>
      <c r="AT14" s="6">
        <f>AS14*F14</f>
        <v>0</v>
      </c>
      <c r="AU14" s="6"/>
      <c r="AV14" s="6">
        <f>AU14*F14</f>
        <v>0</v>
      </c>
      <c r="AW14" s="6">
        <v>0</v>
      </c>
      <c r="AX14" s="6">
        <f>AW14*F14</f>
        <v>0</v>
      </c>
      <c r="AY14" s="6">
        <v>0</v>
      </c>
      <c r="AZ14" s="6">
        <f>AY14*F14</f>
        <v>0</v>
      </c>
      <c r="BA14" s="6">
        <v>0</v>
      </c>
      <c r="BB14" s="6">
        <f>BA14*F14</f>
        <v>0</v>
      </c>
      <c r="BC14" s="6">
        <v>0</v>
      </c>
      <c r="BD14" s="6">
        <f>BC14*F14</f>
        <v>0</v>
      </c>
      <c r="BE14" s="6">
        <v>0</v>
      </c>
      <c r="BF14" s="6">
        <f>BE14*F14</f>
        <v>0</v>
      </c>
      <c r="BG14" s="6">
        <v>0</v>
      </c>
      <c r="BH14" s="6">
        <f>BG14*F14</f>
        <v>0</v>
      </c>
      <c r="BI14" s="30">
        <v>1</v>
      </c>
      <c r="BJ14" s="6">
        <f t="shared" ref="BJ14" si="8">BI14*F14</f>
        <v>1000000</v>
      </c>
      <c r="BK14" s="6">
        <f t="shared" ref="BK14" si="9">AA14+AC14+AE14+AG14+AI14+AK14+AM14+AO14+AQ14+AS14+AU14+AW14+AY14+BA14+BC14+BE14+BG14+BI14</f>
        <v>1</v>
      </c>
      <c r="BL14" s="6">
        <f t="shared" ref="BL14" si="10">AB14+AD14+AF14+AH14+AJ14+AL14+AN14+AP14+AR14+AT14+AV14+AX14+AZ14+BB14+BD14+BF14+BH14+BJ14</f>
        <v>1000000</v>
      </c>
      <c r="BM14" s="284" t="s">
        <v>478</v>
      </c>
      <c r="BO14" s="286"/>
      <c r="BP14" s="286">
        <f>BL14</f>
        <v>1000000</v>
      </c>
      <c r="BQ14" s="286"/>
      <c r="BR14" s="286"/>
      <c r="BS14" s="286">
        <f>BO14+BP14+BQ14+BR14</f>
        <v>1000000</v>
      </c>
      <c r="BT14" s="286"/>
      <c r="BU14" s="286"/>
      <c r="BV14" s="286">
        <f>BT14+BU14</f>
        <v>0</v>
      </c>
      <c r="BW14" s="287">
        <f t="shared" ref="BW14" si="11">BS14+BV14</f>
        <v>1000000</v>
      </c>
    </row>
    <row r="15" spans="2:75" ht="31.5" x14ac:dyDescent="0.25">
      <c r="B15" s="809"/>
      <c r="C15" s="282" t="s">
        <v>670</v>
      </c>
      <c r="D15" s="283" t="s">
        <v>635</v>
      </c>
      <c r="E15" s="284" t="s">
        <v>16</v>
      </c>
      <c r="F15" s="122">
        <v>8000000</v>
      </c>
      <c r="G15" s="285">
        <f>BK15</f>
        <v>1</v>
      </c>
      <c r="H15" s="6">
        <f>G15*F15</f>
        <v>8000000</v>
      </c>
      <c r="I15" s="6">
        <f>H15*0.2</f>
        <v>1600000</v>
      </c>
      <c r="J15" s="6">
        <f>H15*0.8</f>
        <v>6400000</v>
      </c>
      <c r="K15" s="6"/>
      <c r="L15" s="6"/>
      <c r="M15" s="6"/>
      <c r="N15" s="6"/>
      <c r="O15" s="6"/>
      <c r="P15" s="6"/>
      <c r="Q15" s="6"/>
      <c r="R15" s="6"/>
      <c r="S15" s="6">
        <f>G15*0.25</f>
        <v>0.25</v>
      </c>
      <c r="T15" s="30">
        <f>G15*0.25</f>
        <v>0.25</v>
      </c>
      <c r="U15" s="30">
        <f>G15*0.25</f>
        <v>0.25</v>
      </c>
      <c r="V15" s="30">
        <f>G15*0.25</f>
        <v>0.25</v>
      </c>
      <c r="W15" s="6">
        <f>H15*0.4</f>
        <v>3200000</v>
      </c>
      <c r="X15" s="6">
        <f>H15*0.3</f>
        <v>2400000</v>
      </c>
      <c r="Y15" s="6">
        <f>H15*0.3</f>
        <v>2400000</v>
      </c>
      <c r="Z15" s="6">
        <f>H15*0</f>
        <v>0</v>
      </c>
      <c r="AA15" s="6">
        <f>SUM(AA13)</f>
        <v>0</v>
      </c>
      <c r="AB15" s="6">
        <f>AA15*F15</f>
        <v>0</v>
      </c>
      <c r="AC15" s="6"/>
      <c r="AD15" s="6">
        <f>AC15*F15</f>
        <v>0</v>
      </c>
      <c r="AE15" s="6">
        <v>0</v>
      </c>
      <c r="AF15" s="6">
        <f>AE15*F15</f>
        <v>0</v>
      </c>
      <c r="AG15" s="6">
        <v>0</v>
      </c>
      <c r="AH15" s="6">
        <f>AG15*F15</f>
        <v>0</v>
      </c>
      <c r="AI15" s="6">
        <v>0</v>
      </c>
      <c r="AJ15" s="6">
        <f>AI15*F15</f>
        <v>0</v>
      </c>
      <c r="AK15" s="6">
        <v>0</v>
      </c>
      <c r="AL15" s="6">
        <f>AK15*F15</f>
        <v>0</v>
      </c>
      <c r="AM15" s="6"/>
      <c r="AN15" s="6">
        <f>AM15*F15</f>
        <v>0</v>
      </c>
      <c r="AO15" s="6"/>
      <c r="AP15" s="6">
        <f>AO15*F15</f>
        <v>0</v>
      </c>
      <c r="AQ15" s="6"/>
      <c r="AR15" s="6">
        <f>AQ15*F15</f>
        <v>0</v>
      </c>
      <c r="AS15" s="6"/>
      <c r="AT15" s="6">
        <f>AS15*F15</f>
        <v>0</v>
      </c>
      <c r="AU15" s="6"/>
      <c r="AV15" s="6">
        <f>AU15*F15</f>
        <v>0</v>
      </c>
      <c r="AW15" s="6">
        <v>0</v>
      </c>
      <c r="AX15" s="6">
        <f>AW15*F15</f>
        <v>0</v>
      </c>
      <c r="AY15" s="6">
        <v>0</v>
      </c>
      <c r="AZ15" s="6">
        <f>AY15*F15</f>
        <v>0</v>
      </c>
      <c r="BA15" s="6">
        <v>0</v>
      </c>
      <c r="BB15" s="6">
        <f>BA15*F15</f>
        <v>0</v>
      </c>
      <c r="BC15" s="6">
        <v>0</v>
      </c>
      <c r="BD15" s="6">
        <f>BC15*F15</f>
        <v>0</v>
      </c>
      <c r="BE15" s="6">
        <v>0</v>
      </c>
      <c r="BF15" s="6">
        <f>BE15*F15</f>
        <v>0</v>
      </c>
      <c r="BG15" s="6">
        <v>0</v>
      </c>
      <c r="BH15" s="6">
        <f>BG15*F15</f>
        <v>0</v>
      </c>
      <c r="BI15" s="30">
        <v>1</v>
      </c>
      <c r="BJ15" s="6">
        <f t="shared" si="2"/>
        <v>8000000</v>
      </c>
      <c r="BK15" s="6">
        <f t="shared" si="3"/>
        <v>1</v>
      </c>
      <c r="BL15" s="6">
        <f t="shared" si="3"/>
        <v>8000000</v>
      </c>
      <c r="BM15" s="284" t="s">
        <v>478</v>
      </c>
      <c r="BO15" s="286"/>
      <c r="BP15" s="286">
        <f>BL15</f>
        <v>8000000</v>
      </c>
      <c r="BQ15" s="286"/>
      <c r="BR15" s="286"/>
      <c r="BS15" s="286">
        <f>BO15+BP15+BQ15+BR15</f>
        <v>8000000</v>
      </c>
      <c r="BT15" s="286"/>
      <c r="BU15" s="286"/>
      <c r="BV15" s="286"/>
      <c r="BW15" s="287">
        <f t="shared" si="1"/>
        <v>8000000</v>
      </c>
    </row>
    <row r="16" spans="2:75" s="134" customFormat="1" x14ac:dyDescent="0.25">
      <c r="B16" s="809"/>
      <c r="C16" s="304"/>
      <c r="D16" s="294" t="s">
        <v>465</v>
      </c>
      <c r="E16" s="297" t="s">
        <v>111</v>
      </c>
      <c r="F16" s="305" t="s">
        <v>111</v>
      </c>
      <c r="G16" s="135">
        <f t="shared" ref="G16:AL16" si="12">SUM(G12:G15)</f>
        <v>3</v>
      </c>
      <c r="H16" s="135">
        <f t="shared" si="12"/>
        <v>10000000</v>
      </c>
      <c r="I16" s="135">
        <f t="shared" si="12"/>
        <v>2000000</v>
      </c>
      <c r="J16" s="135">
        <f t="shared" si="12"/>
        <v>8000000</v>
      </c>
      <c r="K16" s="135">
        <f t="shared" si="12"/>
        <v>0</v>
      </c>
      <c r="L16" s="135">
        <f t="shared" si="12"/>
        <v>0</v>
      </c>
      <c r="M16" s="135">
        <f t="shared" si="12"/>
        <v>0</v>
      </c>
      <c r="N16" s="135">
        <f t="shared" si="12"/>
        <v>0</v>
      </c>
      <c r="O16" s="135">
        <f t="shared" si="12"/>
        <v>0</v>
      </c>
      <c r="P16" s="135">
        <f t="shared" si="12"/>
        <v>0</v>
      </c>
      <c r="Q16" s="135">
        <f t="shared" si="12"/>
        <v>0</v>
      </c>
      <c r="R16" s="135">
        <f t="shared" si="12"/>
        <v>0</v>
      </c>
      <c r="S16" s="135">
        <f t="shared" si="12"/>
        <v>0.9</v>
      </c>
      <c r="T16" s="135">
        <f t="shared" si="12"/>
        <v>0.9</v>
      </c>
      <c r="U16" s="135">
        <f t="shared" si="12"/>
        <v>0.6</v>
      </c>
      <c r="V16" s="135">
        <f t="shared" si="12"/>
        <v>0.6</v>
      </c>
      <c r="W16" s="135">
        <f t="shared" si="12"/>
        <v>3900000</v>
      </c>
      <c r="X16" s="135">
        <f t="shared" si="12"/>
        <v>3100000</v>
      </c>
      <c r="Y16" s="135">
        <f t="shared" si="12"/>
        <v>2800000</v>
      </c>
      <c r="Z16" s="135">
        <f t="shared" si="12"/>
        <v>200000</v>
      </c>
      <c r="AA16" s="135">
        <f t="shared" si="12"/>
        <v>0</v>
      </c>
      <c r="AB16" s="135">
        <f t="shared" si="12"/>
        <v>0</v>
      </c>
      <c r="AC16" s="135">
        <f t="shared" si="12"/>
        <v>0</v>
      </c>
      <c r="AD16" s="135">
        <f t="shared" si="12"/>
        <v>0</v>
      </c>
      <c r="AE16" s="135">
        <f t="shared" si="12"/>
        <v>0</v>
      </c>
      <c r="AF16" s="135">
        <f t="shared" si="12"/>
        <v>0</v>
      </c>
      <c r="AG16" s="135">
        <f t="shared" si="12"/>
        <v>0</v>
      </c>
      <c r="AH16" s="135">
        <f t="shared" si="12"/>
        <v>0</v>
      </c>
      <c r="AI16" s="135">
        <f t="shared" si="12"/>
        <v>0</v>
      </c>
      <c r="AJ16" s="135">
        <f t="shared" si="12"/>
        <v>0</v>
      </c>
      <c r="AK16" s="135">
        <f t="shared" si="12"/>
        <v>0</v>
      </c>
      <c r="AL16" s="135">
        <f t="shared" si="12"/>
        <v>0</v>
      </c>
      <c r="AM16" s="135">
        <f t="shared" ref="AM16:BR16" si="13">SUM(AM12:AM15)</f>
        <v>0</v>
      </c>
      <c r="AN16" s="135">
        <f t="shared" si="13"/>
        <v>0</v>
      </c>
      <c r="AO16" s="135">
        <f t="shared" si="13"/>
        <v>0</v>
      </c>
      <c r="AP16" s="135">
        <f t="shared" si="13"/>
        <v>0</v>
      </c>
      <c r="AQ16" s="135">
        <f t="shared" si="13"/>
        <v>0</v>
      </c>
      <c r="AR16" s="135">
        <f t="shared" si="13"/>
        <v>0</v>
      </c>
      <c r="AS16" s="135">
        <f t="shared" si="13"/>
        <v>0</v>
      </c>
      <c r="AT16" s="135">
        <f t="shared" si="13"/>
        <v>0</v>
      </c>
      <c r="AU16" s="135">
        <f t="shared" si="13"/>
        <v>0</v>
      </c>
      <c r="AV16" s="135">
        <f t="shared" si="13"/>
        <v>0</v>
      </c>
      <c r="AW16" s="135">
        <f t="shared" si="13"/>
        <v>0</v>
      </c>
      <c r="AX16" s="135">
        <f t="shared" si="13"/>
        <v>0</v>
      </c>
      <c r="AY16" s="135">
        <f t="shared" si="13"/>
        <v>0</v>
      </c>
      <c r="AZ16" s="135">
        <f t="shared" si="13"/>
        <v>0</v>
      </c>
      <c r="BA16" s="135">
        <f t="shared" si="13"/>
        <v>0</v>
      </c>
      <c r="BB16" s="135">
        <f t="shared" si="13"/>
        <v>0</v>
      </c>
      <c r="BC16" s="135">
        <f t="shared" si="13"/>
        <v>0</v>
      </c>
      <c r="BD16" s="135">
        <f t="shared" si="13"/>
        <v>0</v>
      </c>
      <c r="BE16" s="135">
        <f t="shared" si="13"/>
        <v>0</v>
      </c>
      <c r="BF16" s="135">
        <f t="shared" si="13"/>
        <v>0</v>
      </c>
      <c r="BG16" s="135">
        <f t="shared" si="13"/>
        <v>0</v>
      </c>
      <c r="BH16" s="135">
        <f t="shared" si="13"/>
        <v>0</v>
      </c>
      <c r="BI16" s="135">
        <f t="shared" si="13"/>
        <v>3</v>
      </c>
      <c r="BJ16" s="135">
        <f t="shared" si="13"/>
        <v>10000000</v>
      </c>
      <c r="BK16" s="135">
        <f t="shared" si="13"/>
        <v>3</v>
      </c>
      <c r="BL16" s="135">
        <f t="shared" si="13"/>
        <v>10000000</v>
      </c>
      <c r="BM16" s="135">
        <f t="shared" si="13"/>
        <v>0</v>
      </c>
      <c r="BN16" s="135">
        <f t="shared" si="13"/>
        <v>0</v>
      </c>
      <c r="BO16" s="135">
        <f t="shared" si="13"/>
        <v>0</v>
      </c>
      <c r="BP16" s="135">
        <f t="shared" si="13"/>
        <v>10000000</v>
      </c>
      <c r="BQ16" s="135">
        <f t="shared" si="13"/>
        <v>0</v>
      </c>
      <c r="BR16" s="135">
        <f t="shared" si="13"/>
        <v>0</v>
      </c>
      <c r="BS16" s="135">
        <f t="shared" ref="BS16:BW16" si="14">SUM(BS12:BS15)</f>
        <v>10000000</v>
      </c>
      <c r="BT16" s="135">
        <f t="shared" si="14"/>
        <v>0</v>
      </c>
      <c r="BU16" s="135">
        <f t="shared" si="14"/>
        <v>0</v>
      </c>
      <c r="BV16" s="135">
        <f t="shared" si="14"/>
        <v>0</v>
      </c>
      <c r="BW16" s="135">
        <f t="shared" si="14"/>
        <v>10000000</v>
      </c>
    </row>
    <row r="17" spans="2:75" s="134" customFormat="1" ht="31.5" x14ac:dyDescent="0.25">
      <c r="B17" s="809"/>
      <c r="C17" s="293"/>
      <c r="D17" s="294" t="s">
        <v>587</v>
      </c>
      <c r="E17" s="284"/>
      <c r="F17" s="122"/>
      <c r="G17" s="284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300"/>
      <c r="T17" s="300"/>
      <c r="U17" s="300"/>
      <c r="V17" s="300"/>
      <c r="W17" s="135"/>
      <c r="X17" s="135"/>
      <c r="Y17" s="135"/>
      <c r="Z17" s="135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>
        <v>0</v>
      </c>
      <c r="BH17" s="6"/>
      <c r="BI17" s="30"/>
      <c r="BJ17" s="6"/>
      <c r="BK17" s="6"/>
      <c r="BL17" s="6"/>
      <c r="BM17" s="284"/>
      <c r="BO17" s="135"/>
      <c r="BP17" s="135"/>
      <c r="BQ17" s="135"/>
      <c r="BR17" s="135"/>
      <c r="BS17" s="135"/>
      <c r="BT17" s="135"/>
      <c r="BU17" s="135"/>
      <c r="BV17" s="135"/>
      <c r="BW17" s="135"/>
    </row>
    <row r="18" spans="2:75" ht="47.25" x14ac:dyDescent="0.25">
      <c r="B18" s="809"/>
      <c r="C18" s="282" t="s">
        <v>672</v>
      </c>
      <c r="D18" s="283" t="s">
        <v>627</v>
      </c>
      <c r="E18" s="284" t="s">
        <v>66</v>
      </c>
      <c r="F18" s="122">
        <v>800</v>
      </c>
      <c r="G18" s="285">
        <f>BK18</f>
        <v>3201</v>
      </c>
      <c r="H18" s="6">
        <f>F18*G18</f>
        <v>2560800</v>
      </c>
      <c r="I18" s="6">
        <f t="shared" ref="I18:I29" si="15">H18*0.2</f>
        <v>512160</v>
      </c>
      <c r="J18" s="6">
        <f t="shared" ref="J18:J29" si="16">H18*0.8</f>
        <v>2048640</v>
      </c>
      <c r="K18" s="6"/>
      <c r="L18" s="6"/>
      <c r="M18" s="6"/>
      <c r="N18" s="6"/>
      <c r="O18" s="6"/>
      <c r="P18" s="6"/>
      <c r="Q18" s="6"/>
      <c r="R18" s="6"/>
      <c r="S18" s="6">
        <v>0</v>
      </c>
      <c r="T18" s="6">
        <v>0</v>
      </c>
      <c r="U18" s="6">
        <v>0</v>
      </c>
      <c r="V18" s="6">
        <v>671</v>
      </c>
      <c r="W18" s="6">
        <f>S18*F18</f>
        <v>0</v>
      </c>
      <c r="X18" s="6">
        <f>T18*F18</f>
        <v>0</v>
      </c>
      <c r="Y18" s="306">
        <f>U18*F18</f>
        <v>0</v>
      </c>
      <c r="Z18" s="306">
        <f>H18</f>
        <v>2560800</v>
      </c>
      <c r="AA18" s="6">
        <f>(48*3)+3</f>
        <v>147</v>
      </c>
      <c r="AB18" s="6">
        <f t="shared" ref="AB18:AB29" si="17">AA18*F18</f>
        <v>117600</v>
      </c>
      <c r="AC18" s="6">
        <f>(23*3)+3</f>
        <v>72</v>
      </c>
      <c r="AD18" s="6">
        <f t="shared" ref="AD18:AD23" si="18">AC18*F18</f>
        <v>57600</v>
      </c>
      <c r="AE18" s="6">
        <v>180</v>
      </c>
      <c r="AF18" s="6">
        <f t="shared" ref="AF18:AF23" si="19">AE18*F18</f>
        <v>144000</v>
      </c>
      <c r="AG18" s="6">
        <v>272</v>
      </c>
      <c r="AH18" s="6">
        <f t="shared" ref="AH18:AH29" si="20">AG18*F18</f>
        <v>217600</v>
      </c>
      <c r="AI18" s="6">
        <v>120</v>
      </c>
      <c r="AJ18" s="6">
        <f t="shared" ref="AJ18:AJ23" si="21">AI18*F18</f>
        <v>96000</v>
      </c>
      <c r="AK18" s="6">
        <v>220</v>
      </c>
      <c r="AL18" s="6">
        <f t="shared" ref="AL18:AL23" si="22">AK18*F18</f>
        <v>176000</v>
      </c>
      <c r="AM18" s="6">
        <v>100</v>
      </c>
      <c r="AN18" s="6">
        <f t="shared" ref="AN18:AN29" si="23">AM18*F18</f>
        <v>80000</v>
      </c>
      <c r="AO18" s="6">
        <v>310</v>
      </c>
      <c r="AP18" s="6">
        <f t="shared" ref="AP18:AP23" si="24">AO18*F18</f>
        <v>248000</v>
      </c>
      <c r="AQ18" s="6">
        <f>8*3*2</f>
        <v>48</v>
      </c>
      <c r="AR18" s="6">
        <f t="shared" ref="AR18:AR23" si="25">AQ18*F18</f>
        <v>38400</v>
      </c>
      <c r="AS18" s="6">
        <v>100</v>
      </c>
      <c r="AT18" s="6">
        <f t="shared" ref="AT18:AT23" si="26">AS18*F18</f>
        <v>80000</v>
      </c>
      <c r="AU18" s="6">
        <v>160</v>
      </c>
      <c r="AV18" s="6">
        <f t="shared" ref="AV18:AV23" si="27">AU18*F18</f>
        <v>128000</v>
      </c>
      <c r="AW18" s="6">
        <v>160</v>
      </c>
      <c r="AX18" s="6">
        <f t="shared" ref="AX18:AX29" si="28">AW18*F18</f>
        <v>128000</v>
      </c>
      <c r="AY18" s="6">
        <v>225</v>
      </c>
      <c r="AZ18" s="6">
        <f t="shared" ref="AZ18:AZ23" si="29">AY18*F18</f>
        <v>180000</v>
      </c>
      <c r="BA18" s="6">
        <v>235</v>
      </c>
      <c r="BB18" s="6">
        <f t="shared" ref="BB18:BB29" si="30">BA18*F18</f>
        <v>188000</v>
      </c>
      <c r="BC18" s="6">
        <v>230</v>
      </c>
      <c r="BD18" s="6">
        <f t="shared" ref="BD18:BD29" si="31">BC18*F18</f>
        <v>184000</v>
      </c>
      <c r="BE18" s="6">
        <v>450</v>
      </c>
      <c r="BF18" s="6">
        <f t="shared" ref="BF18:BF23" si="32">BE18*F18</f>
        <v>360000</v>
      </c>
      <c r="BG18" s="6">
        <v>172</v>
      </c>
      <c r="BH18" s="6">
        <f t="shared" ref="BH18:BH29" si="33">BG18*F18</f>
        <v>137600</v>
      </c>
      <c r="BI18" s="30"/>
      <c r="BJ18" s="6">
        <f t="shared" si="2"/>
        <v>0</v>
      </c>
      <c r="BK18" s="6">
        <f t="shared" ref="BK18:BL25" si="34">AA18+AC18+AE18+AG18+AI18+AK18+AM18+AO18+AQ18+AS18+AU18+AW18+AY18+BA18+BC18+BE18+BG18+BI18</f>
        <v>3201</v>
      </c>
      <c r="BL18" s="6">
        <f t="shared" si="34"/>
        <v>2560800</v>
      </c>
      <c r="BM18" s="284" t="s">
        <v>209</v>
      </c>
      <c r="BO18" s="286"/>
      <c r="BP18" s="286">
        <f>BL18</f>
        <v>2560800</v>
      </c>
      <c r="BQ18" s="286"/>
      <c r="BR18" s="286"/>
      <c r="BS18" s="286">
        <f>BO18+BP18+BQ18+BR18</f>
        <v>2560800</v>
      </c>
      <c r="BT18" s="286"/>
      <c r="BU18" s="286"/>
      <c r="BV18" s="286"/>
      <c r="BW18" s="287">
        <f t="shared" si="1"/>
        <v>2560800</v>
      </c>
    </row>
    <row r="19" spans="2:75" x14ac:dyDescent="0.25">
      <c r="B19" s="809"/>
      <c r="C19" s="282"/>
      <c r="D19" s="283" t="s">
        <v>550</v>
      </c>
      <c r="E19" s="284" t="s">
        <v>334</v>
      </c>
      <c r="F19" s="122">
        <v>4000</v>
      </c>
      <c r="G19" s="284">
        <f>BK19</f>
        <v>276</v>
      </c>
      <c r="H19" s="6">
        <f>G19*F19</f>
        <v>1104000</v>
      </c>
      <c r="I19" s="6">
        <f>H19*0.5</f>
        <v>552000</v>
      </c>
      <c r="J19" s="6">
        <f>H19*0.5</f>
        <v>552000</v>
      </c>
      <c r="K19" s="6"/>
      <c r="L19" s="6"/>
      <c r="M19" s="6"/>
      <c r="N19" s="6"/>
      <c r="O19" s="6"/>
      <c r="P19" s="6"/>
      <c r="Q19" s="6"/>
      <c r="R19" s="6"/>
      <c r="S19" s="31">
        <f>G19*0.25</f>
        <v>69</v>
      </c>
      <c r="T19" s="31">
        <f>G19*0.25</f>
        <v>69</v>
      </c>
      <c r="U19" s="31">
        <f>G19*0.25</f>
        <v>69</v>
      </c>
      <c r="V19" s="31">
        <f>G19*0.25</f>
        <v>69</v>
      </c>
      <c r="W19" s="31">
        <f>S19*F19</f>
        <v>276000</v>
      </c>
      <c r="X19" s="31">
        <f>T19*F19</f>
        <v>276000</v>
      </c>
      <c r="Y19" s="703">
        <f>U19*F19</f>
        <v>276000</v>
      </c>
      <c r="Z19" s="703">
        <f>V19*F19</f>
        <v>276000</v>
      </c>
      <c r="AA19" s="31">
        <v>12</v>
      </c>
      <c r="AB19" s="31">
        <f>AA19*F19</f>
        <v>48000</v>
      </c>
      <c r="AC19" s="31">
        <v>12</v>
      </c>
      <c r="AD19" s="704">
        <f t="shared" si="18"/>
        <v>48000</v>
      </c>
      <c r="AE19" s="31">
        <v>12</v>
      </c>
      <c r="AF19" s="704">
        <f t="shared" si="19"/>
        <v>48000</v>
      </c>
      <c r="AG19" s="31">
        <v>36</v>
      </c>
      <c r="AH19" s="704">
        <f>AG19*F19</f>
        <v>144000</v>
      </c>
      <c r="AI19" s="31">
        <v>12</v>
      </c>
      <c r="AJ19" s="704">
        <f t="shared" si="21"/>
        <v>48000</v>
      </c>
      <c r="AK19" s="31">
        <v>12</v>
      </c>
      <c r="AL19" s="704">
        <f t="shared" si="22"/>
        <v>48000</v>
      </c>
      <c r="AM19" s="31">
        <v>12</v>
      </c>
      <c r="AN19" s="704">
        <f>AM19*F19</f>
        <v>48000</v>
      </c>
      <c r="AO19" s="31">
        <v>24</v>
      </c>
      <c r="AP19" s="704">
        <f t="shared" si="24"/>
        <v>96000</v>
      </c>
      <c r="AQ19" s="31">
        <v>12</v>
      </c>
      <c r="AR19" s="704">
        <f t="shared" si="25"/>
        <v>48000</v>
      </c>
      <c r="AS19" s="31">
        <v>12</v>
      </c>
      <c r="AT19" s="704">
        <f t="shared" si="26"/>
        <v>48000</v>
      </c>
      <c r="AU19" s="31">
        <v>12</v>
      </c>
      <c r="AV19" s="704">
        <f t="shared" si="27"/>
        <v>48000</v>
      </c>
      <c r="AW19" s="31">
        <v>12</v>
      </c>
      <c r="AX19" s="704">
        <f>AW19*F19</f>
        <v>48000</v>
      </c>
      <c r="AY19" s="31">
        <v>24</v>
      </c>
      <c r="AZ19" s="704">
        <f t="shared" si="29"/>
        <v>96000</v>
      </c>
      <c r="BA19" s="31">
        <v>24</v>
      </c>
      <c r="BB19" s="704">
        <f>BA19*F19</f>
        <v>96000</v>
      </c>
      <c r="BC19" s="31">
        <v>12</v>
      </c>
      <c r="BD19" s="704">
        <f>BC19*F19</f>
        <v>48000</v>
      </c>
      <c r="BE19" s="31">
        <f>12*2</f>
        <v>24</v>
      </c>
      <c r="BF19" s="704">
        <f t="shared" si="32"/>
        <v>96000</v>
      </c>
      <c r="BG19" s="31">
        <v>12</v>
      </c>
      <c r="BH19" s="704">
        <f>BG19*F19</f>
        <v>48000</v>
      </c>
      <c r="BI19" s="31"/>
      <c r="BJ19" s="704">
        <f>BI19*F19</f>
        <v>0</v>
      </c>
      <c r="BK19" s="31">
        <f t="shared" ref="BK19:BL19" si="35">BI19+BG19+BE19+BC19+BA19+AY19+AW19+AU19+AS19+AQ19+AO19+AM19+AK19+AI19+AG19+AE19+AC19+AA19</f>
        <v>276</v>
      </c>
      <c r="BL19" s="31">
        <f t="shared" si="35"/>
        <v>1104000</v>
      </c>
      <c r="BM19" s="284" t="s">
        <v>211</v>
      </c>
      <c r="BO19" s="286"/>
      <c r="BP19" s="286"/>
      <c r="BQ19" s="286"/>
      <c r="BR19" s="286"/>
      <c r="BS19" s="286">
        <f>BO19+BP19+BQ19+BR19</f>
        <v>0</v>
      </c>
      <c r="BT19" s="286"/>
      <c r="BU19" s="286">
        <f>H19</f>
        <v>1104000</v>
      </c>
      <c r="BV19" s="286">
        <f t="shared" ref="BV19" si="36">BT19+BU19</f>
        <v>1104000</v>
      </c>
      <c r="BW19" s="704">
        <f t="shared" si="1"/>
        <v>1104000</v>
      </c>
    </row>
    <row r="20" spans="2:75" ht="31.5" x14ac:dyDescent="0.25">
      <c r="B20" s="809"/>
      <c r="C20" s="282" t="s">
        <v>673</v>
      </c>
      <c r="D20" s="283" t="s">
        <v>877</v>
      </c>
      <c r="E20" s="284" t="s">
        <v>16</v>
      </c>
      <c r="F20" s="122">
        <v>95000</v>
      </c>
      <c r="G20" s="285">
        <f t="shared" ref="G20" si="37">BK20</f>
        <v>0</v>
      </c>
      <c r="H20" s="6">
        <f t="shared" ref="H20" si="38">BL20</f>
        <v>0</v>
      </c>
      <c r="I20" s="6">
        <f t="shared" ref="I20" si="39">H20*0.2</f>
        <v>0</v>
      </c>
      <c r="J20" s="6">
        <f t="shared" ref="J20" si="40">H20*0.8</f>
        <v>0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>
        <f t="shared" ref="W20" si="41">H20*0.25</f>
        <v>0</v>
      </c>
      <c r="X20" s="6">
        <f t="shared" ref="X20" si="42">H20*0.25</f>
        <v>0</v>
      </c>
      <c r="Y20" s="6">
        <f t="shared" ref="Y20" si="43">H20*0.25</f>
        <v>0</v>
      </c>
      <c r="Z20" s="6">
        <f t="shared" ref="Z20" si="44">H20*0.25</f>
        <v>0</v>
      </c>
      <c r="AA20" s="6">
        <v>0</v>
      </c>
      <c r="AB20" s="6">
        <f t="shared" ref="AB20" si="45">AA20*F20</f>
        <v>0</v>
      </c>
      <c r="AC20" s="6">
        <v>0</v>
      </c>
      <c r="AD20" s="6">
        <f t="shared" si="18"/>
        <v>0</v>
      </c>
      <c r="AE20" s="6">
        <v>0</v>
      </c>
      <c r="AF20" s="6">
        <f t="shared" si="19"/>
        <v>0</v>
      </c>
      <c r="AG20" s="6">
        <v>0</v>
      </c>
      <c r="AH20" s="6">
        <f t="shared" ref="AH20" si="46">AG20*F20</f>
        <v>0</v>
      </c>
      <c r="AI20" s="6">
        <v>0</v>
      </c>
      <c r="AJ20" s="6">
        <f t="shared" si="21"/>
        <v>0</v>
      </c>
      <c r="AK20" s="6">
        <v>0</v>
      </c>
      <c r="AL20" s="6">
        <f t="shared" si="22"/>
        <v>0</v>
      </c>
      <c r="AM20" s="6">
        <v>0</v>
      </c>
      <c r="AN20" s="6">
        <f t="shared" ref="AN20" si="47">AM20*F20</f>
        <v>0</v>
      </c>
      <c r="AO20" s="6">
        <v>0</v>
      </c>
      <c r="AP20" s="6">
        <f t="shared" si="24"/>
        <v>0</v>
      </c>
      <c r="AQ20" s="6">
        <v>0</v>
      </c>
      <c r="AR20" s="6">
        <f t="shared" si="25"/>
        <v>0</v>
      </c>
      <c r="AS20" s="6">
        <v>0</v>
      </c>
      <c r="AT20" s="6">
        <f t="shared" si="26"/>
        <v>0</v>
      </c>
      <c r="AU20" s="6">
        <v>0</v>
      </c>
      <c r="AV20" s="6">
        <f t="shared" si="27"/>
        <v>0</v>
      </c>
      <c r="AW20" s="6">
        <v>0</v>
      </c>
      <c r="AX20" s="6">
        <f t="shared" ref="AX20" si="48">AW20*F20</f>
        <v>0</v>
      </c>
      <c r="AY20" s="6">
        <v>0</v>
      </c>
      <c r="AZ20" s="6">
        <f t="shared" si="29"/>
        <v>0</v>
      </c>
      <c r="BA20" s="6">
        <v>0</v>
      </c>
      <c r="BB20" s="6">
        <f t="shared" ref="BB20" si="49">BA20*F20</f>
        <v>0</v>
      </c>
      <c r="BC20" s="6">
        <v>0</v>
      </c>
      <c r="BD20" s="6">
        <f t="shared" ref="BD20" si="50">BC20*F20</f>
        <v>0</v>
      </c>
      <c r="BE20" s="6">
        <v>0</v>
      </c>
      <c r="BF20" s="6">
        <f t="shared" si="32"/>
        <v>0</v>
      </c>
      <c r="BG20" s="6">
        <v>0</v>
      </c>
      <c r="BH20" s="6">
        <f t="shared" ref="BH20" si="51">BG20*F20</f>
        <v>0</v>
      </c>
      <c r="BI20" s="30">
        <v>0</v>
      </c>
      <c r="BJ20" s="6">
        <f>BI20*F20</f>
        <v>0</v>
      </c>
      <c r="BK20" s="6">
        <f t="shared" ref="BK20" si="52">AA20+AC20+AE20+AG20+AI20+AK20+AM20+AO20+AQ20+AS20+AU20+AW20+AY20+BA20+BC20+BE20+BG20+BI20</f>
        <v>0</v>
      </c>
      <c r="BL20" s="6">
        <f t="shared" ref="BL20" si="53">AB20+AD20+AF20+AH20+AJ20+AL20+AN20+AP20+AR20+AT20+AV20+AX20+AZ20+BB20+BD20+BF20+BH20+BJ20</f>
        <v>0</v>
      </c>
      <c r="BM20" s="284" t="s">
        <v>209</v>
      </c>
      <c r="BO20" s="286"/>
      <c r="BP20" s="286">
        <f t="shared" ref="BP20" si="54">BL20</f>
        <v>0</v>
      </c>
      <c r="BQ20" s="286"/>
      <c r="BR20" s="286"/>
      <c r="BS20" s="286">
        <f t="shared" ref="BS20" si="55">BO20+BP20+BQ20+BR20</f>
        <v>0</v>
      </c>
      <c r="BT20" s="286"/>
      <c r="BU20" s="286"/>
      <c r="BV20" s="286"/>
      <c r="BW20" s="287">
        <f t="shared" ref="BW20" si="56">BS20+BV20</f>
        <v>0</v>
      </c>
    </row>
    <row r="21" spans="2:75" x14ac:dyDescent="0.25">
      <c r="B21" s="809"/>
      <c r="C21" s="282" t="s">
        <v>1152</v>
      </c>
      <c r="D21" s="283" t="s">
        <v>1230</v>
      </c>
      <c r="E21" s="284" t="s">
        <v>1203</v>
      </c>
      <c r="F21" s="122">
        <v>30000</v>
      </c>
      <c r="G21" s="285">
        <f t="shared" ref="G21:H25" si="57">BK21</f>
        <v>21</v>
      </c>
      <c r="H21" s="6">
        <f t="shared" si="57"/>
        <v>630000</v>
      </c>
      <c r="I21" s="6">
        <f t="shared" si="15"/>
        <v>126000</v>
      </c>
      <c r="J21" s="6">
        <f t="shared" si="16"/>
        <v>504000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>
        <f t="shared" ref="W21:W24" si="58">H21*0.25</f>
        <v>157500</v>
      </c>
      <c r="X21" s="6">
        <f t="shared" ref="X21:X24" si="59">H21*0.25</f>
        <v>157500</v>
      </c>
      <c r="Y21" s="6">
        <f t="shared" ref="Y21:Y24" si="60">H21*0.25</f>
        <v>157500</v>
      </c>
      <c r="Z21" s="6">
        <f t="shared" ref="Z21:Z24" si="61">H21*0.25</f>
        <v>157500</v>
      </c>
      <c r="AA21" s="6">
        <v>1</v>
      </c>
      <c r="AB21" s="6">
        <f t="shared" si="17"/>
        <v>30000</v>
      </c>
      <c r="AC21" s="6">
        <v>1</v>
      </c>
      <c r="AD21" s="6">
        <f t="shared" si="18"/>
        <v>30000</v>
      </c>
      <c r="AE21" s="6">
        <v>1</v>
      </c>
      <c r="AF21" s="6">
        <f t="shared" si="19"/>
        <v>30000</v>
      </c>
      <c r="AG21" s="6">
        <v>1</v>
      </c>
      <c r="AH21" s="6">
        <f t="shared" si="20"/>
        <v>30000</v>
      </c>
      <c r="AI21" s="6">
        <v>1</v>
      </c>
      <c r="AJ21" s="6">
        <f t="shared" si="21"/>
        <v>30000</v>
      </c>
      <c r="AK21" s="6">
        <v>1</v>
      </c>
      <c r="AL21" s="6">
        <f t="shared" si="22"/>
        <v>30000</v>
      </c>
      <c r="AM21" s="6">
        <v>1</v>
      </c>
      <c r="AN21" s="6">
        <f t="shared" si="23"/>
        <v>30000</v>
      </c>
      <c r="AO21" s="6">
        <v>2</v>
      </c>
      <c r="AP21" s="6">
        <f t="shared" si="24"/>
        <v>60000</v>
      </c>
      <c r="AQ21" s="6">
        <v>1</v>
      </c>
      <c r="AR21" s="6">
        <f t="shared" si="25"/>
        <v>30000</v>
      </c>
      <c r="AS21" s="6">
        <v>1</v>
      </c>
      <c r="AT21" s="6">
        <f t="shared" si="26"/>
        <v>30000</v>
      </c>
      <c r="AU21" s="6">
        <v>1</v>
      </c>
      <c r="AV21" s="6">
        <f t="shared" si="27"/>
        <v>30000</v>
      </c>
      <c r="AW21" s="6">
        <v>1</v>
      </c>
      <c r="AX21" s="6">
        <f t="shared" si="28"/>
        <v>30000</v>
      </c>
      <c r="AY21" s="6">
        <v>2</v>
      </c>
      <c r="AZ21" s="6">
        <f t="shared" si="29"/>
        <v>60000</v>
      </c>
      <c r="BA21" s="6">
        <v>2</v>
      </c>
      <c r="BB21" s="6">
        <f t="shared" si="30"/>
        <v>60000</v>
      </c>
      <c r="BC21" s="6">
        <v>1</v>
      </c>
      <c r="BD21" s="6">
        <f t="shared" si="31"/>
        <v>30000</v>
      </c>
      <c r="BE21" s="6">
        <v>2</v>
      </c>
      <c r="BF21" s="6">
        <f t="shared" si="32"/>
        <v>60000</v>
      </c>
      <c r="BG21" s="6">
        <v>1</v>
      </c>
      <c r="BH21" s="6">
        <f t="shared" si="33"/>
        <v>30000</v>
      </c>
      <c r="BI21" s="30">
        <v>0</v>
      </c>
      <c r="BJ21" s="6">
        <f>BI21*F21</f>
        <v>0</v>
      </c>
      <c r="BK21" s="6">
        <f t="shared" si="34"/>
        <v>21</v>
      </c>
      <c r="BL21" s="6">
        <f t="shared" si="34"/>
        <v>630000</v>
      </c>
      <c r="BM21" s="284" t="s">
        <v>209</v>
      </c>
      <c r="BO21" s="286"/>
      <c r="BP21" s="286">
        <f t="shared" ref="BP21:BP24" si="62">BL21</f>
        <v>630000</v>
      </c>
      <c r="BQ21" s="286"/>
      <c r="BR21" s="286"/>
      <c r="BS21" s="286">
        <f t="shared" ref="BS21:BS24" si="63">BO21+BP21+BQ21+BR21</f>
        <v>630000</v>
      </c>
      <c r="BT21" s="286"/>
      <c r="BU21" s="286"/>
      <c r="BV21" s="286"/>
      <c r="BW21" s="287">
        <f t="shared" si="1"/>
        <v>630000</v>
      </c>
    </row>
    <row r="22" spans="2:75" x14ac:dyDescent="0.25">
      <c r="B22" s="809"/>
      <c r="C22" s="282" t="s">
        <v>1153</v>
      </c>
      <c r="D22" s="283" t="s">
        <v>1227</v>
      </c>
      <c r="E22" s="284" t="s">
        <v>66</v>
      </c>
      <c r="F22" s="122">
        <v>300</v>
      </c>
      <c r="G22" s="721">
        <f>BK22</f>
        <v>3928.7</v>
      </c>
      <c r="H22" s="6">
        <f>F22*G22</f>
        <v>1178610</v>
      </c>
      <c r="I22" s="6">
        <f>H22*0.2</f>
        <v>235722</v>
      </c>
      <c r="J22" s="6">
        <f>H22*0.8</f>
        <v>942888</v>
      </c>
      <c r="K22" s="6"/>
      <c r="L22" s="6"/>
      <c r="M22" s="6"/>
      <c r="N22" s="6"/>
      <c r="O22" s="6"/>
      <c r="P22" s="6"/>
      <c r="Q22" s="6"/>
      <c r="R22" s="6"/>
      <c r="S22" s="6">
        <f>G22*0.25</f>
        <v>982.17499999999995</v>
      </c>
      <c r="T22" s="30">
        <f>G22*0.25</f>
        <v>982.17499999999995</v>
      </c>
      <c r="U22" s="30">
        <f>G22*0.25</f>
        <v>982.17499999999995</v>
      </c>
      <c r="V22" s="30">
        <f>G22*0.25</f>
        <v>982.17499999999995</v>
      </c>
      <c r="W22" s="6">
        <f>H22*0.4</f>
        <v>471444</v>
      </c>
      <c r="X22" s="6">
        <f>H22*0.4</f>
        <v>471444</v>
      </c>
      <c r="Y22" s="6">
        <f>H22*0.1</f>
        <v>117861</v>
      </c>
      <c r="Z22" s="6">
        <f>H22*0.1</f>
        <v>117861</v>
      </c>
      <c r="AA22" s="6">
        <f>(65*5)+6*7</f>
        <v>367</v>
      </c>
      <c r="AB22" s="6">
        <f>AA22*F22</f>
        <v>110100</v>
      </c>
      <c r="AC22" s="6">
        <f>(33*5)</f>
        <v>165</v>
      </c>
      <c r="AD22" s="6">
        <f t="shared" si="18"/>
        <v>49500</v>
      </c>
      <c r="AE22" s="6">
        <f>(49*5)+2*7</f>
        <v>259</v>
      </c>
      <c r="AF22" s="6">
        <f t="shared" si="19"/>
        <v>77700</v>
      </c>
      <c r="AG22" s="6">
        <f>(70*5)+6*7</f>
        <v>392</v>
      </c>
      <c r="AH22" s="6">
        <f>AG22*F22</f>
        <v>117600</v>
      </c>
      <c r="AI22" s="6">
        <f>(34*5)+8.7</f>
        <v>178.7</v>
      </c>
      <c r="AJ22" s="6">
        <f t="shared" si="21"/>
        <v>53610</v>
      </c>
      <c r="AK22" s="6">
        <f>(41*5)+6*7</f>
        <v>247</v>
      </c>
      <c r="AL22" s="6">
        <f t="shared" si="22"/>
        <v>74100</v>
      </c>
      <c r="AM22" s="6">
        <f>(40*5)+4*7</f>
        <v>228</v>
      </c>
      <c r="AN22" s="6">
        <f>AM22*F22</f>
        <v>68400</v>
      </c>
      <c r="AO22" s="6">
        <f>(6*5)+22*7</f>
        <v>184</v>
      </c>
      <c r="AP22" s="6">
        <f t="shared" si="24"/>
        <v>55200</v>
      </c>
      <c r="AQ22" s="6">
        <f>(24*5)+4*7</f>
        <v>148</v>
      </c>
      <c r="AR22" s="6">
        <f t="shared" si="25"/>
        <v>44400</v>
      </c>
      <c r="AS22" s="6">
        <f>(31*5)</f>
        <v>155</v>
      </c>
      <c r="AT22" s="6">
        <f t="shared" si="26"/>
        <v>46500</v>
      </c>
      <c r="AU22" s="6">
        <f>(44*5)+3*7</f>
        <v>241</v>
      </c>
      <c r="AV22" s="6">
        <f t="shared" si="27"/>
        <v>72300</v>
      </c>
      <c r="AW22" s="6">
        <f>(3*5)+36*7</f>
        <v>267</v>
      </c>
      <c r="AX22" s="6">
        <f>AW22*F22</f>
        <v>80100</v>
      </c>
      <c r="AY22" s="6">
        <f>(8*5)+22*7</f>
        <v>194</v>
      </c>
      <c r="AZ22" s="6">
        <f t="shared" si="29"/>
        <v>58200</v>
      </c>
      <c r="BA22" s="6">
        <f>(34*5)</f>
        <v>170</v>
      </c>
      <c r="BB22" s="6">
        <f>BA22*F22</f>
        <v>51000</v>
      </c>
      <c r="BC22" s="6">
        <f>(49*5)+6*7</f>
        <v>287</v>
      </c>
      <c r="BD22" s="6">
        <f>BC22*F22</f>
        <v>86100</v>
      </c>
      <c r="BE22" s="6">
        <f>(8*5)+30*7</f>
        <v>250</v>
      </c>
      <c r="BF22" s="6">
        <f t="shared" si="32"/>
        <v>75000</v>
      </c>
      <c r="BG22" s="6">
        <f>(14*5)+18*7</f>
        <v>196</v>
      </c>
      <c r="BH22" s="6">
        <f>BG22*F22</f>
        <v>58800</v>
      </c>
      <c r="BI22" s="30">
        <v>0</v>
      </c>
      <c r="BJ22" s="6">
        <f t="shared" ref="BJ22" si="64">BI22*F22</f>
        <v>0</v>
      </c>
      <c r="BK22" s="6">
        <f t="shared" si="34"/>
        <v>3928.7</v>
      </c>
      <c r="BL22" s="6">
        <f t="shared" si="34"/>
        <v>1178610</v>
      </c>
      <c r="BM22" s="284" t="s">
        <v>478</v>
      </c>
      <c r="BO22" s="286"/>
      <c r="BP22" s="286">
        <f>BL22</f>
        <v>1178610</v>
      </c>
      <c r="BQ22" s="286"/>
      <c r="BR22" s="286"/>
      <c r="BS22" s="286">
        <f>BO22+BP22+BQ22+BR22</f>
        <v>1178610</v>
      </c>
      <c r="BT22" s="286"/>
      <c r="BU22" s="286"/>
      <c r="BV22" s="286">
        <f>BT22+BU22</f>
        <v>0</v>
      </c>
      <c r="BW22" s="287">
        <f t="shared" si="1"/>
        <v>1178610</v>
      </c>
    </row>
    <row r="23" spans="2:75" ht="31.5" x14ac:dyDescent="0.25">
      <c r="B23" s="809"/>
      <c r="C23" s="282" t="s">
        <v>674</v>
      </c>
      <c r="D23" s="283" t="s">
        <v>921</v>
      </c>
      <c r="E23" s="284" t="s">
        <v>479</v>
      </c>
      <c r="F23" s="122">
        <v>300</v>
      </c>
      <c r="G23" s="285">
        <f t="shared" si="57"/>
        <v>10230</v>
      </c>
      <c r="H23" s="6">
        <f t="shared" si="57"/>
        <v>3069000</v>
      </c>
      <c r="I23" s="6">
        <f t="shared" si="15"/>
        <v>613800</v>
      </c>
      <c r="J23" s="6">
        <f t="shared" si="16"/>
        <v>2455200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>
        <f t="shared" si="58"/>
        <v>767250</v>
      </c>
      <c r="X23" s="6">
        <f t="shared" si="59"/>
        <v>767250</v>
      </c>
      <c r="Y23" s="6">
        <f t="shared" si="60"/>
        <v>767250</v>
      </c>
      <c r="Z23" s="6">
        <f t="shared" si="61"/>
        <v>767250</v>
      </c>
      <c r="AA23" s="6">
        <f>(9*2+18)*15</f>
        <v>540</v>
      </c>
      <c r="AB23" s="6">
        <f t="shared" si="17"/>
        <v>162000</v>
      </c>
      <c r="AC23" s="6">
        <f>(3*2+6)*15</f>
        <v>180</v>
      </c>
      <c r="AD23" s="6">
        <f t="shared" si="18"/>
        <v>54000</v>
      </c>
      <c r="AE23" s="6">
        <f>(7*2+14)*15</f>
        <v>420</v>
      </c>
      <c r="AF23" s="6">
        <f t="shared" si="19"/>
        <v>126000</v>
      </c>
      <c r="AG23" s="6">
        <f>(12*2+12)*15</f>
        <v>540</v>
      </c>
      <c r="AH23" s="6">
        <f t="shared" si="20"/>
        <v>162000</v>
      </c>
      <c r="AI23" s="6">
        <f>(2*2+12)*15</f>
        <v>240</v>
      </c>
      <c r="AJ23" s="6">
        <f t="shared" si="21"/>
        <v>72000</v>
      </c>
      <c r="AK23" s="6">
        <f>(4*2+24)*15</f>
        <v>480</v>
      </c>
      <c r="AL23" s="6">
        <f t="shared" si="22"/>
        <v>144000</v>
      </c>
      <c r="AM23" s="6">
        <f>(8*2+16)*15</f>
        <v>480</v>
      </c>
      <c r="AN23" s="6">
        <f t="shared" si="23"/>
        <v>144000</v>
      </c>
      <c r="AO23" s="6">
        <f>(8*2+48)*15</f>
        <v>960</v>
      </c>
      <c r="AP23" s="6">
        <f t="shared" si="24"/>
        <v>288000</v>
      </c>
      <c r="AQ23" s="6">
        <f>(2*2+12)*15</f>
        <v>240</v>
      </c>
      <c r="AR23" s="6">
        <f t="shared" si="25"/>
        <v>72000</v>
      </c>
      <c r="AS23" s="6">
        <f>(3*2+12)*15</f>
        <v>270</v>
      </c>
      <c r="AT23" s="6">
        <f t="shared" si="26"/>
        <v>81000</v>
      </c>
      <c r="AU23" s="6">
        <f>(6*2+36)*15</f>
        <v>720</v>
      </c>
      <c r="AV23" s="6">
        <f t="shared" si="27"/>
        <v>216000</v>
      </c>
      <c r="AW23" s="6">
        <f>(5*2+30)*15</f>
        <v>600</v>
      </c>
      <c r="AX23" s="6">
        <f t="shared" si="28"/>
        <v>180000</v>
      </c>
      <c r="AY23" s="6">
        <f>(8*2+48)*15</f>
        <v>960</v>
      </c>
      <c r="AZ23" s="6">
        <f t="shared" si="29"/>
        <v>288000</v>
      </c>
      <c r="BA23" s="6">
        <f>(9*2+54)*15</f>
        <v>1080</v>
      </c>
      <c r="BB23" s="6">
        <f t="shared" si="30"/>
        <v>324000</v>
      </c>
      <c r="BC23" s="6">
        <f>(3*2+18)*15</f>
        <v>360</v>
      </c>
      <c r="BD23" s="6">
        <f t="shared" si="31"/>
        <v>108000</v>
      </c>
      <c r="BE23" s="6">
        <f>(12*2+72)*15</f>
        <v>1440</v>
      </c>
      <c r="BF23" s="6">
        <f t="shared" si="32"/>
        <v>432000</v>
      </c>
      <c r="BG23" s="6">
        <f>(6*2+36)*15</f>
        <v>720</v>
      </c>
      <c r="BH23" s="6">
        <f t="shared" si="33"/>
        <v>216000</v>
      </c>
      <c r="BI23" s="30">
        <v>0</v>
      </c>
      <c r="BJ23" s="6">
        <f>BI23*F23</f>
        <v>0</v>
      </c>
      <c r="BK23" s="6">
        <f t="shared" si="34"/>
        <v>10230</v>
      </c>
      <c r="BL23" s="6">
        <f t="shared" si="34"/>
        <v>3069000</v>
      </c>
      <c r="BM23" s="284" t="s">
        <v>209</v>
      </c>
      <c r="BO23" s="286"/>
      <c r="BP23" s="286">
        <f t="shared" si="62"/>
        <v>3069000</v>
      </c>
      <c r="BQ23" s="286"/>
      <c r="BR23" s="286"/>
      <c r="BS23" s="286">
        <f t="shared" si="63"/>
        <v>3069000</v>
      </c>
      <c r="BT23" s="286"/>
      <c r="BU23" s="286"/>
      <c r="BV23" s="286"/>
      <c r="BW23" s="287">
        <f t="shared" si="1"/>
        <v>3069000</v>
      </c>
    </row>
    <row r="24" spans="2:75" ht="31.5" x14ac:dyDescent="0.25">
      <c r="B24" s="809"/>
      <c r="C24" s="282" t="s">
        <v>675</v>
      </c>
      <c r="D24" s="283" t="s">
        <v>922</v>
      </c>
      <c r="E24" s="284" t="s">
        <v>479</v>
      </c>
      <c r="F24" s="122">
        <v>0</v>
      </c>
      <c r="G24" s="285">
        <f t="shared" si="57"/>
        <v>0</v>
      </c>
      <c r="H24" s="6">
        <f t="shared" si="57"/>
        <v>0</v>
      </c>
      <c r="I24" s="6">
        <f t="shared" si="15"/>
        <v>0</v>
      </c>
      <c r="J24" s="6">
        <f t="shared" si="16"/>
        <v>0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>
        <f t="shared" si="58"/>
        <v>0</v>
      </c>
      <c r="X24" s="6">
        <f t="shared" si="59"/>
        <v>0</v>
      </c>
      <c r="Y24" s="6">
        <f t="shared" si="60"/>
        <v>0</v>
      </c>
      <c r="Z24" s="6">
        <f t="shared" si="61"/>
        <v>0</v>
      </c>
      <c r="AA24" s="6">
        <v>0</v>
      </c>
      <c r="AB24" s="6">
        <f t="shared" si="17"/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f t="shared" si="20"/>
        <v>0</v>
      </c>
      <c r="AI24" s="6">
        <v>0</v>
      </c>
      <c r="AJ24" s="6"/>
      <c r="AK24" s="6">
        <v>0</v>
      </c>
      <c r="AL24" s="6">
        <v>0</v>
      </c>
      <c r="AM24" s="6">
        <v>0</v>
      </c>
      <c r="AN24" s="6">
        <f t="shared" si="23"/>
        <v>0</v>
      </c>
      <c r="AO24" s="6">
        <v>0</v>
      </c>
      <c r="AP24" s="6">
        <v>0</v>
      </c>
      <c r="AQ24" s="6"/>
      <c r="AR24" s="6"/>
      <c r="AS24" s="6">
        <v>0</v>
      </c>
      <c r="AT24" s="6"/>
      <c r="AU24" s="6">
        <v>0</v>
      </c>
      <c r="AV24" s="6">
        <v>0</v>
      </c>
      <c r="AW24" s="6">
        <v>0</v>
      </c>
      <c r="AX24" s="6">
        <f t="shared" si="28"/>
        <v>0</v>
      </c>
      <c r="AY24" s="6">
        <v>0</v>
      </c>
      <c r="AZ24" s="6">
        <v>0</v>
      </c>
      <c r="BA24" s="6">
        <v>0</v>
      </c>
      <c r="BB24" s="6">
        <f t="shared" si="30"/>
        <v>0</v>
      </c>
      <c r="BC24" s="6">
        <v>0</v>
      </c>
      <c r="BD24" s="6">
        <f t="shared" si="31"/>
        <v>0</v>
      </c>
      <c r="BE24" s="6"/>
      <c r="BF24" s="6"/>
      <c r="BG24" s="6">
        <v>0</v>
      </c>
      <c r="BH24" s="6">
        <f t="shared" si="33"/>
        <v>0</v>
      </c>
      <c r="BI24" s="30">
        <v>0</v>
      </c>
      <c r="BJ24" s="6">
        <f>BI24*F24</f>
        <v>0</v>
      </c>
      <c r="BK24" s="6">
        <f t="shared" si="34"/>
        <v>0</v>
      </c>
      <c r="BL24" s="6">
        <f t="shared" si="34"/>
        <v>0</v>
      </c>
      <c r="BM24" s="284"/>
      <c r="BO24" s="286"/>
      <c r="BP24" s="286">
        <f t="shared" si="62"/>
        <v>0</v>
      </c>
      <c r="BQ24" s="286"/>
      <c r="BR24" s="286"/>
      <c r="BS24" s="286">
        <f t="shared" si="63"/>
        <v>0</v>
      </c>
      <c r="BT24" s="286"/>
      <c r="BU24" s="286"/>
      <c r="BV24" s="286"/>
      <c r="BW24" s="287">
        <f t="shared" si="1"/>
        <v>0</v>
      </c>
    </row>
    <row r="25" spans="2:75" ht="31.5" x14ac:dyDescent="0.25">
      <c r="B25" s="809"/>
      <c r="C25" s="282" t="s">
        <v>676</v>
      </c>
      <c r="D25" s="283" t="s">
        <v>1204</v>
      </c>
      <c r="E25" s="284" t="s">
        <v>16</v>
      </c>
      <c r="F25" s="122">
        <v>300</v>
      </c>
      <c r="G25" s="285">
        <f t="shared" si="57"/>
        <v>2208</v>
      </c>
      <c r="H25" s="6">
        <f t="shared" si="57"/>
        <v>662400</v>
      </c>
      <c r="I25" s="6">
        <f t="shared" si="15"/>
        <v>132480</v>
      </c>
      <c r="J25" s="6">
        <f t="shared" si="16"/>
        <v>529920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>
        <f>G25*1</f>
        <v>2208</v>
      </c>
      <c r="W25" s="6"/>
      <c r="X25" s="6"/>
      <c r="Y25" s="306"/>
      <c r="Z25" s="306">
        <f>H25</f>
        <v>662400</v>
      </c>
      <c r="AA25" s="6">
        <f>30*2*2</f>
        <v>120</v>
      </c>
      <c r="AB25" s="6">
        <f t="shared" si="17"/>
        <v>36000</v>
      </c>
      <c r="AC25" s="6">
        <f>18*2*2</f>
        <v>72</v>
      </c>
      <c r="AD25" s="6">
        <f>AC25*F25</f>
        <v>21600</v>
      </c>
      <c r="AE25" s="6">
        <f>28*2*4</f>
        <v>224</v>
      </c>
      <c r="AF25" s="6">
        <f>AE25*F25</f>
        <v>67200</v>
      </c>
      <c r="AG25" s="6">
        <f>35*2*4</f>
        <v>280</v>
      </c>
      <c r="AH25" s="6">
        <f t="shared" si="20"/>
        <v>84000</v>
      </c>
      <c r="AI25" s="6">
        <f>26*2*4</f>
        <v>208</v>
      </c>
      <c r="AJ25" s="6">
        <f>AI25*F25</f>
        <v>62400</v>
      </c>
      <c r="AK25" s="6">
        <f>24*2*4</f>
        <v>192</v>
      </c>
      <c r="AL25" s="6">
        <f>AK25*F25</f>
        <v>57600</v>
      </c>
      <c r="AM25" s="6">
        <f>23*2*4</f>
        <v>184</v>
      </c>
      <c r="AN25" s="6">
        <f t="shared" si="23"/>
        <v>55200</v>
      </c>
      <c r="AO25" s="6">
        <f>2*2*4</f>
        <v>16</v>
      </c>
      <c r="AP25" s="6">
        <f>AO25*F25</f>
        <v>4800</v>
      </c>
      <c r="AQ25" s="6">
        <f>16*2*4</f>
        <v>128</v>
      </c>
      <c r="AR25" s="6">
        <f>AQ25*F25</f>
        <v>38400</v>
      </c>
      <c r="AS25" s="6">
        <f>14*2*4</f>
        <v>112</v>
      </c>
      <c r="AT25" s="6">
        <f>AS25*F25</f>
        <v>33600</v>
      </c>
      <c r="AU25" s="6">
        <f>23*2*4</f>
        <v>184</v>
      </c>
      <c r="AV25" s="6">
        <f>AU25*F25</f>
        <v>55200</v>
      </c>
      <c r="AW25" s="6">
        <f>2*2*4</f>
        <v>16</v>
      </c>
      <c r="AX25" s="6">
        <f t="shared" si="28"/>
        <v>4800</v>
      </c>
      <c r="AY25" s="6">
        <f>3*2*4</f>
        <v>24</v>
      </c>
      <c r="AZ25" s="6">
        <f>AY25*F25</f>
        <v>7200</v>
      </c>
      <c r="BA25" s="6">
        <f>(16*2*4)</f>
        <v>128</v>
      </c>
      <c r="BB25" s="6">
        <f t="shared" si="30"/>
        <v>38400</v>
      </c>
      <c r="BC25" s="6">
        <f>33*2*4</f>
        <v>264</v>
      </c>
      <c r="BD25" s="6">
        <f t="shared" si="31"/>
        <v>79200</v>
      </c>
      <c r="BE25" s="6">
        <f>(2*2*4)</f>
        <v>16</v>
      </c>
      <c r="BF25" s="6">
        <f>BE25*F25</f>
        <v>4800</v>
      </c>
      <c r="BG25" s="6">
        <f>5*2*4</f>
        <v>40</v>
      </c>
      <c r="BH25" s="6">
        <f t="shared" si="33"/>
        <v>12000</v>
      </c>
      <c r="BI25" s="30">
        <v>0</v>
      </c>
      <c r="BJ25" s="6">
        <f>BI25*F25</f>
        <v>0</v>
      </c>
      <c r="BK25" s="6">
        <f t="shared" si="34"/>
        <v>2208</v>
      </c>
      <c r="BL25" s="6">
        <f t="shared" si="34"/>
        <v>662400</v>
      </c>
      <c r="BM25" s="284" t="s">
        <v>209</v>
      </c>
      <c r="BO25" s="286"/>
      <c r="BP25" s="286">
        <f>BL25</f>
        <v>662400</v>
      </c>
      <c r="BQ25" s="286"/>
      <c r="BR25" s="286"/>
      <c r="BS25" s="286">
        <f>BO25+BP25+BQ25+BR25</f>
        <v>662400</v>
      </c>
      <c r="BT25" s="286"/>
      <c r="BU25" s="286"/>
      <c r="BV25" s="286"/>
      <c r="BW25" s="287">
        <f t="shared" si="1"/>
        <v>662400</v>
      </c>
    </row>
    <row r="26" spans="2:75" x14ac:dyDescent="0.25">
      <c r="B26" s="809"/>
      <c r="C26" s="282"/>
      <c r="D26" s="294" t="s">
        <v>466</v>
      </c>
      <c r="E26" s="284"/>
      <c r="F26" s="122"/>
      <c r="G26" s="285"/>
      <c r="H26" s="6"/>
      <c r="I26" s="6">
        <f t="shared" si="15"/>
        <v>0</v>
      </c>
      <c r="J26" s="6">
        <f t="shared" si="16"/>
        <v>0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30"/>
      <c r="V26" s="30"/>
      <c r="W26" s="6"/>
      <c r="X26" s="6"/>
      <c r="Y26" s="6"/>
      <c r="Z26" s="6"/>
      <c r="AA26" s="6"/>
      <c r="AB26" s="6">
        <f t="shared" si="17"/>
        <v>0</v>
      </c>
      <c r="AC26" s="6"/>
      <c r="AD26" s="6">
        <f>AC26*F26</f>
        <v>0</v>
      </c>
      <c r="AE26" s="6"/>
      <c r="AF26" s="6">
        <f>AE26*F26</f>
        <v>0</v>
      </c>
      <c r="AG26" s="6"/>
      <c r="AH26" s="6">
        <f t="shared" si="20"/>
        <v>0</v>
      </c>
      <c r="AI26" s="6"/>
      <c r="AJ26" s="6">
        <f>AI26*F26</f>
        <v>0</v>
      </c>
      <c r="AK26" s="6"/>
      <c r="AL26" s="6">
        <f>AK26*F26</f>
        <v>0</v>
      </c>
      <c r="AM26" s="6"/>
      <c r="AN26" s="6">
        <f t="shared" si="23"/>
        <v>0</v>
      </c>
      <c r="AO26" s="6"/>
      <c r="AP26" s="6">
        <f>AO26*F26</f>
        <v>0</v>
      </c>
      <c r="AQ26" s="6"/>
      <c r="AR26" s="6">
        <f>AQ26*F26</f>
        <v>0</v>
      </c>
      <c r="AS26" s="6"/>
      <c r="AT26" s="6">
        <f>AS26*F26</f>
        <v>0</v>
      </c>
      <c r="AU26" s="6"/>
      <c r="AV26" s="6">
        <f>AU26*F26</f>
        <v>0</v>
      </c>
      <c r="AW26" s="6"/>
      <c r="AX26" s="6">
        <f t="shared" si="28"/>
        <v>0</v>
      </c>
      <c r="AY26" s="6"/>
      <c r="AZ26" s="6">
        <f>AY26*F26</f>
        <v>0</v>
      </c>
      <c r="BA26" s="6"/>
      <c r="BB26" s="6">
        <f t="shared" si="30"/>
        <v>0</v>
      </c>
      <c r="BC26" s="6"/>
      <c r="BD26" s="6">
        <f t="shared" si="31"/>
        <v>0</v>
      </c>
      <c r="BE26" s="6"/>
      <c r="BF26" s="6">
        <f>BE26*F26</f>
        <v>0</v>
      </c>
      <c r="BG26" s="6"/>
      <c r="BH26" s="6">
        <f t="shared" si="33"/>
        <v>0</v>
      </c>
      <c r="BI26" s="30"/>
      <c r="BJ26" s="6">
        <f t="shared" si="2"/>
        <v>0</v>
      </c>
      <c r="BK26" s="6">
        <f>AA26+AC26+AE26+AG26+AI26+AK26+AM26+AO26+AQ26+AS26+AU26+AW26+AY26+BA26+BC26+BE26+BG26+BI26</f>
        <v>0</v>
      </c>
      <c r="BL26" s="6"/>
      <c r="BM26" s="284"/>
      <c r="BO26" s="286"/>
      <c r="BP26" s="286"/>
      <c r="BQ26" s="286"/>
      <c r="BR26" s="286"/>
      <c r="BS26" s="286"/>
      <c r="BT26" s="286"/>
      <c r="BU26" s="286"/>
      <c r="BV26" s="286"/>
      <c r="BW26" s="287"/>
    </row>
    <row r="27" spans="2:75" ht="31.5" x14ac:dyDescent="0.25">
      <c r="B27" s="809"/>
      <c r="C27" s="288" t="s">
        <v>671</v>
      </c>
      <c r="D27" s="283" t="s">
        <v>839</v>
      </c>
      <c r="E27" s="284" t="s">
        <v>499</v>
      </c>
      <c r="F27" s="122">
        <v>0</v>
      </c>
      <c r="G27" s="285">
        <f>BK27</f>
        <v>0</v>
      </c>
      <c r="H27" s="6">
        <f>G27*F27</f>
        <v>0</v>
      </c>
      <c r="I27" s="6">
        <f t="shared" si="15"/>
        <v>0</v>
      </c>
      <c r="J27" s="6">
        <f t="shared" si="16"/>
        <v>0</v>
      </c>
      <c r="K27" s="6"/>
      <c r="L27" s="6"/>
      <c r="M27" s="6"/>
      <c r="N27" s="6"/>
      <c r="O27" s="6"/>
      <c r="P27" s="6"/>
      <c r="Q27" s="6"/>
      <c r="R27" s="6"/>
      <c r="S27" s="30">
        <f>G27*0.25</f>
        <v>0</v>
      </c>
      <c r="T27" s="30">
        <f>G27*0.25</f>
        <v>0</v>
      </c>
      <c r="U27" s="30">
        <f>G27*0.25</f>
        <v>0</v>
      </c>
      <c r="V27" s="30">
        <f>G27*0.25</f>
        <v>0</v>
      </c>
      <c r="W27" s="6">
        <f>S27*F27</f>
        <v>0</v>
      </c>
      <c r="X27" s="6">
        <f>T27*F27</f>
        <v>0</v>
      </c>
      <c r="Y27" s="6">
        <f>U27*F27</f>
        <v>0</v>
      </c>
      <c r="Z27" s="6">
        <f>V27*F27</f>
        <v>0</v>
      </c>
      <c r="AA27" s="6">
        <v>0</v>
      </c>
      <c r="AB27" s="6">
        <f t="shared" si="17"/>
        <v>0</v>
      </c>
      <c r="AC27" s="6">
        <v>0</v>
      </c>
      <c r="AD27" s="6">
        <f>AC27*F27</f>
        <v>0</v>
      </c>
      <c r="AE27" s="6">
        <v>0</v>
      </c>
      <c r="AF27" s="6">
        <f>AE27*F27</f>
        <v>0</v>
      </c>
      <c r="AG27" s="6">
        <v>0</v>
      </c>
      <c r="AH27" s="6">
        <f t="shared" si="20"/>
        <v>0</v>
      </c>
      <c r="AI27" s="6">
        <v>0</v>
      </c>
      <c r="AJ27" s="6">
        <f>AI27*F27</f>
        <v>0</v>
      </c>
      <c r="AK27" s="6">
        <v>0</v>
      </c>
      <c r="AL27" s="6">
        <f>AK27*F27</f>
        <v>0</v>
      </c>
      <c r="AM27" s="6">
        <v>0</v>
      </c>
      <c r="AN27" s="6">
        <f t="shared" si="23"/>
        <v>0</v>
      </c>
      <c r="AO27" s="6">
        <v>0</v>
      </c>
      <c r="AP27" s="6">
        <f>AO27*F27</f>
        <v>0</v>
      </c>
      <c r="AQ27" s="6">
        <v>0</v>
      </c>
      <c r="AR27" s="6">
        <f>AQ27*F27</f>
        <v>0</v>
      </c>
      <c r="AS27" s="6">
        <v>0</v>
      </c>
      <c r="AT27" s="6">
        <f>AS27*F27</f>
        <v>0</v>
      </c>
      <c r="AU27" s="6">
        <v>0</v>
      </c>
      <c r="AV27" s="6">
        <f>AU27*F27</f>
        <v>0</v>
      </c>
      <c r="AW27" s="6">
        <v>0</v>
      </c>
      <c r="AX27" s="6">
        <f t="shared" si="28"/>
        <v>0</v>
      </c>
      <c r="AY27" s="6">
        <v>0</v>
      </c>
      <c r="AZ27" s="6">
        <f>AY27*F27</f>
        <v>0</v>
      </c>
      <c r="BA27" s="6">
        <v>0</v>
      </c>
      <c r="BB27" s="6">
        <f t="shared" si="30"/>
        <v>0</v>
      </c>
      <c r="BC27" s="6">
        <v>0</v>
      </c>
      <c r="BD27" s="6">
        <f t="shared" si="31"/>
        <v>0</v>
      </c>
      <c r="BE27" s="6">
        <v>0</v>
      </c>
      <c r="BF27" s="6">
        <f>BE27*F27</f>
        <v>0</v>
      </c>
      <c r="BG27" s="6">
        <v>0</v>
      </c>
      <c r="BH27" s="6">
        <f t="shared" si="33"/>
        <v>0</v>
      </c>
      <c r="BI27" s="30"/>
      <c r="BJ27" s="6">
        <f t="shared" si="2"/>
        <v>0</v>
      </c>
      <c r="BK27" s="6">
        <f>AA27+AC27+AE27+AG27+AI27+AK27+AM27+AO27+AQ27+AS27+AU27+AW27+AY27+BA27+BC27+BE27+BG27+BI27</f>
        <v>0</v>
      </c>
      <c r="BL27" s="6">
        <f>AB27+AD27+AF27+AH27+AJ27+AL27+AN27+AP27+AR27+AT27+AV27+AX27+AZ27+BB27+BD27+BF27+BH27+BJ27</f>
        <v>0</v>
      </c>
      <c r="BM27" s="284" t="s">
        <v>209</v>
      </c>
      <c r="BO27" s="6">
        <f t="shared" ref="BO27:BV27" si="65">SUM(BO26:BO26)</f>
        <v>0</v>
      </c>
      <c r="BP27" s="286">
        <f>BL27</f>
        <v>0</v>
      </c>
      <c r="BQ27" s="6">
        <f t="shared" si="65"/>
        <v>0</v>
      </c>
      <c r="BR27" s="6">
        <f t="shared" si="65"/>
        <v>0</v>
      </c>
      <c r="BS27" s="286">
        <f>BO27+BP27+BQ27+BR27</f>
        <v>0</v>
      </c>
      <c r="BT27" s="6">
        <f t="shared" si="65"/>
        <v>0</v>
      </c>
      <c r="BU27" s="6">
        <f t="shared" si="65"/>
        <v>0</v>
      </c>
      <c r="BV27" s="6">
        <f t="shared" si="65"/>
        <v>0</v>
      </c>
      <c r="BW27" s="6">
        <f t="shared" si="1"/>
        <v>0</v>
      </c>
    </row>
    <row r="28" spans="2:75" ht="31.5" x14ac:dyDescent="0.25">
      <c r="B28" s="809"/>
      <c r="C28" s="288" t="s">
        <v>677</v>
      </c>
      <c r="D28" s="283" t="s">
        <v>947</v>
      </c>
      <c r="E28" s="284" t="s">
        <v>959</v>
      </c>
      <c r="F28" s="122">
        <v>1500</v>
      </c>
      <c r="G28" s="285">
        <f>BK28</f>
        <v>1000</v>
      </c>
      <c r="H28" s="6">
        <f>G28*F28</f>
        <v>1500000</v>
      </c>
      <c r="I28" s="6">
        <f t="shared" ref="I28" si="66">H28*0.2</f>
        <v>300000</v>
      </c>
      <c r="J28" s="6">
        <f t="shared" ref="J28" si="67">H28*0.8</f>
        <v>1200000</v>
      </c>
      <c r="K28" s="6"/>
      <c r="L28" s="6"/>
      <c r="M28" s="6"/>
      <c r="N28" s="6"/>
      <c r="O28" s="6"/>
      <c r="P28" s="6"/>
      <c r="Q28" s="6"/>
      <c r="R28" s="6"/>
      <c r="S28" s="30"/>
      <c r="T28" s="30"/>
      <c r="U28" s="30"/>
      <c r="V28" s="30"/>
      <c r="W28" s="6">
        <f>H28*1</f>
        <v>1500000</v>
      </c>
      <c r="X28" s="6">
        <f>H28*0</f>
        <v>0</v>
      </c>
      <c r="Y28" s="6">
        <f>H28*0</f>
        <v>0</v>
      </c>
      <c r="Z28" s="6">
        <f>H28*0</f>
        <v>0</v>
      </c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30">
        <v>1000</v>
      </c>
      <c r="BJ28" s="6">
        <f t="shared" si="2"/>
        <v>1500000</v>
      </c>
      <c r="BK28" s="6">
        <f>AA28+AC28+AE28+AG28+AI28+AK28+AM28+AO28+AQ28+AS28+AU28+AW28+AY28+BA28+BC28+BE28+BG28+BI28</f>
        <v>1000</v>
      </c>
      <c r="BL28" s="6">
        <f>AB28+AD28+AF28+AH28+AJ28+AL28+AN28+AP28+AR28+AT28+AV28+AX28+AZ28+BB28+BD28+BF28+BH28+BJ28</f>
        <v>1500000</v>
      </c>
      <c r="BM28" s="284" t="s">
        <v>209</v>
      </c>
      <c r="BO28" s="6"/>
      <c r="BP28" s="286">
        <f>BL28</f>
        <v>1500000</v>
      </c>
      <c r="BQ28" s="6"/>
      <c r="BR28" s="6"/>
      <c r="BS28" s="286">
        <f>BO28+BP28+BQ28+BR28</f>
        <v>1500000</v>
      </c>
      <c r="BT28" s="6"/>
      <c r="BU28" s="6"/>
      <c r="BV28" s="6"/>
      <c r="BW28" s="6">
        <f t="shared" si="1"/>
        <v>1500000</v>
      </c>
    </row>
    <row r="29" spans="2:75" ht="47.25" x14ac:dyDescent="0.25">
      <c r="B29" s="809"/>
      <c r="C29" s="282" t="s">
        <v>678</v>
      </c>
      <c r="D29" s="283" t="s">
        <v>882</v>
      </c>
      <c r="E29" s="284" t="s">
        <v>70</v>
      </c>
      <c r="F29" s="122">
        <v>0</v>
      </c>
      <c r="G29" s="285">
        <f>BK29</f>
        <v>0</v>
      </c>
      <c r="H29" s="6">
        <f>G29*F29</f>
        <v>0</v>
      </c>
      <c r="I29" s="6">
        <f t="shared" si="15"/>
        <v>0</v>
      </c>
      <c r="J29" s="6">
        <f t="shared" si="16"/>
        <v>0</v>
      </c>
      <c r="K29" s="6"/>
      <c r="L29" s="6"/>
      <c r="M29" s="6"/>
      <c r="N29" s="6"/>
      <c r="O29" s="6"/>
      <c r="P29" s="6"/>
      <c r="Q29" s="6"/>
      <c r="R29" s="6"/>
      <c r="S29" s="6">
        <f>G29*0.25</f>
        <v>0</v>
      </c>
      <c r="T29" s="6">
        <f>G29*0.25</f>
        <v>0</v>
      </c>
      <c r="U29" s="6">
        <f>G29*0.25</f>
        <v>0</v>
      </c>
      <c r="V29" s="6">
        <f>G29*0.25</f>
        <v>0</v>
      </c>
      <c r="W29" s="6">
        <f>S29*F29</f>
        <v>0</v>
      </c>
      <c r="X29" s="6">
        <f>T29*F29</f>
        <v>0</v>
      </c>
      <c r="Y29" s="306">
        <f>U29*F29</f>
        <v>0</v>
      </c>
      <c r="Z29" s="306">
        <f>V29*F29</f>
        <v>0</v>
      </c>
      <c r="AA29" s="6">
        <v>0</v>
      </c>
      <c r="AB29" s="6">
        <f t="shared" si="17"/>
        <v>0</v>
      </c>
      <c r="AC29" s="6">
        <v>0</v>
      </c>
      <c r="AD29" s="6">
        <f>AC29*F29</f>
        <v>0</v>
      </c>
      <c r="AE29" s="6">
        <v>0</v>
      </c>
      <c r="AF29" s="6">
        <f>AE29*F29</f>
        <v>0</v>
      </c>
      <c r="AG29" s="6">
        <v>0</v>
      </c>
      <c r="AH29" s="6">
        <f t="shared" si="20"/>
        <v>0</v>
      </c>
      <c r="AI29" s="6">
        <v>0</v>
      </c>
      <c r="AJ29" s="6">
        <f>AI29*F29</f>
        <v>0</v>
      </c>
      <c r="AK29" s="6">
        <v>0</v>
      </c>
      <c r="AL29" s="6">
        <f>AK29*F29</f>
        <v>0</v>
      </c>
      <c r="AM29" s="6">
        <v>0</v>
      </c>
      <c r="AN29" s="6">
        <f t="shared" si="23"/>
        <v>0</v>
      </c>
      <c r="AO29" s="6">
        <v>0</v>
      </c>
      <c r="AP29" s="6">
        <f>AO29*F29</f>
        <v>0</v>
      </c>
      <c r="AQ29" s="6">
        <v>0</v>
      </c>
      <c r="AR29" s="6">
        <f>AQ29*F29</f>
        <v>0</v>
      </c>
      <c r="AS29" s="6">
        <v>0</v>
      </c>
      <c r="AT29" s="6">
        <f>AS29*F29</f>
        <v>0</v>
      </c>
      <c r="AU29" s="6">
        <v>0</v>
      </c>
      <c r="AV29" s="6">
        <f>AU29*F29</f>
        <v>0</v>
      </c>
      <c r="AW29" s="6">
        <v>0</v>
      </c>
      <c r="AX29" s="6">
        <f t="shared" si="28"/>
        <v>0</v>
      </c>
      <c r="AY29" s="6">
        <v>0</v>
      </c>
      <c r="AZ29" s="6">
        <f>AY29*F29</f>
        <v>0</v>
      </c>
      <c r="BA29" s="6">
        <v>0</v>
      </c>
      <c r="BB29" s="6">
        <f t="shared" si="30"/>
        <v>0</v>
      </c>
      <c r="BC29" s="6">
        <v>0</v>
      </c>
      <c r="BD29" s="6">
        <f t="shared" si="31"/>
        <v>0</v>
      </c>
      <c r="BE29" s="6">
        <v>0</v>
      </c>
      <c r="BF29" s="6">
        <f>BE29*F29</f>
        <v>0</v>
      </c>
      <c r="BG29" s="6">
        <v>0</v>
      </c>
      <c r="BH29" s="6">
        <f t="shared" si="33"/>
        <v>0</v>
      </c>
      <c r="BI29" s="30"/>
      <c r="BJ29" s="6">
        <f t="shared" si="2"/>
        <v>0</v>
      </c>
      <c r="BK29" s="6">
        <f>AA29+AC29+AE29+AG29+AI29+AK29+AM29+AO29+AQ29+AS29+AU29+AW29+AY29+BA29+BC29+BE29+BG29+BI29</f>
        <v>0</v>
      </c>
      <c r="BL29" s="6">
        <f>AB29+AD29+AF29+AH29+AJ29+AL29+AN29+AP29+AR29+AT29+AV29+AX29+AZ29+BB29+BD29+BF29+BH29+BJ29</f>
        <v>0</v>
      </c>
      <c r="BM29" s="284" t="s">
        <v>209</v>
      </c>
      <c r="BO29" s="286"/>
      <c r="BP29" s="286">
        <f>BL29</f>
        <v>0</v>
      </c>
      <c r="BQ29" s="286"/>
      <c r="BR29" s="286"/>
      <c r="BS29" s="286">
        <f>BO29+BP29+BQ29+BR29</f>
        <v>0</v>
      </c>
      <c r="BT29" s="286"/>
      <c r="BU29" s="286"/>
      <c r="BV29" s="286"/>
      <c r="BW29" s="287">
        <f t="shared" si="1"/>
        <v>0</v>
      </c>
    </row>
    <row r="30" spans="2:75" s="134" customFormat="1" x14ac:dyDescent="0.25">
      <c r="B30" s="809"/>
      <c r="C30" s="304"/>
      <c r="D30" s="294" t="s">
        <v>467</v>
      </c>
      <c r="E30" s="297" t="s">
        <v>111</v>
      </c>
      <c r="F30" s="305" t="s">
        <v>111</v>
      </c>
      <c r="G30" s="135">
        <f t="shared" ref="G30:AL30" si="68">SUM(G18:G29)</f>
        <v>20864.7</v>
      </c>
      <c r="H30" s="135">
        <f t="shared" si="68"/>
        <v>10704810</v>
      </c>
      <c r="I30" s="135">
        <f t="shared" si="68"/>
        <v>2472162</v>
      </c>
      <c r="J30" s="135">
        <f t="shared" si="68"/>
        <v>8232648</v>
      </c>
      <c r="K30" s="135">
        <f t="shared" si="68"/>
        <v>0</v>
      </c>
      <c r="L30" s="135">
        <f t="shared" si="68"/>
        <v>0</v>
      </c>
      <c r="M30" s="135">
        <f t="shared" si="68"/>
        <v>0</v>
      </c>
      <c r="N30" s="135">
        <f t="shared" si="68"/>
        <v>0</v>
      </c>
      <c r="O30" s="135">
        <f t="shared" si="68"/>
        <v>0</v>
      </c>
      <c r="P30" s="135">
        <f t="shared" si="68"/>
        <v>0</v>
      </c>
      <c r="Q30" s="135">
        <f t="shared" si="68"/>
        <v>0</v>
      </c>
      <c r="R30" s="135">
        <f t="shared" si="68"/>
        <v>0</v>
      </c>
      <c r="S30" s="135">
        <f t="shared" si="68"/>
        <v>1051.175</v>
      </c>
      <c r="T30" s="135">
        <f t="shared" si="68"/>
        <v>1051.175</v>
      </c>
      <c r="U30" s="135">
        <f t="shared" si="68"/>
        <v>1051.175</v>
      </c>
      <c r="V30" s="135">
        <f t="shared" si="68"/>
        <v>3930.1750000000002</v>
      </c>
      <c r="W30" s="135">
        <f t="shared" si="68"/>
        <v>3172194</v>
      </c>
      <c r="X30" s="135">
        <f t="shared" si="68"/>
        <v>1672194</v>
      </c>
      <c r="Y30" s="135">
        <f t="shared" si="68"/>
        <v>1318611</v>
      </c>
      <c r="Z30" s="135">
        <f t="shared" si="68"/>
        <v>4541811</v>
      </c>
      <c r="AA30" s="135">
        <f t="shared" si="68"/>
        <v>1187</v>
      </c>
      <c r="AB30" s="135">
        <f t="shared" si="68"/>
        <v>503700</v>
      </c>
      <c r="AC30" s="135">
        <f t="shared" si="68"/>
        <v>502</v>
      </c>
      <c r="AD30" s="135">
        <f t="shared" si="68"/>
        <v>260700</v>
      </c>
      <c r="AE30" s="135">
        <f t="shared" si="68"/>
        <v>1096</v>
      </c>
      <c r="AF30" s="135">
        <f t="shared" si="68"/>
        <v>492900</v>
      </c>
      <c r="AG30" s="135">
        <f t="shared" si="68"/>
        <v>1521</v>
      </c>
      <c r="AH30" s="135">
        <f t="shared" si="68"/>
        <v>755200</v>
      </c>
      <c r="AI30" s="135">
        <f t="shared" si="68"/>
        <v>759.7</v>
      </c>
      <c r="AJ30" s="135">
        <f t="shared" si="68"/>
        <v>362010</v>
      </c>
      <c r="AK30" s="135">
        <f t="shared" si="68"/>
        <v>1152</v>
      </c>
      <c r="AL30" s="135">
        <f t="shared" si="68"/>
        <v>529700</v>
      </c>
      <c r="AM30" s="135">
        <f t="shared" ref="AM30:BL30" si="69">SUM(AM18:AM29)</f>
        <v>1005</v>
      </c>
      <c r="AN30" s="135">
        <f t="shared" si="69"/>
        <v>425600</v>
      </c>
      <c r="AO30" s="135">
        <f t="shared" si="69"/>
        <v>1496</v>
      </c>
      <c r="AP30" s="135">
        <f t="shared" si="69"/>
        <v>752000</v>
      </c>
      <c r="AQ30" s="135">
        <f t="shared" si="69"/>
        <v>577</v>
      </c>
      <c r="AR30" s="135">
        <f t="shared" si="69"/>
        <v>271200</v>
      </c>
      <c r="AS30" s="135">
        <f t="shared" si="69"/>
        <v>650</v>
      </c>
      <c r="AT30" s="135">
        <f t="shared" si="69"/>
        <v>319100</v>
      </c>
      <c r="AU30" s="135">
        <f t="shared" si="69"/>
        <v>1318</v>
      </c>
      <c r="AV30" s="135">
        <f t="shared" si="69"/>
        <v>549500</v>
      </c>
      <c r="AW30" s="135">
        <f t="shared" si="69"/>
        <v>1056</v>
      </c>
      <c r="AX30" s="135">
        <f t="shared" si="69"/>
        <v>470900</v>
      </c>
      <c r="AY30" s="135">
        <f t="shared" si="69"/>
        <v>1429</v>
      </c>
      <c r="AZ30" s="135">
        <f t="shared" si="69"/>
        <v>689400</v>
      </c>
      <c r="BA30" s="135">
        <f t="shared" si="69"/>
        <v>1639</v>
      </c>
      <c r="BB30" s="135">
        <f t="shared" si="69"/>
        <v>757400</v>
      </c>
      <c r="BC30" s="135">
        <f t="shared" si="69"/>
        <v>1154</v>
      </c>
      <c r="BD30" s="135">
        <f t="shared" si="69"/>
        <v>535300</v>
      </c>
      <c r="BE30" s="135">
        <f t="shared" si="69"/>
        <v>2182</v>
      </c>
      <c r="BF30" s="135">
        <f t="shared" si="69"/>
        <v>1027800</v>
      </c>
      <c r="BG30" s="135">
        <f t="shared" si="69"/>
        <v>1141</v>
      </c>
      <c r="BH30" s="135">
        <f t="shared" si="69"/>
        <v>502400</v>
      </c>
      <c r="BI30" s="135">
        <f t="shared" si="69"/>
        <v>1000</v>
      </c>
      <c r="BJ30" s="135">
        <f t="shared" si="69"/>
        <v>1500000</v>
      </c>
      <c r="BK30" s="135">
        <f t="shared" si="69"/>
        <v>20864.7</v>
      </c>
      <c r="BL30" s="135">
        <f t="shared" si="69"/>
        <v>10704810</v>
      </c>
      <c r="BM30" s="135"/>
      <c r="BN30" s="135">
        <f t="shared" ref="BN30:BW30" si="70">SUM(BN18:BN29)</f>
        <v>0</v>
      </c>
      <c r="BO30" s="135">
        <f t="shared" si="70"/>
        <v>0</v>
      </c>
      <c r="BP30" s="135">
        <f t="shared" si="70"/>
        <v>9600810</v>
      </c>
      <c r="BQ30" s="135">
        <f t="shared" si="70"/>
        <v>0</v>
      </c>
      <c r="BR30" s="135">
        <f t="shared" si="70"/>
        <v>0</v>
      </c>
      <c r="BS30" s="135">
        <f t="shared" si="70"/>
        <v>9600810</v>
      </c>
      <c r="BT30" s="135">
        <f t="shared" si="70"/>
        <v>0</v>
      </c>
      <c r="BU30" s="135">
        <f t="shared" si="70"/>
        <v>1104000</v>
      </c>
      <c r="BV30" s="135">
        <f t="shared" si="70"/>
        <v>1104000</v>
      </c>
      <c r="BW30" s="135">
        <f t="shared" si="70"/>
        <v>10704810</v>
      </c>
    </row>
    <row r="31" spans="2:75" x14ac:dyDescent="0.25">
      <c r="B31" s="809"/>
      <c r="C31" s="282"/>
      <c r="D31" s="294" t="s">
        <v>468</v>
      </c>
      <c r="E31" s="284"/>
      <c r="F31" s="122"/>
      <c r="G31" s="284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30"/>
      <c r="T31" s="30"/>
      <c r="U31" s="30"/>
      <c r="V31" s="31"/>
      <c r="W31" s="135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30"/>
      <c r="BJ31" s="6"/>
      <c r="BK31" s="6"/>
      <c r="BL31" s="6"/>
      <c r="BM31" s="284"/>
      <c r="BO31" s="286"/>
      <c r="BP31" s="286">
        <f t="shared" ref="BP31:BP38" si="71">H31</f>
        <v>0</v>
      </c>
      <c r="BQ31" s="286"/>
      <c r="BR31" s="286"/>
      <c r="BS31" s="286">
        <f t="shared" ref="BS31:BS38" si="72">BO31+BP31+BQ31+BR31</f>
        <v>0</v>
      </c>
      <c r="BT31" s="286"/>
      <c r="BU31" s="286"/>
      <c r="BV31" s="286">
        <f>BT31+BU31</f>
        <v>0</v>
      </c>
      <c r="BW31" s="287">
        <f t="shared" si="1"/>
        <v>0</v>
      </c>
    </row>
    <row r="32" spans="2:75" x14ac:dyDescent="0.25">
      <c r="B32" s="809"/>
      <c r="C32" s="282"/>
      <c r="D32" s="294" t="s">
        <v>469</v>
      </c>
      <c r="E32" s="284"/>
      <c r="F32" s="122"/>
      <c r="G32" s="284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30"/>
      <c r="T32" s="30"/>
      <c r="U32" s="30"/>
      <c r="V32" s="31"/>
      <c r="W32" s="135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30"/>
      <c r="BJ32" s="6"/>
      <c r="BK32" s="6"/>
      <c r="BL32" s="6"/>
      <c r="BM32" s="284"/>
      <c r="BO32" s="286"/>
      <c r="BP32" s="286">
        <f t="shared" si="71"/>
        <v>0</v>
      </c>
      <c r="BQ32" s="286"/>
      <c r="BR32" s="286"/>
      <c r="BS32" s="286">
        <f t="shared" si="72"/>
        <v>0</v>
      </c>
      <c r="BT32" s="286"/>
      <c r="BU32" s="286"/>
      <c r="BV32" s="286">
        <f>BT32+BU32</f>
        <v>0</v>
      </c>
      <c r="BW32" s="287">
        <f t="shared" si="1"/>
        <v>0</v>
      </c>
    </row>
    <row r="33" spans="2:75" x14ac:dyDescent="0.25">
      <c r="B33" s="809"/>
      <c r="C33" s="282" t="s">
        <v>679</v>
      </c>
      <c r="D33" s="283" t="s">
        <v>470</v>
      </c>
      <c r="E33" s="284" t="s">
        <v>16</v>
      </c>
      <c r="F33" s="122">
        <v>11000000</v>
      </c>
      <c r="G33" s="6">
        <f>BK33</f>
        <v>0</v>
      </c>
      <c r="H33" s="6">
        <f>BL33</f>
        <v>0</v>
      </c>
      <c r="I33" s="6">
        <f>H33*0.2</f>
        <v>0</v>
      </c>
      <c r="J33" s="6">
        <f>H33*0.8</f>
        <v>0</v>
      </c>
      <c r="K33" s="6"/>
      <c r="L33" s="6"/>
      <c r="M33" s="6"/>
      <c r="N33" s="6"/>
      <c r="O33" s="6"/>
      <c r="P33" s="6"/>
      <c r="Q33" s="6"/>
      <c r="R33" s="6"/>
      <c r="S33" s="6">
        <f>G33*0.25</f>
        <v>0</v>
      </c>
      <c r="T33" s="30">
        <f>G33*0.25</f>
        <v>0</v>
      </c>
      <c r="U33" s="31">
        <f>G33*0.25</f>
        <v>0</v>
      </c>
      <c r="V33" s="30">
        <f>G33*0.25</f>
        <v>0</v>
      </c>
      <c r="W33" s="6">
        <f>S33*F33</f>
        <v>0</v>
      </c>
      <c r="X33" s="6">
        <f>T33*F33</f>
        <v>0</v>
      </c>
      <c r="Y33" s="6">
        <f>U33*F33</f>
        <v>0</v>
      </c>
      <c r="Z33" s="6">
        <f>V33*F33</f>
        <v>0</v>
      </c>
      <c r="AA33" s="6">
        <v>0</v>
      </c>
      <c r="AB33" s="6">
        <f>AA33*F33</f>
        <v>0</v>
      </c>
      <c r="AC33" s="6"/>
      <c r="AD33" s="6">
        <f>AC33*F33</f>
        <v>0</v>
      </c>
      <c r="AE33" s="6"/>
      <c r="AF33" s="6">
        <f>AE33*F33</f>
        <v>0</v>
      </c>
      <c r="AG33" s="6"/>
      <c r="AH33" s="6">
        <f>AG33*F33</f>
        <v>0</v>
      </c>
      <c r="AI33" s="6">
        <v>0</v>
      </c>
      <c r="AJ33" s="6">
        <f>AI33*F33</f>
        <v>0</v>
      </c>
      <c r="AK33" s="6"/>
      <c r="AL33" s="6">
        <f>AK33*F33</f>
        <v>0</v>
      </c>
      <c r="AM33" s="6"/>
      <c r="AN33" s="6">
        <f>AM33*F33</f>
        <v>0</v>
      </c>
      <c r="AO33" s="6"/>
      <c r="AP33" s="6">
        <f>AO33*F33</f>
        <v>0</v>
      </c>
      <c r="AQ33" s="6"/>
      <c r="AR33" s="6">
        <f>AQ33*F33</f>
        <v>0</v>
      </c>
      <c r="AS33" s="6"/>
      <c r="AT33" s="6">
        <f>AS33*F33</f>
        <v>0</v>
      </c>
      <c r="AU33" s="6"/>
      <c r="AV33" s="6">
        <f>AU33*F33</f>
        <v>0</v>
      </c>
      <c r="AW33" s="6"/>
      <c r="AX33" s="6">
        <f>AW33*F33</f>
        <v>0</v>
      </c>
      <c r="AY33" s="6"/>
      <c r="AZ33" s="6">
        <f>AY33*F33</f>
        <v>0</v>
      </c>
      <c r="BA33" s="6">
        <v>0</v>
      </c>
      <c r="BB33" s="6">
        <f>BA33*F33</f>
        <v>0</v>
      </c>
      <c r="BC33" s="6"/>
      <c r="BD33" s="6">
        <f>BC33*F33</f>
        <v>0</v>
      </c>
      <c r="BE33" s="6"/>
      <c r="BF33" s="6">
        <f>BE33*F33</f>
        <v>0</v>
      </c>
      <c r="BG33" s="6"/>
      <c r="BH33" s="6">
        <f>BG33*F33</f>
        <v>0</v>
      </c>
      <c r="BI33" s="30">
        <v>0</v>
      </c>
      <c r="BJ33" s="6">
        <f t="shared" si="2"/>
        <v>0</v>
      </c>
      <c r="BK33" s="6">
        <f t="shared" ref="BK33:BL36" si="73">AA33+AC33+AE33+AG33+AI33+AK33+AM33+AO33+AQ33+AS33+AU33+AW33+AY33+BA33+BC33+BE33+BG33+BI33</f>
        <v>0</v>
      </c>
      <c r="BL33" s="6">
        <f t="shared" si="73"/>
        <v>0</v>
      </c>
      <c r="BM33" s="284" t="s">
        <v>209</v>
      </c>
      <c r="BO33" s="286"/>
      <c r="BP33" s="286"/>
      <c r="BQ33" s="286">
        <f>BL33</f>
        <v>0</v>
      </c>
      <c r="BR33" s="286"/>
      <c r="BS33" s="286">
        <f t="shared" si="72"/>
        <v>0</v>
      </c>
      <c r="BT33" s="286"/>
      <c r="BU33" s="286"/>
      <c r="BV33" s="286"/>
      <c r="BW33" s="287">
        <f t="shared" si="1"/>
        <v>0</v>
      </c>
    </row>
    <row r="34" spans="2:75" x14ac:dyDescent="0.25">
      <c r="B34" s="809"/>
      <c r="C34" s="282" t="s">
        <v>680</v>
      </c>
      <c r="D34" s="283" t="s">
        <v>593</v>
      </c>
      <c r="E34" s="284" t="s">
        <v>16</v>
      </c>
      <c r="F34" s="30">
        <v>18946000</v>
      </c>
      <c r="G34" s="6">
        <f>BK34</f>
        <v>1</v>
      </c>
      <c r="H34" s="6">
        <f>BL34</f>
        <v>18946000</v>
      </c>
      <c r="I34" s="6"/>
      <c r="J34" s="6">
        <f>H34*1</f>
        <v>18946000</v>
      </c>
      <c r="K34" s="6"/>
      <c r="L34" s="6"/>
      <c r="M34" s="6"/>
      <c r="N34" s="6"/>
      <c r="O34" s="6"/>
      <c r="P34" s="6"/>
      <c r="Q34" s="6"/>
      <c r="R34" s="6"/>
      <c r="S34" s="6"/>
      <c r="T34" s="30"/>
      <c r="U34" s="31"/>
      <c r="V34" s="30">
        <v>1</v>
      </c>
      <c r="W34" s="6"/>
      <c r="X34" s="6"/>
      <c r="Y34" s="6"/>
      <c r="Z34" s="6">
        <f>V34*H34</f>
        <v>18946000</v>
      </c>
      <c r="AA34" s="6"/>
      <c r="AB34" s="6"/>
      <c r="AC34" s="6"/>
      <c r="AD34" s="6"/>
      <c r="AE34" s="6">
        <v>0</v>
      </c>
      <c r="AF34" s="6"/>
      <c r="AG34" s="6">
        <v>0</v>
      </c>
      <c r="AH34" s="6"/>
      <c r="AI34" s="6">
        <v>0</v>
      </c>
      <c r="AJ34" s="6"/>
      <c r="AK34" s="6">
        <v>0</v>
      </c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>
        <v>0</v>
      </c>
      <c r="BB34" s="6"/>
      <c r="BC34" s="6"/>
      <c r="BD34" s="6"/>
      <c r="BE34" s="6"/>
      <c r="BF34" s="6"/>
      <c r="BG34" s="6"/>
      <c r="BH34" s="6"/>
      <c r="BI34" s="30">
        <v>1</v>
      </c>
      <c r="BJ34" s="6">
        <f t="shared" si="2"/>
        <v>18946000</v>
      </c>
      <c r="BK34" s="6">
        <f>AA34+AC34+AE34+AG34+AI34+AK34+AM34+AO34+AQ34+AS34+AU34+AW34+AY34+BA34+BC34+BE34+BG34+BI34</f>
        <v>1</v>
      </c>
      <c r="BL34" s="6">
        <f>AB34+AD34+AF34+AH34+AJ34+AL34+AN34+AP34+AR34+AT34+AV34+AX34+AZ34+BB34+BD34+BF34+BH34+BJ34</f>
        <v>18946000</v>
      </c>
      <c r="BM34" s="284" t="s">
        <v>210</v>
      </c>
      <c r="BO34" s="286"/>
      <c r="BP34" s="286"/>
      <c r="BQ34" s="286">
        <f>BL34</f>
        <v>18946000</v>
      </c>
      <c r="BR34" s="286"/>
      <c r="BS34" s="286">
        <f t="shared" si="72"/>
        <v>18946000</v>
      </c>
      <c r="BT34" s="286"/>
      <c r="BU34" s="286"/>
      <c r="BV34" s="286"/>
      <c r="BW34" s="287">
        <f t="shared" si="1"/>
        <v>18946000</v>
      </c>
    </row>
    <row r="35" spans="2:75" x14ac:dyDescent="0.25">
      <c r="B35" s="809"/>
      <c r="C35" s="282" t="s">
        <v>681</v>
      </c>
      <c r="D35" s="283" t="s">
        <v>471</v>
      </c>
      <c r="E35" s="284" t="s">
        <v>16</v>
      </c>
      <c r="F35" s="122">
        <v>4000000</v>
      </c>
      <c r="G35" s="6">
        <f>BK35</f>
        <v>1</v>
      </c>
      <c r="H35" s="6">
        <f>G35*F35</f>
        <v>4000000</v>
      </c>
      <c r="I35" s="6">
        <f>H35*0.2</f>
        <v>800000</v>
      </c>
      <c r="J35" s="6">
        <f>H35*0.8</f>
        <v>3200000</v>
      </c>
      <c r="K35" s="6"/>
      <c r="L35" s="6"/>
      <c r="M35" s="6"/>
      <c r="N35" s="6"/>
      <c r="O35" s="6"/>
      <c r="P35" s="6"/>
      <c r="Q35" s="6"/>
      <c r="R35" s="6"/>
      <c r="S35" s="6">
        <f>G35*0.25</f>
        <v>0.25</v>
      </c>
      <c r="T35" s="30">
        <f>G35*0.25</f>
        <v>0.25</v>
      </c>
      <c r="U35" s="30">
        <f>G35*0.25</f>
        <v>0.25</v>
      </c>
      <c r="V35" s="30">
        <f>G35*0.25</f>
        <v>0.25</v>
      </c>
      <c r="W35" s="6">
        <f>S35*F35</f>
        <v>1000000</v>
      </c>
      <c r="X35" s="6">
        <f>T35*F35</f>
        <v>1000000</v>
      </c>
      <c r="Y35" s="6">
        <f>U35*F35</f>
        <v>1000000</v>
      </c>
      <c r="Z35" s="6">
        <f>V35*F35</f>
        <v>1000000</v>
      </c>
      <c r="AA35" s="6">
        <f>SUM(AA31)</f>
        <v>0</v>
      </c>
      <c r="AB35" s="6">
        <f>AA35*F35</f>
        <v>0</v>
      </c>
      <c r="AC35" s="6"/>
      <c r="AD35" s="6">
        <f>AC35*F35</f>
        <v>0</v>
      </c>
      <c r="AE35" s="6">
        <v>0</v>
      </c>
      <c r="AF35" s="6">
        <f>AE35*F35</f>
        <v>0</v>
      </c>
      <c r="AG35" s="6">
        <v>0</v>
      </c>
      <c r="AH35" s="6">
        <f>AG35*F35</f>
        <v>0</v>
      </c>
      <c r="AI35" s="6">
        <v>0</v>
      </c>
      <c r="AJ35" s="6">
        <f>AI35*F35</f>
        <v>0</v>
      </c>
      <c r="AK35" s="6">
        <v>0</v>
      </c>
      <c r="AL35" s="6">
        <f>AK35*F35</f>
        <v>0</v>
      </c>
      <c r="AM35" s="6"/>
      <c r="AN35" s="6">
        <f>AM35*F35</f>
        <v>0</v>
      </c>
      <c r="AO35" s="6"/>
      <c r="AP35" s="6">
        <f>AO35*F35</f>
        <v>0</v>
      </c>
      <c r="AQ35" s="6"/>
      <c r="AR35" s="6">
        <f>AQ35*F35</f>
        <v>0</v>
      </c>
      <c r="AS35" s="6"/>
      <c r="AT35" s="6">
        <f>AS35*F35</f>
        <v>0</v>
      </c>
      <c r="AU35" s="6"/>
      <c r="AV35" s="6">
        <f>AU35*F35</f>
        <v>0</v>
      </c>
      <c r="AW35" s="6"/>
      <c r="AX35" s="6">
        <f>AW35*F35</f>
        <v>0</v>
      </c>
      <c r="AY35" s="6"/>
      <c r="AZ35" s="6">
        <f>AY35*F35</f>
        <v>0</v>
      </c>
      <c r="BA35" s="6">
        <v>0</v>
      </c>
      <c r="BB35" s="6">
        <f>BA35*F35</f>
        <v>0</v>
      </c>
      <c r="BC35" s="6"/>
      <c r="BD35" s="6">
        <f>BC35*F35</f>
        <v>0</v>
      </c>
      <c r="BE35" s="6"/>
      <c r="BF35" s="6">
        <f>BE35*F35</f>
        <v>0</v>
      </c>
      <c r="BG35" s="6"/>
      <c r="BH35" s="6">
        <f>BG35*F35</f>
        <v>0</v>
      </c>
      <c r="BI35" s="30">
        <v>1</v>
      </c>
      <c r="BJ35" s="6">
        <f t="shared" si="2"/>
        <v>4000000</v>
      </c>
      <c r="BK35" s="6">
        <f t="shared" si="73"/>
        <v>1</v>
      </c>
      <c r="BL35" s="6">
        <f t="shared" si="73"/>
        <v>4000000</v>
      </c>
      <c r="BM35" s="284" t="s">
        <v>209</v>
      </c>
      <c r="BO35" s="286"/>
      <c r="BP35" s="286"/>
      <c r="BQ35" s="286">
        <f>BL35</f>
        <v>4000000</v>
      </c>
      <c r="BR35" s="286"/>
      <c r="BS35" s="286">
        <f t="shared" si="72"/>
        <v>4000000</v>
      </c>
      <c r="BT35" s="286"/>
      <c r="BU35" s="286"/>
      <c r="BV35" s="286"/>
      <c r="BW35" s="287">
        <f t="shared" si="1"/>
        <v>4000000</v>
      </c>
    </row>
    <row r="36" spans="2:75" x14ac:dyDescent="0.25">
      <c r="B36" s="809"/>
      <c r="C36" s="288" t="s">
        <v>682</v>
      </c>
      <c r="D36" s="283" t="s">
        <v>472</v>
      </c>
      <c r="E36" s="284" t="s">
        <v>16</v>
      </c>
      <c r="F36" s="122">
        <v>100000</v>
      </c>
      <c r="G36" s="6">
        <f>BK36</f>
        <v>0</v>
      </c>
      <c r="H36" s="6">
        <f>G36*F36</f>
        <v>0</v>
      </c>
      <c r="I36" s="6">
        <f>H36*0.2</f>
        <v>0</v>
      </c>
      <c r="J36" s="6">
        <f>H36*0.8</f>
        <v>0</v>
      </c>
      <c r="K36" s="6"/>
      <c r="L36" s="6"/>
      <c r="M36" s="6"/>
      <c r="N36" s="6"/>
      <c r="O36" s="6"/>
      <c r="P36" s="6"/>
      <c r="Q36" s="6"/>
      <c r="R36" s="6"/>
      <c r="S36" s="6">
        <f>G36*0.25</f>
        <v>0</v>
      </c>
      <c r="T36" s="30">
        <f>G36*0.25</f>
        <v>0</v>
      </c>
      <c r="U36" s="30">
        <f>G36*0.25</f>
        <v>0</v>
      </c>
      <c r="V36" s="30">
        <f>G36*0.25</f>
        <v>0</v>
      </c>
      <c r="W36" s="6">
        <f>S36*F36</f>
        <v>0</v>
      </c>
      <c r="X36" s="6">
        <f>T36*F36</f>
        <v>0</v>
      </c>
      <c r="Y36" s="6">
        <f>U36*F36</f>
        <v>0</v>
      </c>
      <c r="Z36" s="6">
        <f>V36*F36</f>
        <v>0</v>
      </c>
      <c r="AA36" s="6">
        <f>SUM(AA32)</f>
        <v>0</v>
      </c>
      <c r="AB36" s="6">
        <f>AA36*F36</f>
        <v>0</v>
      </c>
      <c r="AC36" s="6"/>
      <c r="AD36" s="6">
        <f>AC36*F36</f>
        <v>0</v>
      </c>
      <c r="AE36" s="6">
        <v>0</v>
      </c>
      <c r="AF36" s="6">
        <f>AE36*F36</f>
        <v>0</v>
      </c>
      <c r="AG36" s="6">
        <v>0</v>
      </c>
      <c r="AH36" s="6">
        <f>AG36*F36</f>
        <v>0</v>
      </c>
      <c r="AI36" s="6">
        <v>0</v>
      </c>
      <c r="AJ36" s="6">
        <f>AI36*F36</f>
        <v>0</v>
      </c>
      <c r="AK36" s="6">
        <v>0</v>
      </c>
      <c r="AL36" s="6">
        <f>AK36*F36</f>
        <v>0</v>
      </c>
      <c r="AM36" s="6"/>
      <c r="AN36" s="6">
        <f>AM36*F36</f>
        <v>0</v>
      </c>
      <c r="AO36" s="6"/>
      <c r="AP36" s="6">
        <f>AO36*F36</f>
        <v>0</v>
      </c>
      <c r="AQ36" s="6"/>
      <c r="AR36" s="6">
        <f>AQ36*F36</f>
        <v>0</v>
      </c>
      <c r="AS36" s="6"/>
      <c r="AT36" s="6">
        <f>AS36*F36</f>
        <v>0</v>
      </c>
      <c r="AU36" s="6"/>
      <c r="AV36" s="6">
        <f>AU36*F36</f>
        <v>0</v>
      </c>
      <c r="AW36" s="6"/>
      <c r="AX36" s="6">
        <f>AW36*F36</f>
        <v>0</v>
      </c>
      <c r="AY36" s="6"/>
      <c r="AZ36" s="6">
        <f>AY36*F36</f>
        <v>0</v>
      </c>
      <c r="BA36" s="6">
        <v>0</v>
      </c>
      <c r="BB36" s="6">
        <f>BA36*F36</f>
        <v>0</v>
      </c>
      <c r="BC36" s="6"/>
      <c r="BD36" s="6">
        <f>BC36*F36</f>
        <v>0</v>
      </c>
      <c r="BE36" s="6"/>
      <c r="BF36" s="6">
        <f>BE36*F36</f>
        <v>0</v>
      </c>
      <c r="BG36" s="6"/>
      <c r="BH36" s="6">
        <f>BG36*F36</f>
        <v>0</v>
      </c>
      <c r="BI36" s="30">
        <v>0</v>
      </c>
      <c r="BJ36" s="6">
        <f t="shared" si="2"/>
        <v>0</v>
      </c>
      <c r="BK36" s="6">
        <f t="shared" si="73"/>
        <v>0</v>
      </c>
      <c r="BL36" s="6">
        <f t="shared" si="73"/>
        <v>0</v>
      </c>
      <c r="BM36" s="284" t="s">
        <v>209</v>
      </c>
      <c r="BO36" s="286"/>
      <c r="BP36" s="286">
        <f t="shared" si="71"/>
        <v>0</v>
      </c>
      <c r="BQ36" s="286"/>
      <c r="BR36" s="286"/>
      <c r="BS36" s="286">
        <f t="shared" si="72"/>
        <v>0</v>
      </c>
      <c r="BT36" s="286"/>
      <c r="BU36" s="286"/>
      <c r="BV36" s="286"/>
      <c r="BW36" s="287">
        <f t="shared" si="1"/>
        <v>0</v>
      </c>
    </row>
    <row r="37" spans="2:75" s="134" customFormat="1" x14ac:dyDescent="0.25">
      <c r="B37" s="809"/>
      <c r="C37" s="304"/>
      <c r="D37" s="294" t="s">
        <v>473</v>
      </c>
      <c r="E37" s="297" t="s">
        <v>111</v>
      </c>
      <c r="F37" s="305" t="s">
        <v>111</v>
      </c>
      <c r="G37" s="135">
        <f t="shared" ref="G37:Z37" si="74">SUM(G33:G36)</f>
        <v>2</v>
      </c>
      <c r="H37" s="135">
        <f t="shared" si="74"/>
        <v>22946000</v>
      </c>
      <c r="I37" s="135">
        <f t="shared" si="74"/>
        <v>800000</v>
      </c>
      <c r="J37" s="135">
        <f t="shared" si="74"/>
        <v>22146000</v>
      </c>
      <c r="K37" s="135">
        <f t="shared" si="74"/>
        <v>0</v>
      </c>
      <c r="L37" s="135">
        <f t="shared" si="74"/>
        <v>0</v>
      </c>
      <c r="M37" s="135">
        <f t="shared" si="74"/>
        <v>0</v>
      </c>
      <c r="N37" s="135">
        <f t="shared" si="74"/>
        <v>0</v>
      </c>
      <c r="O37" s="135">
        <f t="shared" si="74"/>
        <v>0</v>
      </c>
      <c r="P37" s="135">
        <f t="shared" si="74"/>
        <v>0</v>
      </c>
      <c r="Q37" s="135">
        <f t="shared" si="74"/>
        <v>0</v>
      </c>
      <c r="R37" s="135">
        <f t="shared" si="74"/>
        <v>0</v>
      </c>
      <c r="S37" s="135">
        <f t="shared" si="74"/>
        <v>0.25</v>
      </c>
      <c r="T37" s="135">
        <f t="shared" si="74"/>
        <v>0.25</v>
      </c>
      <c r="U37" s="135">
        <f t="shared" si="74"/>
        <v>0.25</v>
      </c>
      <c r="V37" s="135">
        <f t="shared" si="74"/>
        <v>1.25</v>
      </c>
      <c r="W37" s="135">
        <f t="shared" si="74"/>
        <v>1000000</v>
      </c>
      <c r="X37" s="135">
        <f t="shared" si="74"/>
        <v>1000000</v>
      </c>
      <c r="Y37" s="135">
        <f t="shared" si="74"/>
        <v>1000000</v>
      </c>
      <c r="Z37" s="135">
        <f t="shared" si="74"/>
        <v>19946000</v>
      </c>
      <c r="AA37" s="135">
        <f>SUM(AA33:AA36)</f>
        <v>0</v>
      </c>
      <c r="AB37" s="135">
        <f t="shared" ref="AB37:BW37" si="75">SUM(AB33:AB36)</f>
        <v>0</v>
      </c>
      <c r="AC37" s="135">
        <f t="shared" si="75"/>
        <v>0</v>
      </c>
      <c r="AD37" s="135">
        <f t="shared" si="75"/>
        <v>0</v>
      </c>
      <c r="AE37" s="135">
        <f t="shared" si="75"/>
        <v>0</v>
      </c>
      <c r="AF37" s="135">
        <f t="shared" si="75"/>
        <v>0</v>
      </c>
      <c r="AG37" s="135">
        <f t="shared" si="75"/>
        <v>0</v>
      </c>
      <c r="AH37" s="135">
        <f t="shared" si="75"/>
        <v>0</v>
      </c>
      <c r="AI37" s="135">
        <f t="shared" si="75"/>
        <v>0</v>
      </c>
      <c r="AJ37" s="135">
        <f t="shared" si="75"/>
        <v>0</v>
      </c>
      <c r="AK37" s="135">
        <f t="shared" si="75"/>
        <v>0</v>
      </c>
      <c r="AL37" s="135">
        <f t="shared" si="75"/>
        <v>0</v>
      </c>
      <c r="AM37" s="135">
        <f t="shared" si="75"/>
        <v>0</v>
      </c>
      <c r="AN37" s="135">
        <f t="shared" si="75"/>
        <v>0</v>
      </c>
      <c r="AO37" s="135">
        <f t="shared" si="75"/>
        <v>0</v>
      </c>
      <c r="AP37" s="135">
        <f t="shared" si="75"/>
        <v>0</v>
      </c>
      <c r="AQ37" s="135">
        <f t="shared" si="75"/>
        <v>0</v>
      </c>
      <c r="AR37" s="135">
        <f t="shared" si="75"/>
        <v>0</v>
      </c>
      <c r="AS37" s="135">
        <f t="shared" si="75"/>
        <v>0</v>
      </c>
      <c r="AT37" s="135">
        <f t="shared" si="75"/>
        <v>0</v>
      </c>
      <c r="AU37" s="135">
        <f t="shared" si="75"/>
        <v>0</v>
      </c>
      <c r="AV37" s="135">
        <f t="shared" si="75"/>
        <v>0</v>
      </c>
      <c r="AW37" s="135">
        <f t="shared" si="75"/>
        <v>0</v>
      </c>
      <c r="AX37" s="135">
        <f t="shared" si="75"/>
        <v>0</v>
      </c>
      <c r="AY37" s="135">
        <f t="shared" si="75"/>
        <v>0</v>
      </c>
      <c r="AZ37" s="135">
        <f t="shared" si="75"/>
        <v>0</v>
      </c>
      <c r="BA37" s="135">
        <f t="shared" si="75"/>
        <v>0</v>
      </c>
      <c r="BB37" s="135">
        <f t="shared" si="75"/>
        <v>0</v>
      </c>
      <c r="BC37" s="135">
        <f t="shared" si="75"/>
        <v>0</v>
      </c>
      <c r="BD37" s="135">
        <f t="shared" si="75"/>
        <v>0</v>
      </c>
      <c r="BE37" s="135">
        <f t="shared" si="75"/>
        <v>0</v>
      </c>
      <c r="BF37" s="135">
        <f t="shared" si="75"/>
        <v>0</v>
      </c>
      <c r="BG37" s="135">
        <f t="shared" si="75"/>
        <v>0</v>
      </c>
      <c r="BH37" s="135">
        <f t="shared" si="75"/>
        <v>0</v>
      </c>
      <c r="BI37" s="135">
        <f t="shared" si="75"/>
        <v>2</v>
      </c>
      <c r="BJ37" s="135">
        <f t="shared" si="75"/>
        <v>22946000</v>
      </c>
      <c r="BK37" s="135">
        <f t="shared" si="75"/>
        <v>2</v>
      </c>
      <c r="BL37" s="135">
        <f t="shared" si="75"/>
        <v>22946000</v>
      </c>
      <c r="BM37" s="135"/>
      <c r="BN37" s="135">
        <f t="shared" si="75"/>
        <v>0</v>
      </c>
      <c r="BO37" s="135">
        <f t="shared" si="75"/>
        <v>0</v>
      </c>
      <c r="BP37" s="135">
        <f t="shared" si="75"/>
        <v>0</v>
      </c>
      <c r="BQ37" s="135">
        <f t="shared" si="75"/>
        <v>22946000</v>
      </c>
      <c r="BR37" s="135">
        <f t="shared" si="75"/>
        <v>0</v>
      </c>
      <c r="BS37" s="135">
        <f t="shared" si="75"/>
        <v>22946000</v>
      </c>
      <c r="BT37" s="135">
        <f t="shared" si="75"/>
        <v>0</v>
      </c>
      <c r="BU37" s="135">
        <f t="shared" si="75"/>
        <v>0</v>
      </c>
      <c r="BV37" s="135">
        <f t="shared" si="75"/>
        <v>0</v>
      </c>
      <c r="BW37" s="135">
        <f t="shared" si="75"/>
        <v>22946000</v>
      </c>
    </row>
    <row r="38" spans="2:75" x14ac:dyDescent="0.25">
      <c r="B38" s="809"/>
      <c r="C38" s="282"/>
      <c r="D38" s="294" t="s">
        <v>474</v>
      </c>
      <c r="E38" s="284"/>
      <c r="F38" s="122"/>
      <c r="G38" s="284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30"/>
      <c r="U38" s="30"/>
      <c r="V38" s="30"/>
      <c r="W38" s="135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30"/>
      <c r="BJ38" s="6"/>
      <c r="BK38" s="6"/>
      <c r="BL38" s="6"/>
      <c r="BM38" s="284"/>
      <c r="BO38" s="286"/>
      <c r="BP38" s="286">
        <f t="shared" si="71"/>
        <v>0</v>
      </c>
      <c r="BQ38" s="286"/>
      <c r="BR38" s="286"/>
      <c r="BS38" s="286">
        <f t="shared" si="72"/>
        <v>0</v>
      </c>
      <c r="BT38" s="286"/>
      <c r="BU38" s="286"/>
      <c r="BV38" s="286"/>
      <c r="BW38" s="287">
        <f t="shared" si="1"/>
        <v>0</v>
      </c>
    </row>
    <row r="39" spans="2:75" x14ac:dyDescent="0.25">
      <c r="B39" s="809"/>
      <c r="C39" s="288" t="s">
        <v>683</v>
      </c>
      <c r="D39" s="283" t="s">
        <v>217</v>
      </c>
      <c r="E39" s="284" t="s">
        <v>499</v>
      </c>
      <c r="F39" s="122" t="s">
        <v>339</v>
      </c>
      <c r="G39" s="285">
        <f t="shared" ref="G39:G49" si="76">BK39</f>
        <v>12144</v>
      </c>
      <c r="H39" s="6">
        <f t="shared" ref="H39:H49" si="77">BL39</f>
        <v>18216000</v>
      </c>
      <c r="I39" s="6">
        <f t="shared" ref="I39:I49" si="78">H39*0.2</f>
        <v>3643200</v>
      </c>
      <c r="J39" s="6">
        <f t="shared" ref="J39:J49" si="79">H39*0.8</f>
        <v>14572800</v>
      </c>
      <c r="K39" s="6"/>
      <c r="L39" s="6"/>
      <c r="M39" s="6"/>
      <c r="N39" s="6"/>
      <c r="O39" s="6"/>
      <c r="P39" s="6"/>
      <c r="Q39" s="6"/>
      <c r="R39" s="6"/>
      <c r="S39" s="30">
        <f t="shared" ref="S39:S49" si="80">G39*0.25</f>
        <v>3036</v>
      </c>
      <c r="T39" s="30">
        <f t="shared" ref="T39:T49" si="81">G39*0.25</f>
        <v>3036</v>
      </c>
      <c r="U39" s="30">
        <f t="shared" ref="U39:U49" si="82">G39*0.25</f>
        <v>3036</v>
      </c>
      <c r="V39" s="30">
        <f t="shared" ref="V39:V49" si="83">G39*0.25</f>
        <v>3036</v>
      </c>
      <c r="W39" s="6">
        <f t="shared" ref="W39:W49" si="84">S39*F39</f>
        <v>4554000</v>
      </c>
      <c r="X39" s="6">
        <f t="shared" ref="X39:X49" si="85">T39*F39</f>
        <v>4554000</v>
      </c>
      <c r="Y39" s="6">
        <f t="shared" ref="Y39:Y49" si="86">U39*F39</f>
        <v>4554000</v>
      </c>
      <c r="Z39" s="6">
        <f t="shared" ref="Z39:Z49" si="87">V39*F39</f>
        <v>4554000</v>
      </c>
      <c r="AA39" s="6">
        <f>48*12</f>
        <v>576</v>
      </c>
      <c r="AB39" s="6">
        <f>AA39*1500</f>
        <v>864000</v>
      </c>
      <c r="AC39" s="6">
        <f>23*12</f>
        <v>276</v>
      </c>
      <c r="AD39" s="6">
        <f>AC39*1500</f>
        <v>414000</v>
      </c>
      <c r="AE39" s="6">
        <f>58*12</f>
        <v>696</v>
      </c>
      <c r="AF39" s="6">
        <f>AE39*1500</f>
        <v>1044000</v>
      </c>
      <c r="AG39" s="6">
        <f>89*12</f>
        <v>1068</v>
      </c>
      <c r="AH39" s="6">
        <f>AG39*1500</f>
        <v>1602000</v>
      </c>
      <c r="AI39" s="6">
        <f>38*12</f>
        <v>456</v>
      </c>
      <c r="AJ39" s="6">
        <f>AI39*1500</f>
        <v>684000</v>
      </c>
      <c r="AK39" s="6">
        <f>71*12</f>
        <v>852</v>
      </c>
      <c r="AL39" s="6">
        <f>AK39*1500</f>
        <v>1278000</v>
      </c>
      <c r="AM39" s="6">
        <f>34*12</f>
        <v>408</v>
      </c>
      <c r="AN39" s="6">
        <f>AM39*1500</f>
        <v>612000</v>
      </c>
      <c r="AO39" s="6">
        <f>100*12</f>
        <v>1200</v>
      </c>
      <c r="AP39" s="6">
        <f>AO39*1500</f>
        <v>1800000</v>
      </c>
      <c r="AQ39" s="6">
        <f>8*12</f>
        <v>96</v>
      </c>
      <c r="AR39" s="6">
        <f>AQ39*1500</f>
        <v>144000</v>
      </c>
      <c r="AS39" s="6">
        <f>32*12</f>
        <v>384</v>
      </c>
      <c r="AT39" s="6">
        <v>576000</v>
      </c>
      <c r="AU39" s="6">
        <f>50*12</f>
        <v>600</v>
      </c>
      <c r="AV39" s="6">
        <f>AU39*1500</f>
        <v>900000</v>
      </c>
      <c r="AW39" s="6">
        <f>50*12</f>
        <v>600</v>
      </c>
      <c r="AX39" s="6">
        <f>AW39*1500</f>
        <v>900000</v>
      </c>
      <c r="AY39" s="6">
        <f>72*12</f>
        <v>864</v>
      </c>
      <c r="AZ39" s="6">
        <f>AY39*1500</f>
        <v>1296000</v>
      </c>
      <c r="BA39" s="30">
        <f>75*12</f>
        <v>900</v>
      </c>
      <c r="BB39" s="6">
        <f>BA39*1500</f>
        <v>1350000</v>
      </c>
      <c r="BC39" s="6">
        <f>73*12</f>
        <v>876</v>
      </c>
      <c r="BD39" s="6">
        <f>BC39*1500</f>
        <v>1314000</v>
      </c>
      <c r="BE39" s="6">
        <f>137*12</f>
        <v>1644</v>
      </c>
      <c r="BF39" s="6">
        <f>BE39*1500</f>
        <v>2466000</v>
      </c>
      <c r="BG39" s="6">
        <f>54*12</f>
        <v>648</v>
      </c>
      <c r="BH39" s="6">
        <f>BG39*1500</f>
        <v>972000</v>
      </c>
      <c r="BI39" s="30">
        <v>0</v>
      </c>
      <c r="BJ39" s="6">
        <f t="shared" si="2"/>
        <v>0</v>
      </c>
      <c r="BK39" s="6">
        <f t="shared" ref="BK39:BL49" si="88">AA39+AC39+AE39+AG39+AI39+AK39+AM39+AO39+AQ39+AS39+AU39+AW39+AY39+BA39+BC39+BE39+BG39+BI39</f>
        <v>12144</v>
      </c>
      <c r="BL39" s="6">
        <f t="shared" si="88"/>
        <v>18216000</v>
      </c>
      <c r="BM39" s="284" t="s">
        <v>209</v>
      </c>
      <c r="BO39" s="6">
        <f>SUM(BO30:BO32)</f>
        <v>0</v>
      </c>
      <c r="BP39" s="6">
        <f t="shared" ref="BP39:BP49" si="89">BL39</f>
        <v>18216000</v>
      </c>
      <c r="BQ39" s="6"/>
      <c r="BR39" s="6">
        <f>SUM(BR30:BR38)</f>
        <v>0</v>
      </c>
      <c r="BS39" s="6">
        <f t="shared" ref="BS39:BS49" si="90">BR39+BQ39+BP39+BO39</f>
        <v>18216000</v>
      </c>
      <c r="BT39" s="6">
        <f>SUM(BT30:BT38)</f>
        <v>0</v>
      </c>
      <c r="BU39" s="6">
        <f>SUM(BU30:BU38)</f>
        <v>1104000</v>
      </c>
      <c r="BV39" s="6">
        <f>SUM(BV30:BV38)</f>
        <v>1104000</v>
      </c>
      <c r="BW39" s="6">
        <f t="shared" ref="BW39:BW49" si="91">BV39+BS39</f>
        <v>19320000</v>
      </c>
    </row>
    <row r="40" spans="2:75" s="316" customFormat="1" ht="47.25" x14ac:dyDescent="0.25">
      <c r="B40" s="809"/>
      <c r="C40" s="310" t="s">
        <v>684</v>
      </c>
      <c r="D40" s="706" t="s">
        <v>1242</v>
      </c>
      <c r="E40" s="311" t="s">
        <v>499</v>
      </c>
      <c r="F40" s="312">
        <v>2000</v>
      </c>
      <c r="G40" s="705">
        <f>BK40</f>
        <v>6066</v>
      </c>
      <c r="H40" s="313">
        <f>BL40</f>
        <v>12132000</v>
      </c>
      <c r="I40" s="313">
        <f t="shared" si="78"/>
        <v>2426400</v>
      </c>
      <c r="J40" s="313">
        <f t="shared" si="79"/>
        <v>9705600</v>
      </c>
      <c r="K40" s="313"/>
      <c r="L40" s="313"/>
      <c r="M40" s="313"/>
      <c r="N40" s="313"/>
      <c r="O40" s="313"/>
      <c r="P40" s="313"/>
      <c r="Q40" s="313"/>
      <c r="R40" s="313"/>
      <c r="S40" s="313">
        <f t="shared" si="80"/>
        <v>1516.5</v>
      </c>
      <c r="T40" s="313">
        <f t="shared" si="81"/>
        <v>1516.5</v>
      </c>
      <c r="U40" s="313">
        <f t="shared" si="82"/>
        <v>1516.5</v>
      </c>
      <c r="V40" s="313">
        <f t="shared" si="83"/>
        <v>1516.5</v>
      </c>
      <c r="W40" s="313">
        <f t="shared" si="84"/>
        <v>3033000</v>
      </c>
      <c r="X40" s="313">
        <f t="shared" si="85"/>
        <v>3033000</v>
      </c>
      <c r="Y40" s="314">
        <f t="shared" si="86"/>
        <v>3033000</v>
      </c>
      <c r="Z40" s="314">
        <f t="shared" si="87"/>
        <v>3033000</v>
      </c>
      <c r="AA40" s="313">
        <f>48*12/2</f>
        <v>288</v>
      </c>
      <c r="AB40" s="313">
        <f t="shared" ref="AB40:AB47" si="92">AA40*F40</f>
        <v>576000</v>
      </c>
      <c r="AC40" s="313">
        <f>23*12/2</f>
        <v>138</v>
      </c>
      <c r="AD40" s="313">
        <f t="shared" ref="AD40:AD47" si="93">AC40*F40</f>
        <v>276000</v>
      </c>
      <c r="AE40" s="313">
        <f>58*12/2</f>
        <v>348</v>
      </c>
      <c r="AF40" s="313">
        <f t="shared" ref="AF40:AF47" si="94">AE40*F40</f>
        <v>696000</v>
      </c>
      <c r="AG40" s="313">
        <f>89*12/2</f>
        <v>534</v>
      </c>
      <c r="AH40" s="313">
        <f t="shared" ref="AH40:AH47" si="95">AG40*F40</f>
        <v>1068000</v>
      </c>
      <c r="AI40" s="313">
        <f>38*12/2</f>
        <v>228</v>
      </c>
      <c r="AJ40" s="313">
        <f t="shared" ref="AJ40:AJ47" si="96">AI40*F40</f>
        <v>456000</v>
      </c>
      <c r="AK40" s="313">
        <f>71*12/2</f>
        <v>426</v>
      </c>
      <c r="AL40" s="313">
        <f t="shared" ref="AL40:AL47" si="97">AK40*F40</f>
        <v>852000</v>
      </c>
      <c r="AM40" s="313">
        <f>34*12/2</f>
        <v>204</v>
      </c>
      <c r="AN40" s="313">
        <f t="shared" ref="AN40:AN45" si="98">AM40*F40</f>
        <v>408000</v>
      </c>
      <c r="AO40" s="313">
        <f>100*12/2</f>
        <v>600</v>
      </c>
      <c r="AP40" s="313">
        <f t="shared" ref="AP40:AP45" si="99">AO40*F40</f>
        <v>1200000</v>
      </c>
      <c r="AQ40" s="313">
        <f>8*12/2</f>
        <v>48</v>
      </c>
      <c r="AR40" s="313">
        <f t="shared" ref="AR40:AR45" si="100">AQ40*F40</f>
        <v>96000</v>
      </c>
      <c r="AS40" s="313">
        <f>32*12/2</f>
        <v>192</v>
      </c>
      <c r="AT40" s="313">
        <f>AS40*F40</f>
        <v>384000</v>
      </c>
      <c r="AU40" s="313">
        <f>50*12/2</f>
        <v>300</v>
      </c>
      <c r="AV40" s="313">
        <f t="shared" ref="AV40:AV45" si="101">AU40*F40</f>
        <v>600000</v>
      </c>
      <c r="AW40" s="313">
        <f>50*12/2</f>
        <v>300</v>
      </c>
      <c r="AX40" s="313">
        <f t="shared" ref="AX40:AX46" si="102">AW40*F40</f>
        <v>600000</v>
      </c>
      <c r="AY40" s="313">
        <f>72*12/2</f>
        <v>432</v>
      </c>
      <c r="AZ40" s="313">
        <f t="shared" ref="AZ40:AZ45" si="103">AY40*F40</f>
        <v>864000</v>
      </c>
      <c r="BA40" s="315">
        <f>75*12/2</f>
        <v>450</v>
      </c>
      <c r="BB40" s="313">
        <f t="shared" ref="BB40:BB45" si="104">BA40*F40</f>
        <v>900000</v>
      </c>
      <c r="BC40" s="313">
        <f>73*12/2</f>
        <v>438</v>
      </c>
      <c r="BD40" s="313">
        <f t="shared" ref="BD40:BD45" si="105">BC40*F40</f>
        <v>876000</v>
      </c>
      <c r="BE40" s="313">
        <f>136*12/2</f>
        <v>816</v>
      </c>
      <c r="BF40" s="313">
        <f t="shared" ref="BF40:BF45" si="106">BE40*F40</f>
        <v>1632000</v>
      </c>
      <c r="BG40" s="313">
        <f>54*12/2</f>
        <v>324</v>
      </c>
      <c r="BH40" s="313">
        <f t="shared" ref="BH40:BH46" si="107">BG40*F40</f>
        <v>648000</v>
      </c>
      <c r="BI40" s="315"/>
      <c r="BJ40" s="313">
        <f t="shared" si="2"/>
        <v>0</v>
      </c>
      <c r="BK40" s="313">
        <f t="shared" si="88"/>
        <v>6066</v>
      </c>
      <c r="BL40" s="313">
        <f t="shared" si="88"/>
        <v>12132000</v>
      </c>
      <c r="BM40" s="311" t="s">
        <v>209</v>
      </c>
      <c r="BO40" s="257"/>
      <c r="BP40" s="313">
        <f t="shared" si="89"/>
        <v>12132000</v>
      </c>
      <c r="BQ40" s="257"/>
      <c r="BR40" s="257"/>
      <c r="BS40" s="313">
        <f t="shared" si="90"/>
        <v>12132000</v>
      </c>
      <c r="BT40" s="257"/>
      <c r="BU40" s="257"/>
      <c r="BV40" s="257"/>
      <c r="BW40" s="313">
        <f t="shared" si="91"/>
        <v>12132000</v>
      </c>
    </row>
    <row r="41" spans="2:75" x14ac:dyDescent="0.25">
      <c r="B41" s="809"/>
      <c r="C41" s="288" t="s">
        <v>685</v>
      </c>
      <c r="D41" s="283" t="s">
        <v>917</v>
      </c>
      <c r="E41" s="284" t="s">
        <v>64</v>
      </c>
      <c r="F41" s="122">
        <v>25000</v>
      </c>
      <c r="G41" s="285">
        <f>BK41</f>
        <v>70</v>
      </c>
      <c r="H41" s="6">
        <f>BL41</f>
        <v>1750000</v>
      </c>
      <c r="I41" s="6">
        <f>H41*0.2</f>
        <v>350000</v>
      </c>
      <c r="J41" s="6">
        <f>H41*0.8</f>
        <v>1400000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>
        <f t="shared" ref="W41" si="108">H41*0.25</f>
        <v>437500</v>
      </c>
      <c r="X41" s="6">
        <f t="shared" ref="X41" si="109">H41*0.25</f>
        <v>437500</v>
      </c>
      <c r="Y41" s="6">
        <f t="shared" ref="Y41" si="110">H41*0.25</f>
        <v>437500</v>
      </c>
      <c r="Z41" s="6">
        <f t="shared" ref="Z41" si="111">H41*0.25</f>
        <v>437500</v>
      </c>
      <c r="AA41" s="6">
        <v>4</v>
      </c>
      <c r="AB41" s="6">
        <f t="shared" si="92"/>
        <v>100000</v>
      </c>
      <c r="AC41" s="6">
        <v>4</v>
      </c>
      <c r="AD41" s="6">
        <f t="shared" si="93"/>
        <v>100000</v>
      </c>
      <c r="AE41" s="6">
        <v>4</v>
      </c>
      <c r="AF41" s="6">
        <f t="shared" si="94"/>
        <v>100000</v>
      </c>
      <c r="AG41" s="6">
        <v>4</v>
      </c>
      <c r="AH41" s="6">
        <f t="shared" si="95"/>
        <v>100000</v>
      </c>
      <c r="AI41" s="6">
        <v>4</v>
      </c>
      <c r="AJ41" s="6">
        <f t="shared" si="96"/>
        <v>100000</v>
      </c>
      <c r="AK41" s="6">
        <v>4</v>
      </c>
      <c r="AL41" s="6">
        <f t="shared" si="97"/>
        <v>100000</v>
      </c>
      <c r="AM41" s="6">
        <v>4</v>
      </c>
      <c r="AN41" s="6">
        <f t="shared" si="98"/>
        <v>100000</v>
      </c>
      <c r="AO41" s="6">
        <v>6</v>
      </c>
      <c r="AP41" s="6">
        <f t="shared" si="99"/>
        <v>150000</v>
      </c>
      <c r="AQ41" s="6">
        <v>2</v>
      </c>
      <c r="AR41" s="6">
        <f t="shared" si="100"/>
        <v>50000</v>
      </c>
      <c r="AS41" s="6">
        <v>4</v>
      </c>
      <c r="AT41" s="6">
        <f t="shared" ref="AT41:AT45" si="112">AS41*F41</f>
        <v>100000</v>
      </c>
      <c r="AU41" s="6">
        <v>4</v>
      </c>
      <c r="AV41" s="6">
        <f t="shared" si="101"/>
        <v>100000</v>
      </c>
      <c r="AW41" s="6">
        <v>4</v>
      </c>
      <c r="AX41" s="6">
        <f t="shared" si="102"/>
        <v>100000</v>
      </c>
      <c r="AY41" s="6">
        <v>4</v>
      </c>
      <c r="AZ41" s="6">
        <f t="shared" si="103"/>
        <v>100000</v>
      </c>
      <c r="BA41" s="30">
        <v>4</v>
      </c>
      <c r="BB41" s="6">
        <f t="shared" si="104"/>
        <v>100000</v>
      </c>
      <c r="BC41" s="6">
        <v>4</v>
      </c>
      <c r="BD41" s="6">
        <f t="shared" si="105"/>
        <v>100000</v>
      </c>
      <c r="BE41" s="6">
        <v>6</v>
      </c>
      <c r="BF41" s="6">
        <f t="shared" si="106"/>
        <v>150000</v>
      </c>
      <c r="BG41" s="6">
        <v>4</v>
      </c>
      <c r="BH41" s="6">
        <f t="shared" si="107"/>
        <v>100000</v>
      </c>
      <c r="BI41" s="30"/>
      <c r="BJ41" s="6"/>
      <c r="BK41" s="6">
        <f>AA41+AC41+AE41+AG41+AI41+AK41+AM41+AO41+AQ41+AS41+AU41+AW41+AY41+BA41+BC41+BE41+BG41+BI41</f>
        <v>70</v>
      </c>
      <c r="BL41" s="6">
        <f>AB41+AD41+AF41+AH41+AJ41+AL41+AN41+AP41+AR41+AT41+AV41+AX41+AZ41+BB41+BD41+BF41+BH41+BJ41</f>
        <v>1750000</v>
      </c>
      <c r="BM41" s="284" t="s">
        <v>209</v>
      </c>
      <c r="BO41" s="286"/>
      <c r="BP41" s="6">
        <f t="shared" si="89"/>
        <v>1750000</v>
      </c>
      <c r="BQ41" s="286"/>
      <c r="BR41" s="286"/>
      <c r="BS41" s="6">
        <f t="shared" si="90"/>
        <v>1750000</v>
      </c>
      <c r="BT41" s="286"/>
      <c r="BU41" s="286"/>
      <c r="BV41" s="286"/>
      <c r="BW41" s="6">
        <f t="shared" si="91"/>
        <v>1750000</v>
      </c>
    </row>
    <row r="42" spans="2:75" ht="47.25" x14ac:dyDescent="0.25">
      <c r="B42" s="809"/>
      <c r="C42" s="288" t="s">
        <v>686</v>
      </c>
      <c r="D42" s="283" t="s">
        <v>1187</v>
      </c>
      <c r="E42" s="283" t="s">
        <v>1201</v>
      </c>
      <c r="F42" s="122">
        <v>0</v>
      </c>
      <c r="G42" s="285">
        <f t="shared" si="76"/>
        <v>0</v>
      </c>
      <c r="H42" s="6">
        <f t="shared" si="77"/>
        <v>0</v>
      </c>
      <c r="I42" s="6">
        <f t="shared" si="78"/>
        <v>0</v>
      </c>
      <c r="J42" s="6">
        <f t="shared" si="79"/>
        <v>0</v>
      </c>
      <c r="K42" s="6"/>
      <c r="L42" s="6"/>
      <c r="M42" s="6"/>
      <c r="N42" s="6"/>
      <c r="O42" s="6"/>
      <c r="P42" s="6"/>
      <c r="Q42" s="6"/>
      <c r="R42" s="6"/>
      <c r="S42" s="6">
        <f t="shared" si="80"/>
        <v>0</v>
      </c>
      <c r="T42" s="6">
        <f t="shared" si="81"/>
        <v>0</v>
      </c>
      <c r="U42" s="6">
        <f t="shared" si="82"/>
        <v>0</v>
      </c>
      <c r="V42" s="6">
        <f t="shared" si="83"/>
        <v>0</v>
      </c>
      <c r="W42" s="6">
        <f t="shared" si="84"/>
        <v>0</v>
      </c>
      <c r="X42" s="6">
        <f t="shared" si="85"/>
        <v>0</v>
      </c>
      <c r="Y42" s="306">
        <f t="shared" si="86"/>
        <v>0</v>
      </c>
      <c r="Z42" s="306">
        <f t="shared" si="87"/>
        <v>0</v>
      </c>
      <c r="AA42" s="6">
        <v>0</v>
      </c>
      <c r="AB42" s="6">
        <f t="shared" si="92"/>
        <v>0</v>
      </c>
      <c r="AC42" s="6">
        <v>0</v>
      </c>
      <c r="AD42" s="6">
        <f t="shared" si="93"/>
        <v>0</v>
      </c>
      <c r="AE42" s="6">
        <v>0</v>
      </c>
      <c r="AF42" s="6">
        <f t="shared" si="94"/>
        <v>0</v>
      </c>
      <c r="AG42" s="6">
        <v>0</v>
      </c>
      <c r="AH42" s="6">
        <f t="shared" si="95"/>
        <v>0</v>
      </c>
      <c r="AI42" s="6">
        <v>0</v>
      </c>
      <c r="AJ42" s="6">
        <f t="shared" si="96"/>
        <v>0</v>
      </c>
      <c r="AK42" s="6">
        <v>0</v>
      </c>
      <c r="AL42" s="6">
        <f t="shared" si="97"/>
        <v>0</v>
      </c>
      <c r="AM42" s="6">
        <v>0</v>
      </c>
      <c r="AN42" s="6">
        <f t="shared" si="98"/>
        <v>0</v>
      </c>
      <c r="AO42" s="6">
        <v>0</v>
      </c>
      <c r="AP42" s="6">
        <f t="shared" si="99"/>
        <v>0</v>
      </c>
      <c r="AQ42" s="6">
        <v>0</v>
      </c>
      <c r="AR42" s="6">
        <f t="shared" si="100"/>
        <v>0</v>
      </c>
      <c r="AS42" s="6">
        <v>0</v>
      </c>
      <c r="AT42" s="6">
        <f t="shared" si="112"/>
        <v>0</v>
      </c>
      <c r="AU42" s="6">
        <v>0</v>
      </c>
      <c r="AV42" s="6">
        <f t="shared" si="101"/>
        <v>0</v>
      </c>
      <c r="AW42" s="6">
        <v>0</v>
      </c>
      <c r="AX42" s="6">
        <f t="shared" si="102"/>
        <v>0</v>
      </c>
      <c r="AY42" s="6">
        <v>0</v>
      </c>
      <c r="AZ42" s="6">
        <f t="shared" si="103"/>
        <v>0</v>
      </c>
      <c r="BA42" s="6">
        <v>0</v>
      </c>
      <c r="BB42" s="6">
        <f t="shared" si="104"/>
        <v>0</v>
      </c>
      <c r="BC42" s="6">
        <v>0</v>
      </c>
      <c r="BD42" s="6">
        <f t="shared" si="105"/>
        <v>0</v>
      </c>
      <c r="BE42" s="6">
        <v>0</v>
      </c>
      <c r="BF42" s="6">
        <f t="shared" si="106"/>
        <v>0</v>
      </c>
      <c r="BG42" s="6">
        <v>0</v>
      </c>
      <c r="BH42" s="6">
        <f t="shared" si="107"/>
        <v>0</v>
      </c>
      <c r="BI42" s="30"/>
      <c r="BJ42" s="6">
        <f t="shared" si="2"/>
        <v>0</v>
      </c>
      <c r="BK42" s="6">
        <f t="shared" si="88"/>
        <v>0</v>
      </c>
      <c r="BL42" s="6">
        <f t="shared" si="88"/>
        <v>0</v>
      </c>
      <c r="BM42" s="284" t="s">
        <v>209</v>
      </c>
      <c r="BO42" s="286"/>
      <c r="BP42" s="6">
        <f t="shared" si="89"/>
        <v>0</v>
      </c>
      <c r="BQ42" s="286"/>
      <c r="BR42" s="286"/>
      <c r="BS42" s="6">
        <f t="shared" si="90"/>
        <v>0</v>
      </c>
      <c r="BT42" s="286"/>
      <c r="BU42" s="286"/>
      <c r="BV42" s="286"/>
      <c r="BW42" s="6">
        <f t="shared" si="91"/>
        <v>0</v>
      </c>
    </row>
    <row r="43" spans="2:75" ht="31.5" x14ac:dyDescent="0.25">
      <c r="B43" s="809"/>
      <c r="C43" s="288" t="s">
        <v>687</v>
      </c>
      <c r="D43" s="283" t="s">
        <v>937</v>
      </c>
      <c r="E43" s="283" t="s">
        <v>479</v>
      </c>
      <c r="F43" s="122">
        <v>0</v>
      </c>
      <c r="G43" s="285">
        <f t="shared" si="76"/>
        <v>0</v>
      </c>
      <c r="H43" s="6">
        <f>F43*G43</f>
        <v>0</v>
      </c>
      <c r="I43" s="6">
        <f t="shared" si="78"/>
        <v>0</v>
      </c>
      <c r="J43" s="6">
        <f t="shared" si="79"/>
        <v>0</v>
      </c>
      <c r="K43" s="6"/>
      <c r="L43" s="6"/>
      <c r="M43" s="6"/>
      <c r="N43" s="6"/>
      <c r="O43" s="6"/>
      <c r="P43" s="6"/>
      <c r="Q43" s="6"/>
      <c r="R43" s="6"/>
      <c r="S43" s="6">
        <f t="shared" si="80"/>
        <v>0</v>
      </c>
      <c r="T43" s="6">
        <f t="shared" si="81"/>
        <v>0</v>
      </c>
      <c r="U43" s="6">
        <f t="shared" si="82"/>
        <v>0</v>
      </c>
      <c r="V43" s="6">
        <f t="shared" si="83"/>
        <v>0</v>
      </c>
      <c r="W43" s="6">
        <f t="shared" si="84"/>
        <v>0</v>
      </c>
      <c r="X43" s="6">
        <f t="shared" si="85"/>
        <v>0</v>
      </c>
      <c r="Y43" s="306">
        <f t="shared" si="86"/>
        <v>0</v>
      </c>
      <c r="Z43" s="306">
        <f t="shared" si="87"/>
        <v>0</v>
      </c>
      <c r="AA43" s="6">
        <v>0</v>
      </c>
      <c r="AB43" s="6">
        <f t="shared" si="92"/>
        <v>0</v>
      </c>
      <c r="AC43" s="6">
        <v>0</v>
      </c>
      <c r="AD43" s="6">
        <f t="shared" si="93"/>
        <v>0</v>
      </c>
      <c r="AE43" s="6">
        <v>0</v>
      </c>
      <c r="AF43" s="6">
        <f t="shared" si="94"/>
        <v>0</v>
      </c>
      <c r="AG43" s="6">
        <v>0</v>
      </c>
      <c r="AH43" s="6">
        <f t="shared" si="95"/>
        <v>0</v>
      </c>
      <c r="AI43" s="6">
        <v>0</v>
      </c>
      <c r="AJ43" s="6">
        <f t="shared" si="96"/>
        <v>0</v>
      </c>
      <c r="AK43" s="6">
        <v>0</v>
      </c>
      <c r="AL43" s="6">
        <f t="shared" si="97"/>
        <v>0</v>
      </c>
      <c r="AM43" s="6">
        <v>0</v>
      </c>
      <c r="AN43" s="6">
        <f t="shared" si="98"/>
        <v>0</v>
      </c>
      <c r="AO43" s="6">
        <v>0</v>
      </c>
      <c r="AP43" s="6">
        <f t="shared" si="99"/>
        <v>0</v>
      </c>
      <c r="AQ43" s="6">
        <v>0</v>
      </c>
      <c r="AR43" s="6">
        <f t="shared" si="100"/>
        <v>0</v>
      </c>
      <c r="AS43" s="6">
        <v>0</v>
      </c>
      <c r="AT43" s="6">
        <f t="shared" si="112"/>
        <v>0</v>
      </c>
      <c r="AU43" s="6">
        <v>0</v>
      </c>
      <c r="AV43" s="6">
        <f t="shared" si="101"/>
        <v>0</v>
      </c>
      <c r="AW43" s="6">
        <v>0</v>
      </c>
      <c r="AX43" s="6">
        <f t="shared" si="102"/>
        <v>0</v>
      </c>
      <c r="AY43" s="6">
        <v>0</v>
      </c>
      <c r="AZ43" s="6">
        <f t="shared" si="103"/>
        <v>0</v>
      </c>
      <c r="BA43" s="30">
        <v>0</v>
      </c>
      <c r="BB43" s="6">
        <f t="shared" si="104"/>
        <v>0</v>
      </c>
      <c r="BC43" s="6">
        <v>0</v>
      </c>
      <c r="BD43" s="6">
        <f t="shared" si="105"/>
        <v>0</v>
      </c>
      <c r="BE43" s="6">
        <v>0</v>
      </c>
      <c r="BF43" s="6">
        <f t="shared" si="106"/>
        <v>0</v>
      </c>
      <c r="BG43" s="6">
        <v>0</v>
      </c>
      <c r="BH43" s="6">
        <f t="shared" si="107"/>
        <v>0</v>
      </c>
      <c r="BI43" s="30"/>
      <c r="BJ43" s="6">
        <f t="shared" si="2"/>
        <v>0</v>
      </c>
      <c r="BK43" s="6">
        <f t="shared" si="88"/>
        <v>0</v>
      </c>
      <c r="BL43" s="6">
        <f t="shared" si="88"/>
        <v>0</v>
      </c>
      <c r="BM43" s="284" t="s">
        <v>209</v>
      </c>
      <c r="BO43" s="286"/>
      <c r="BP43" s="6">
        <f t="shared" si="89"/>
        <v>0</v>
      </c>
      <c r="BQ43" s="286"/>
      <c r="BR43" s="286"/>
      <c r="BS43" s="6">
        <f t="shared" si="90"/>
        <v>0</v>
      </c>
      <c r="BT43" s="286"/>
      <c r="BU43" s="286"/>
      <c r="BV43" s="286"/>
      <c r="BW43" s="6">
        <f t="shared" si="91"/>
        <v>0</v>
      </c>
    </row>
    <row r="44" spans="2:75" ht="31.5" x14ac:dyDescent="0.25">
      <c r="B44" s="809"/>
      <c r="C44" s="288" t="s">
        <v>688</v>
      </c>
      <c r="D44" s="283" t="s">
        <v>1175</v>
      </c>
      <c r="E44" s="283"/>
      <c r="F44" s="122">
        <v>1500</v>
      </c>
      <c r="G44" s="285">
        <f>BK44</f>
        <v>1011</v>
      </c>
      <c r="H44" s="6">
        <f>BL44</f>
        <v>1516500</v>
      </c>
      <c r="I44" s="6">
        <f t="shared" si="78"/>
        <v>303300</v>
      </c>
      <c r="J44" s="6">
        <f t="shared" si="79"/>
        <v>1213200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>
        <f>H44*0.5</f>
        <v>758250</v>
      </c>
      <c r="X44" s="6">
        <f>H44*0.4</f>
        <v>606600</v>
      </c>
      <c r="Y44" s="6">
        <f>H44*0.1</f>
        <v>151650</v>
      </c>
      <c r="Z44" s="6">
        <f>H44*0</f>
        <v>0</v>
      </c>
      <c r="AA44" s="6">
        <v>48</v>
      </c>
      <c r="AB44" s="6">
        <f t="shared" si="92"/>
        <v>72000</v>
      </c>
      <c r="AC44" s="6">
        <v>23</v>
      </c>
      <c r="AD44" s="6">
        <f t="shared" si="93"/>
        <v>34500</v>
      </c>
      <c r="AE44" s="6">
        <v>58</v>
      </c>
      <c r="AF44" s="6">
        <f t="shared" si="94"/>
        <v>87000</v>
      </c>
      <c r="AG44" s="6">
        <v>89</v>
      </c>
      <c r="AH44" s="6">
        <f t="shared" si="95"/>
        <v>133500</v>
      </c>
      <c r="AI44" s="6">
        <v>38</v>
      </c>
      <c r="AJ44" s="6">
        <f t="shared" si="96"/>
        <v>57000</v>
      </c>
      <c r="AK44" s="6">
        <v>71</v>
      </c>
      <c r="AL44" s="6">
        <f t="shared" si="97"/>
        <v>106500</v>
      </c>
      <c r="AM44" s="6">
        <v>34</v>
      </c>
      <c r="AN44" s="6">
        <f t="shared" si="98"/>
        <v>51000</v>
      </c>
      <c r="AO44" s="6">
        <v>100</v>
      </c>
      <c r="AP44" s="6">
        <f t="shared" si="99"/>
        <v>150000</v>
      </c>
      <c r="AQ44" s="6">
        <v>8</v>
      </c>
      <c r="AR44" s="6">
        <f t="shared" si="100"/>
        <v>12000</v>
      </c>
      <c r="AS44" s="6">
        <v>32</v>
      </c>
      <c r="AT44" s="6">
        <f t="shared" si="112"/>
        <v>48000</v>
      </c>
      <c r="AU44" s="6">
        <v>50</v>
      </c>
      <c r="AV44" s="6">
        <f t="shared" si="101"/>
        <v>75000</v>
      </c>
      <c r="AW44" s="6">
        <v>50</v>
      </c>
      <c r="AX44" s="6">
        <f t="shared" si="102"/>
        <v>75000</v>
      </c>
      <c r="AY44" s="6">
        <v>72</v>
      </c>
      <c r="AZ44" s="6">
        <f t="shared" si="103"/>
        <v>108000</v>
      </c>
      <c r="BA44" s="30">
        <v>75</v>
      </c>
      <c r="BB44" s="6">
        <f t="shared" si="104"/>
        <v>112500</v>
      </c>
      <c r="BC44" s="6">
        <v>73</v>
      </c>
      <c r="BD44" s="6">
        <f t="shared" si="105"/>
        <v>109500</v>
      </c>
      <c r="BE44" s="6">
        <v>136</v>
      </c>
      <c r="BF44" s="6">
        <f t="shared" si="106"/>
        <v>204000</v>
      </c>
      <c r="BG44" s="6">
        <v>54</v>
      </c>
      <c r="BH44" s="6">
        <f t="shared" si="107"/>
        <v>81000</v>
      </c>
      <c r="BI44" s="30"/>
      <c r="BJ44" s="6">
        <f t="shared" si="2"/>
        <v>0</v>
      </c>
      <c r="BK44" s="6">
        <f t="shared" ref="BK44:BL46" si="113">AA44+AC44+AE44+AG44+AI44+AK44+AM44+AO44+AQ44+AS44+AU44+AW44+AY44+BA44+BC44+BE44+BG44+BI44</f>
        <v>1011</v>
      </c>
      <c r="BL44" s="6">
        <f t="shared" si="113"/>
        <v>1516500</v>
      </c>
      <c r="BM44" s="284" t="s">
        <v>209</v>
      </c>
      <c r="BO44" s="286"/>
      <c r="BP44" s="6">
        <f t="shared" si="89"/>
        <v>1516500</v>
      </c>
      <c r="BQ44" s="286"/>
      <c r="BR44" s="286"/>
      <c r="BS44" s="6">
        <f t="shared" si="90"/>
        <v>1516500</v>
      </c>
      <c r="BT44" s="286"/>
      <c r="BU44" s="286"/>
      <c r="BV44" s="286"/>
      <c r="BW44" s="6">
        <f t="shared" si="91"/>
        <v>1516500</v>
      </c>
    </row>
    <row r="45" spans="2:75" ht="47.25" x14ac:dyDescent="0.25">
      <c r="B45" s="809"/>
      <c r="C45" s="288" t="s">
        <v>689</v>
      </c>
      <c r="D45" s="283" t="s">
        <v>854</v>
      </c>
      <c r="E45" s="283"/>
      <c r="F45" s="122">
        <v>0</v>
      </c>
      <c r="G45" s="285">
        <f>BK45</f>
        <v>1011</v>
      </c>
      <c r="H45" s="6">
        <f>BL45</f>
        <v>0</v>
      </c>
      <c r="I45" s="6">
        <f>H45*0.2</f>
        <v>0</v>
      </c>
      <c r="J45" s="6">
        <f>H45*0.8</f>
        <v>0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>
        <f t="shared" ref="W45" si="114">H45*0.25</f>
        <v>0</v>
      </c>
      <c r="X45" s="6">
        <f t="shared" ref="X45" si="115">H45*0.25</f>
        <v>0</v>
      </c>
      <c r="Y45" s="6">
        <f t="shared" ref="Y45" si="116">H45*0.25</f>
        <v>0</v>
      </c>
      <c r="Z45" s="6">
        <f t="shared" ref="Z45" si="117">H45*0.25</f>
        <v>0</v>
      </c>
      <c r="AA45" s="6">
        <v>48</v>
      </c>
      <c r="AB45" s="6">
        <f t="shared" si="92"/>
        <v>0</v>
      </c>
      <c r="AC45" s="6">
        <v>23</v>
      </c>
      <c r="AD45" s="6">
        <f t="shared" si="93"/>
        <v>0</v>
      </c>
      <c r="AE45" s="6">
        <v>58</v>
      </c>
      <c r="AF45" s="6">
        <f t="shared" si="94"/>
        <v>0</v>
      </c>
      <c r="AG45" s="6">
        <v>89</v>
      </c>
      <c r="AH45" s="6">
        <f t="shared" si="95"/>
        <v>0</v>
      </c>
      <c r="AI45" s="6">
        <v>38</v>
      </c>
      <c r="AJ45" s="6">
        <f t="shared" si="96"/>
        <v>0</v>
      </c>
      <c r="AK45" s="6">
        <v>71</v>
      </c>
      <c r="AL45" s="6">
        <f t="shared" si="97"/>
        <v>0</v>
      </c>
      <c r="AM45" s="6">
        <v>34</v>
      </c>
      <c r="AN45" s="6">
        <f t="shared" si="98"/>
        <v>0</v>
      </c>
      <c r="AO45" s="6">
        <v>100</v>
      </c>
      <c r="AP45" s="6">
        <f t="shared" si="99"/>
        <v>0</v>
      </c>
      <c r="AQ45" s="6">
        <v>8</v>
      </c>
      <c r="AR45" s="6">
        <f t="shared" si="100"/>
        <v>0</v>
      </c>
      <c r="AS45" s="6">
        <v>32</v>
      </c>
      <c r="AT45" s="6">
        <f t="shared" si="112"/>
        <v>0</v>
      </c>
      <c r="AU45" s="6">
        <v>50</v>
      </c>
      <c r="AV45" s="6">
        <f t="shared" si="101"/>
        <v>0</v>
      </c>
      <c r="AW45" s="6">
        <v>50</v>
      </c>
      <c r="AX45" s="6">
        <f t="shared" si="102"/>
        <v>0</v>
      </c>
      <c r="AY45" s="6">
        <v>72</v>
      </c>
      <c r="AZ45" s="6">
        <f t="shared" si="103"/>
        <v>0</v>
      </c>
      <c r="BA45" s="30">
        <v>75</v>
      </c>
      <c r="BB45" s="6">
        <f t="shared" si="104"/>
        <v>0</v>
      </c>
      <c r="BC45" s="6">
        <v>73</v>
      </c>
      <c r="BD45" s="6">
        <f t="shared" si="105"/>
        <v>0</v>
      </c>
      <c r="BE45" s="6">
        <v>136</v>
      </c>
      <c r="BF45" s="6">
        <f t="shared" si="106"/>
        <v>0</v>
      </c>
      <c r="BG45" s="6">
        <v>54</v>
      </c>
      <c r="BH45" s="6">
        <f t="shared" si="107"/>
        <v>0</v>
      </c>
      <c r="BI45" s="30"/>
      <c r="BJ45" s="6">
        <f t="shared" si="2"/>
        <v>0</v>
      </c>
      <c r="BK45" s="6">
        <f t="shared" si="113"/>
        <v>1011</v>
      </c>
      <c r="BL45" s="6">
        <f t="shared" si="113"/>
        <v>0</v>
      </c>
      <c r="BM45" s="284" t="s">
        <v>209</v>
      </c>
      <c r="BO45" s="286"/>
      <c r="BP45" s="6">
        <f t="shared" si="89"/>
        <v>0</v>
      </c>
      <c r="BQ45" s="286"/>
      <c r="BR45" s="286"/>
      <c r="BS45" s="6">
        <f t="shared" si="90"/>
        <v>0</v>
      </c>
      <c r="BT45" s="286"/>
      <c r="BU45" s="286"/>
      <c r="BV45" s="286"/>
      <c r="BW45" s="6">
        <f t="shared" si="91"/>
        <v>0</v>
      </c>
    </row>
    <row r="46" spans="2:75" x14ac:dyDescent="0.25">
      <c r="B46" s="809"/>
      <c r="C46" s="288" t="s">
        <v>690</v>
      </c>
      <c r="D46" s="283" t="s">
        <v>628</v>
      </c>
      <c r="E46" s="283"/>
      <c r="F46" s="122">
        <v>30000</v>
      </c>
      <c r="G46" s="285">
        <f>2*12</f>
        <v>24</v>
      </c>
      <c r="H46" s="6">
        <f>G46*F46</f>
        <v>720000</v>
      </c>
      <c r="I46" s="6">
        <f>H46*0.5</f>
        <v>360000</v>
      </c>
      <c r="J46" s="6">
        <f>H46*0.5</f>
        <v>360000</v>
      </c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>
        <f>H46*0.25</f>
        <v>180000</v>
      </c>
      <c r="X46" s="6">
        <f>H46*0.25</f>
        <v>180000</v>
      </c>
      <c r="Y46" s="6">
        <f>H46*0.25</f>
        <v>180000</v>
      </c>
      <c r="Z46" s="6">
        <f>H46*0.25</f>
        <v>180000</v>
      </c>
      <c r="AA46" s="6"/>
      <c r="AB46" s="6"/>
      <c r="AC46" s="6"/>
      <c r="AD46" s="6"/>
      <c r="AE46" s="6">
        <v>0</v>
      </c>
      <c r="AF46" s="6">
        <f t="shared" si="94"/>
        <v>0</v>
      </c>
      <c r="AG46" s="6">
        <v>0</v>
      </c>
      <c r="AH46" s="6">
        <f t="shared" si="95"/>
        <v>0</v>
      </c>
      <c r="AI46" s="6">
        <v>0</v>
      </c>
      <c r="AJ46" s="6">
        <f t="shared" si="96"/>
        <v>0</v>
      </c>
      <c r="AK46" s="6">
        <v>0</v>
      </c>
      <c r="AL46" s="6">
        <f t="shared" si="97"/>
        <v>0</v>
      </c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>
        <v>0</v>
      </c>
      <c r="AX46" s="6">
        <f t="shared" si="102"/>
        <v>0</v>
      </c>
      <c r="AY46" s="6"/>
      <c r="AZ46" s="6"/>
      <c r="BA46" s="30">
        <v>0</v>
      </c>
      <c r="BB46" s="6"/>
      <c r="BC46" s="6"/>
      <c r="BD46" s="6"/>
      <c r="BE46" s="6"/>
      <c r="BF46" s="6"/>
      <c r="BG46" s="6">
        <v>0</v>
      </c>
      <c r="BH46" s="6">
        <f t="shared" si="107"/>
        <v>0</v>
      </c>
      <c r="BI46" s="30">
        <f>2*12</f>
        <v>24</v>
      </c>
      <c r="BJ46" s="6">
        <f t="shared" si="2"/>
        <v>720000</v>
      </c>
      <c r="BK46" s="6">
        <f t="shared" si="113"/>
        <v>24</v>
      </c>
      <c r="BL46" s="6">
        <f t="shared" si="113"/>
        <v>720000</v>
      </c>
      <c r="BM46" s="284" t="s">
        <v>857</v>
      </c>
      <c r="BO46" s="286"/>
      <c r="BP46" s="6">
        <f t="shared" si="89"/>
        <v>720000</v>
      </c>
      <c r="BQ46" s="286"/>
      <c r="BR46" s="286"/>
      <c r="BS46" s="6">
        <f t="shared" si="90"/>
        <v>720000</v>
      </c>
      <c r="BT46" s="286"/>
      <c r="BU46" s="286"/>
      <c r="BV46" s="286"/>
      <c r="BW46" s="6">
        <f t="shared" si="91"/>
        <v>720000</v>
      </c>
    </row>
    <row r="47" spans="2:75" x14ac:dyDescent="0.25">
      <c r="B47" s="809"/>
      <c r="C47" s="288" t="s">
        <v>691</v>
      </c>
      <c r="D47" s="283" t="s">
        <v>303</v>
      </c>
      <c r="E47" s="284" t="s">
        <v>32</v>
      </c>
      <c r="F47" s="122">
        <v>0</v>
      </c>
      <c r="G47" s="285">
        <f t="shared" si="76"/>
        <v>0</v>
      </c>
      <c r="H47" s="6">
        <f t="shared" si="77"/>
        <v>0</v>
      </c>
      <c r="I47" s="6">
        <f t="shared" si="78"/>
        <v>0</v>
      </c>
      <c r="J47" s="6">
        <f t="shared" si="79"/>
        <v>0</v>
      </c>
      <c r="K47" s="285"/>
      <c r="L47" s="6"/>
      <c r="M47" s="285"/>
      <c r="N47" s="6"/>
      <c r="O47" s="285"/>
      <c r="P47" s="6"/>
      <c r="Q47" s="285"/>
      <c r="R47" s="6"/>
      <c r="S47" s="285">
        <f t="shared" si="80"/>
        <v>0</v>
      </c>
      <c r="T47" s="6">
        <f t="shared" si="81"/>
        <v>0</v>
      </c>
      <c r="U47" s="285">
        <f t="shared" si="82"/>
        <v>0</v>
      </c>
      <c r="V47" s="6">
        <f t="shared" si="83"/>
        <v>0</v>
      </c>
      <c r="W47" s="285">
        <f t="shared" si="84"/>
        <v>0</v>
      </c>
      <c r="X47" s="6">
        <f t="shared" si="85"/>
        <v>0</v>
      </c>
      <c r="Y47" s="285">
        <f t="shared" si="86"/>
        <v>0</v>
      </c>
      <c r="Z47" s="6">
        <f t="shared" si="87"/>
        <v>0</v>
      </c>
      <c r="AA47" s="285">
        <v>0</v>
      </c>
      <c r="AB47" s="6">
        <f t="shared" si="92"/>
        <v>0</v>
      </c>
      <c r="AC47" s="285">
        <v>0</v>
      </c>
      <c r="AD47" s="6">
        <f t="shared" si="93"/>
        <v>0</v>
      </c>
      <c r="AE47" s="285">
        <v>0</v>
      </c>
      <c r="AF47" s="6">
        <f t="shared" si="94"/>
        <v>0</v>
      </c>
      <c r="AG47" s="285">
        <v>0</v>
      </c>
      <c r="AH47" s="6">
        <f t="shared" si="95"/>
        <v>0</v>
      </c>
      <c r="AI47" s="285">
        <v>0</v>
      </c>
      <c r="AJ47" s="6">
        <f t="shared" si="96"/>
        <v>0</v>
      </c>
      <c r="AK47" s="285">
        <v>0</v>
      </c>
      <c r="AL47" s="6">
        <f t="shared" si="97"/>
        <v>0</v>
      </c>
      <c r="AM47" s="6">
        <v>0</v>
      </c>
      <c r="AN47" s="6">
        <f>AM47*F47</f>
        <v>0</v>
      </c>
      <c r="AO47" s="6">
        <v>0</v>
      </c>
      <c r="AP47" s="6">
        <f>AO47*F47</f>
        <v>0</v>
      </c>
      <c r="AQ47" s="6">
        <v>0</v>
      </c>
      <c r="AR47" s="6">
        <f>AQ47*F47</f>
        <v>0</v>
      </c>
      <c r="AS47" s="6">
        <v>0</v>
      </c>
      <c r="AT47" s="6">
        <f>AS47*F47</f>
        <v>0</v>
      </c>
      <c r="AU47" s="6">
        <v>0</v>
      </c>
      <c r="AV47" s="6">
        <f>AU47*F47</f>
        <v>0</v>
      </c>
      <c r="AW47" s="6">
        <v>0</v>
      </c>
      <c r="AX47" s="6">
        <f>AW47*F47</f>
        <v>0</v>
      </c>
      <c r="AY47" s="6">
        <v>0</v>
      </c>
      <c r="AZ47" s="6">
        <f>AY47*F47</f>
        <v>0</v>
      </c>
      <c r="BA47" s="30">
        <v>0</v>
      </c>
      <c r="BB47" s="6">
        <f>BA47*F47</f>
        <v>0</v>
      </c>
      <c r="BC47" s="6">
        <v>0</v>
      </c>
      <c r="BD47" s="6">
        <f>BC47*F47</f>
        <v>0</v>
      </c>
      <c r="BE47" s="6">
        <v>0</v>
      </c>
      <c r="BF47" s="6">
        <f>BE47*F47</f>
        <v>0</v>
      </c>
      <c r="BG47" s="6">
        <v>0</v>
      </c>
      <c r="BH47" s="6">
        <f>BG47*F47</f>
        <v>0</v>
      </c>
      <c r="BI47" s="30"/>
      <c r="BJ47" s="6">
        <f t="shared" si="2"/>
        <v>0</v>
      </c>
      <c r="BK47" s="6">
        <f t="shared" si="88"/>
        <v>0</v>
      </c>
      <c r="BL47" s="6">
        <f t="shared" si="88"/>
        <v>0</v>
      </c>
      <c r="BM47" s="284" t="s">
        <v>209</v>
      </c>
      <c r="BN47" s="307"/>
      <c r="BO47" s="6"/>
      <c r="BP47" s="6">
        <f t="shared" si="89"/>
        <v>0</v>
      </c>
      <c r="BQ47" s="6"/>
      <c r="BR47" s="6"/>
      <c r="BS47" s="6">
        <f t="shared" si="90"/>
        <v>0</v>
      </c>
      <c r="BT47" s="6"/>
      <c r="BU47" s="6"/>
      <c r="BV47" s="6"/>
      <c r="BW47" s="6">
        <f t="shared" si="91"/>
        <v>0</v>
      </c>
    </row>
    <row r="48" spans="2:75" x14ac:dyDescent="0.25">
      <c r="B48" s="809"/>
      <c r="C48" s="288" t="s">
        <v>1151</v>
      </c>
      <c r="D48" s="283" t="s">
        <v>1226</v>
      </c>
      <c r="E48" s="284" t="s">
        <v>32</v>
      </c>
      <c r="F48" s="122">
        <v>2500</v>
      </c>
      <c r="G48" s="285">
        <f t="shared" ref="G48" si="118">BK48</f>
        <v>3150</v>
      </c>
      <c r="H48" s="6">
        <f t="shared" ref="H48" si="119">BL48</f>
        <v>7875000</v>
      </c>
      <c r="I48" s="6">
        <f t="shared" ref="I48" si="120">H48*0.2</f>
        <v>1575000</v>
      </c>
      <c r="J48" s="6">
        <f t="shared" ref="J48" si="121">H48*0.8</f>
        <v>6300000</v>
      </c>
      <c r="K48" s="285"/>
      <c r="L48" s="6"/>
      <c r="M48" s="285"/>
      <c r="N48" s="6"/>
      <c r="O48" s="285"/>
      <c r="P48" s="6"/>
      <c r="Q48" s="285"/>
      <c r="R48" s="6"/>
      <c r="S48" s="285">
        <f>G48*0.4</f>
        <v>1260</v>
      </c>
      <c r="T48" s="6">
        <f>G48*0.4</f>
        <v>1260</v>
      </c>
      <c r="U48" s="285">
        <f>G48*0.2</f>
        <v>630</v>
      </c>
      <c r="V48" s="6">
        <f>G48*0</f>
        <v>0</v>
      </c>
      <c r="W48" s="285">
        <f t="shared" ref="W48" si="122">S48*F48</f>
        <v>3150000</v>
      </c>
      <c r="X48" s="6">
        <f t="shared" ref="X48" si="123">T48*F48</f>
        <v>3150000</v>
      </c>
      <c r="Y48" s="285">
        <f t="shared" ref="Y48" si="124">U48*F48</f>
        <v>1575000</v>
      </c>
      <c r="Z48" s="6">
        <f t="shared" ref="Z48" si="125">V48*F48</f>
        <v>0</v>
      </c>
      <c r="AA48" s="285">
        <f>31*10</f>
        <v>310</v>
      </c>
      <c r="AB48" s="6">
        <f t="shared" ref="AB48:AB49" si="126">AA48*F48</f>
        <v>775000</v>
      </c>
      <c r="AC48" s="285">
        <f>15*10</f>
        <v>150</v>
      </c>
      <c r="AD48" s="6">
        <f t="shared" ref="AD48:AD49" si="127">AC48*F48</f>
        <v>375000</v>
      </c>
      <c r="AE48" s="285">
        <f>22*10</f>
        <v>220</v>
      </c>
      <c r="AF48" s="6">
        <f t="shared" ref="AF48:AF49" si="128">AE48*F48</f>
        <v>550000</v>
      </c>
      <c r="AG48" s="285">
        <f>32*10</f>
        <v>320</v>
      </c>
      <c r="AH48" s="6">
        <f t="shared" ref="AH48:AH49" si="129">AG48*F48</f>
        <v>800000</v>
      </c>
      <c r="AI48" s="285">
        <f>20*10</f>
        <v>200</v>
      </c>
      <c r="AJ48" s="6">
        <f t="shared" ref="AJ48:AJ49" si="130">AI48*F48</f>
        <v>500000</v>
      </c>
      <c r="AK48" s="285">
        <f>22*10</f>
        <v>220</v>
      </c>
      <c r="AL48" s="6">
        <f t="shared" ref="AL48:AL49" si="131">AK48*F48</f>
        <v>550000</v>
      </c>
      <c r="AM48" s="6">
        <f>18*10</f>
        <v>180</v>
      </c>
      <c r="AN48" s="6">
        <f>AM48*F48</f>
        <v>450000</v>
      </c>
      <c r="AO48" s="6">
        <f>10*10</f>
        <v>100</v>
      </c>
      <c r="AP48" s="6">
        <f>AO48*F48</f>
        <v>250000</v>
      </c>
      <c r="AQ48" s="6">
        <f>13*10</f>
        <v>130</v>
      </c>
      <c r="AR48" s="6">
        <f>AQ48*F48</f>
        <v>325000</v>
      </c>
      <c r="AS48" s="6">
        <f>14*10</f>
        <v>140</v>
      </c>
      <c r="AT48" s="6">
        <f>AS48*F48</f>
        <v>350000</v>
      </c>
      <c r="AU48" s="6">
        <f>22*10</f>
        <v>220</v>
      </c>
      <c r="AV48" s="6">
        <f>AU48*F48</f>
        <v>550000</v>
      </c>
      <c r="AW48" s="6">
        <f>17*10</f>
        <v>170</v>
      </c>
      <c r="AX48" s="6">
        <f>AW48*F48</f>
        <v>425000</v>
      </c>
      <c r="AY48" s="6">
        <f>11*10</f>
        <v>110</v>
      </c>
      <c r="AZ48" s="6">
        <f>AY48*F48</f>
        <v>275000</v>
      </c>
      <c r="BA48" s="30">
        <f>16*10</f>
        <v>160</v>
      </c>
      <c r="BB48" s="6">
        <f>BA48*F48</f>
        <v>400000</v>
      </c>
      <c r="BC48" s="6">
        <f>26*10</f>
        <v>260</v>
      </c>
      <c r="BD48" s="6">
        <f>BC48*F48</f>
        <v>650000</v>
      </c>
      <c r="BE48" s="6">
        <f>13*10</f>
        <v>130</v>
      </c>
      <c r="BF48" s="6">
        <f>BE48*F48</f>
        <v>325000</v>
      </c>
      <c r="BG48" s="6">
        <f>13*10</f>
        <v>130</v>
      </c>
      <c r="BH48" s="6">
        <f>BG48*F48</f>
        <v>325000</v>
      </c>
      <c r="BI48" s="30"/>
      <c r="BJ48" s="6">
        <f t="shared" ref="BJ48" si="132">BI48*F48</f>
        <v>0</v>
      </c>
      <c r="BK48" s="6">
        <f t="shared" ref="BK48" si="133">AA48+AC48+AE48+AG48+AI48+AK48+AM48+AO48+AQ48+AS48+AU48+AW48+AY48+BA48+BC48+BE48+BG48+BI48</f>
        <v>3150</v>
      </c>
      <c r="BL48" s="6">
        <f t="shared" ref="BL48" si="134">AB48+AD48+AF48+AH48+AJ48+AL48+AN48+AP48+AR48+AT48+AV48+AX48+AZ48+BB48+BD48+BF48+BH48+BJ48</f>
        <v>7875000</v>
      </c>
      <c r="BM48" s="284" t="s">
        <v>209</v>
      </c>
      <c r="BN48" s="307"/>
      <c r="BO48" s="6"/>
      <c r="BP48" s="6">
        <f t="shared" ref="BP48" si="135">BL48</f>
        <v>7875000</v>
      </c>
      <c r="BQ48" s="6"/>
      <c r="BR48" s="6"/>
      <c r="BS48" s="6">
        <f t="shared" ref="BS48" si="136">BR48+BQ48+BP48+BO48</f>
        <v>7875000</v>
      </c>
      <c r="BT48" s="6"/>
      <c r="BU48" s="6"/>
      <c r="BV48" s="6"/>
      <c r="BW48" s="6">
        <f t="shared" ref="BW48" si="137">BV48+BS48</f>
        <v>7875000</v>
      </c>
    </row>
    <row r="49" spans="2:75" x14ac:dyDescent="0.25">
      <c r="B49" s="809"/>
      <c r="C49" s="288" t="s">
        <v>692</v>
      </c>
      <c r="D49" s="314" t="s">
        <v>1176</v>
      </c>
      <c r="E49" s="284" t="s">
        <v>536</v>
      </c>
      <c r="F49" s="122">
        <v>0</v>
      </c>
      <c r="G49" s="285">
        <f t="shared" si="76"/>
        <v>0</v>
      </c>
      <c r="H49" s="6">
        <f t="shared" si="77"/>
        <v>0</v>
      </c>
      <c r="I49" s="6">
        <f t="shared" si="78"/>
        <v>0</v>
      </c>
      <c r="J49" s="6">
        <f t="shared" si="79"/>
        <v>0</v>
      </c>
      <c r="K49" s="6"/>
      <c r="L49" s="6"/>
      <c r="M49" s="6"/>
      <c r="N49" s="6"/>
      <c r="O49" s="6"/>
      <c r="P49" s="6"/>
      <c r="Q49" s="6"/>
      <c r="R49" s="6"/>
      <c r="S49" s="6">
        <f t="shared" si="80"/>
        <v>0</v>
      </c>
      <c r="T49" s="6">
        <f t="shared" si="81"/>
        <v>0</v>
      </c>
      <c r="U49" s="6">
        <f t="shared" si="82"/>
        <v>0</v>
      </c>
      <c r="V49" s="6">
        <f t="shared" si="83"/>
        <v>0</v>
      </c>
      <c r="W49" s="6">
        <f t="shared" si="84"/>
        <v>0</v>
      </c>
      <c r="X49" s="6">
        <f t="shared" si="85"/>
        <v>0</v>
      </c>
      <c r="Y49" s="6">
        <f t="shared" si="86"/>
        <v>0</v>
      </c>
      <c r="Z49" s="6">
        <f t="shared" si="87"/>
        <v>0</v>
      </c>
      <c r="AA49" s="6">
        <v>0</v>
      </c>
      <c r="AB49" s="6">
        <f t="shared" si="126"/>
        <v>0</v>
      </c>
      <c r="AC49" s="6">
        <v>0</v>
      </c>
      <c r="AD49" s="6">
        <f t="shared" si="127"/>
        <v>0</v>
      </c>
      <c r="AE49" s="6">
        <v>0</v>
      </c>
      <c r="AF49" s="6">
        <f t="shared" si="128"/>
        <v>0</v>
      </c>
      <c r="AG49" s="6">
        <v>0</v>
      </c>
      <c r="AH49" s="6">
        <f t="shared" si="129"/>
        <v>0</v>
      </c>
      <c r="AI49" s="6">
        <v>0</v>
      </c>
      <c r="AJ49" s="6">
        <f t="shared" si="130"/>
        <v>0</v>
      </c>
      <c r="AK49" s="6">
        <v>0</v>
      </c>
      <c r="AL49" s="6">
        <f t="shared" si="131"/>
        <v>0</v>
      </c>
      <c r="AM49" s="6">
        <v>0</v>
      </c>
      <c r="AN49" s="6">
        <f>AM49*F49</f>
        <v>0</v>
      </c>
      <c r="AO49" s="6">
        <v>0</v>
      </c>
      <c r="AP49" s="6">
        <f>AO49*F49</f>
        <v>0</v>
      </c>
      <c r="AQ49" s="6">
        <v>0</v>
      </c>
      <c r="AR49" s="6">
        <f>AQ49*F49</f>
        <v>0</v>
      </c>
      <c r="AS49" s="6">
        <v>0</v>
      </c>
      <c r="AT49" s="6">
        <f>AS49*F49</f>
        <v>0</v>
      </c>
      <c r="AU49" s="6">
        <v>0</v>
      </c>
      <c r="AV49" s="6">
        <f>AU49*F49</f>
        <v>0</v>
      </c>
      <c r="AW49" s="6">
        <v>0</v>
      </c>
      <c r="AX49" s="6">
        <f>AW49*F49</f>
        <v>0</v>
      </c>
      <c r="AY49" s="6">
        <v>0</v>
      </c>
      <c r="AZ49" s="6">
        <f>AY49*F49</f>
        <v>0</v>
      </c>
      <c r="BA49" s="30">
        <v>0</v>
      </c>
      <c r="BB49" s="6">
        <f>BA49*F49</f>
        <v>0</v>
      </c>
      <c r="BC49" s="6">
        <v>0</v>
      </c>
      <c r="BD49" s="6">
        <f>BC49*F49</f>
        <v>0</v>
      </c>
      <c r="BE49" s="6">
        <v>0</v>
      </c>
      <c r="BF49" s="6">
        <f>BE49*F49</f>
        <v>0</v>
      </c>
      <c r="BG49" s="6">
        <v>0</v>
      </c>
      <c r="BH49" s="6">
        <f>BG49*F49</f>
        <v>0</v>
      </c>
      <c r="BI49" s="30"/>
      <c r="BJ49" s="6"/>
      <c r="BK49" s="6">
        <f t="shared" si="88"/>
        <v>0</v>
      </c>
      <c r="BL49" s="6">
        <f t="shared" si="88"/>
        <v>0</v>
      </c>
      <c r="BM49" s="284" t="s">
        <v>209</v>
      </c>
      <c r="BN49" s="128"/>
      <c r="BO49" s="6"/>
      <c r="BP49" s="6">
        <f t="shared" si="89"/>
        <v>0</v>
      </c>
      <c r="BQ49" s="6"/>
      <c r="BR49" s="6"/>
      <c r="BS49" s="6">
        <f t="shared" si="90"/>
        <v>0</v>
      </c>
      <c r="BT49" s="6"/>
      <c r="BU49" s="6"/>
      <c r="BV49" s="6"/>
      <c r="BW49" s="6">
        <f t="shared" si="91"/>
        <v>0</v>
      </c>
    </row>
    <row r="50" spans="2:75" s="134" customFormat="1" x14ac:dyDescent="0.25">
      <c r="B50" s="809"/>
      <c r="C50" s="293"/>
      <c r="D50" s="294" t="s">
        <v>475</v>
      </c>
      <c r="E50" s="297" t="s">
        <v>111</v>
      </c>
      <c r="F50" s="305" t="s">
        <v>111</v>
      </c>
      <c r="G50" s="135">
        <f t="shared" ref="G50:AL50" si="138">SUM(G39:G49)</f>
        <v>23476</v>
      </c>
      <c r="H50" s="135">
        <f t="shared" si="138"/>
        <v>42209500</v>
      </c>
      <c r="I50" s="135">
        <f t="shared" si="138"/>
        <v>8657900</v>
      </c>
      <c r="J50" s="135">
        <f t="shared" si="138"/>
        <v>33551600</v>
      </c>
      <c r="K50" s="135">
        <f t="shared" si="138"/>
        <v>0</v>
      </c>
      <c r="L50" s="135">
        <f t="shared" si="138"/>
        <v>0</v>
      </c>
      <c r="M50" s="135">
        <f t="shared" si="138"/>
        <v>0</v>
      </c>
      <c r="N50" s="135">
        <f t="shared" si="138"/>
        <v>0</v>
      </c>
      <c r="O50" s="135">
        <f t="shared" si="138"/>
        <v>0</v>
      </c>
      <c r="P50" s="135">
        <f t="shared" si="138"/>
        <v>0</v>
      </c>
      <c r="Q50" s="135">
        <f t="shared" si="138"/>
        <v>0</v>
      </c>
      <c r="R50" s="135">
        <f t="shared" si="138"/>
        <v>0</v>
      </c>
      <c r="S50" s="135">
        <f t="shared" si="138"/>
        <v>5812.5</v>
      </c>
      <c r="T50" s="135">
        <f t="shared" si="138"/>
        <v>5812.5</v>
      </c>
      <c r="U50" s="135">
        <f t="shared" si="138"/>
        <v>5182.5</v>
      </c>
      <c r="V50" s="135">
        <f t="shared" si="138"/>
        <v>4552.5</v>
      </c>
      <c r="W50" s="135">
        <f t="shared" si="138"/>
        <v>12112750</v>
      </c>
      <c r="X50" s="135">
        <f t="shared" si="138"/>
        <v>11961100</v>
      </c>
      <c r="Y50" s="135">
        <f t="shared" si="138"/>
        <v>9931150</v>
      </c>
      <c r="Z50" s="135">
        <f t="shared" si="138"/>
        <v>8204500</v>
      </c>
      <c r="AA50" s="135">
        <f t="shared" si="138"/>
        <v>1274</v>
      </c>
      <c r="AB50" s="135">
        <f t="shared" si="138"/>
        <v>2387000</v>
      </c>
      <c r="AC50" s="135">
        <f t="shared" si="138"/>
        <v>614</v>
      </c>
      <c r="AD50" s="135">
        <f t="shared" si="138"/>
        <v>1199500</v>
      </c>
      <c r="AE50" s="135">
        <f t="shared" si="138"/>
        <v>1384</v>
      </c>
      <c r="AF50" s="135">
        <f t="shared" si="138"/>
        <v>2477000</v>
      </c>
      <c r="AG50" s="135">
        <f t="shared" si="138"/>
        <v>2104</v>
      </c>
      <c r="AH50" s="135">
        <f t="shared" si="138"/>
        <v>3703500</v>
      </c>
      <c r="AI50" s="135">
        <f t="shared" si="138"/>
        <v>964</v>
      </c>
      <c r="AJ50" s="135">
        <f t="shared" si="138"/>
        <v>1797000</v>
      </c>
      <c r="AK50" s="135">
        <f t="shared" si="138"/>
        <v>1644</v>
      </c>
      <c r="AL50" s="135">
        <f t="shared" si="138"/>
        <v>2886500</v>
      </c>
      <c r="AM50" s="135">
        <f t="shared" ref="AM50:BR50" si="139">SUM(AM39:AM49)</f>
        <v>864</v>
      </c>
      <c r="AN50" s="135">
        <f t="shared" si="139"/>
        <v>1621000</v>
      </c>
      <c r="AO50" s="135">
        <f t="shared" si="139"/>
        <v>2106</v>
      </c>
      <c r="AP50" s="135">
        <f t="shared" si="139"/>
        <v>3550000</v>
      </c>
      <c r="AQ50" s="135">
        <f t="shared" si="139"/>
        <v>292</v>
      </c>
      <c r="AR50" s="135">
        <f t="shared" si="139"/>
        <v>627000</v>
      </c>
      <c r="AS50" s="135">
        <f t="shared" si="139"/>
        <v>784</v>
      </c>
      <c r="AT50" s="135">
        <f t="shared" si="139"/>
        <v>1458000</v>
      </c>
      <c r="AU50" s="135">
        <f t="shared" si="139"/>
        <v>1224</v>
      </c>
      <c r="AV50" s="135">
        <f t="shared" si="139"/>
        <v>2225000</v>
      </c>
      <c r="AW50" s="135">
        <f t="shared" si="139"/>
        <v>1174</v>
      </c>
      <c r="AX50" s="135">
        <f t="shared" si="139"/>
        <v>2100000</v>
      </c>
      <c r="AY50" s="135">
        <f t="shared" si="139"/>
        <v>1554</v>
      </c>
      <c r="AZ50" s="135">
        <f t="shared" si="139"/>
        <v>2643000</v>
      </c>
      <c r="BA50" s="135">
        <f t="shared" si="139"/>
        <v>1664</v>
      </c>
      <c r="BB50" s="135">
        <f t="shared" si="139"/>
        <v>2862500</v>
      </c>
      <c r="BC50" s="135">
        <f t="shared" si="139"/>
        <v>1724</v>
      </c>
      <c r="BD50" s="135">
        <f t="shared" si="139"/>
        <v>3049500</v>
      </c>
      <c r="BE50" s="135">
        <f t="shared" si="139"/>
        <v>2868</v>
      </c>
      <c r="BF50" s="135">
        <f t="shared" si="139"/>
        <v>4777000</v>
      </c>
      <c r="BG50" s="135">
        <f t="shared" si="139"/>
        <v>1214</v>
      </c>
      <c r="BH50" s="135">
        <f t="shared" si="139"/>
        <v>2126000</v>
      </c>
      <c r="BI50" s="135">
        <f t="shared" si="139"/>
        <v>24</v>
      </c>
      <c r="BJ50" s="135">
        <f t="shared" si="139"/>
        <v>720000</v>
      </c>
      <c r="BK50" s="135">
        <f t="shared" si="139"/>
        <v>23476</v>
      </c>
      <c r="BL50" s="135">
        <f t="shared" si="139"/>
        <v>42209500</v>
      </c>
      <c r="BM50" s="135">
        <f t="shared" si="139"/>
        <v>0</v>
      </c>
      <c r="BN50" s="135">
        <f t="shared" si="139"/>
        <v>0</v>
      </c>
      <c r="BO50" s="135">
        <f t="shared" si="139"/>
        <v>0</v>
      </c>
      <c r="BP50" s="135">
        <f t="shared" si="139"/>
        <v>42209500</v>
      </c>
      <c r="BQ50" s="135">
        <f t="shared" si="139"/>
        <v>0</v>
      </c>
      <c r="BR50" s="135">
        <f t="shared" si="139"/>
        <v>0</v>
      </c>
      <c r="BS50" s="135">
        <f t="shared" ref="BS50:BW50" si="140">SUM(BS39:BS49)</f>
        <v>42209500</v>
      </c>
      <c r="BT50" s="135">
        <f t="shared" si="140"/>
        <v>0</v>
      </c>
      <c r="BU50" s="135">
        <f t="shared" si="140"/>
        <v>1104000</v>
      </c>
      <c r="BV50" s="135">
        <f t="shared" si="140"/>
        <v>1104000</v>
      </c>
      <c r="BW50" s="135">
        <f t="shared" si="140"/>
        <v>43313500</v>
      </c>
    </row>
    <row r="51" spans="2:75" x14ac:dyDescent="0.25">
      <c r="B51" s="809"/>
      <c r="C51" s="288"/>
      <c r="D51" s="294" t="s">
        <v>476</v>
      </c>
      <c r="E51" s="284"/>
      <c r="F51" s="122"/>
      <c r="G51" s="284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30"/>
      <c r="BJ51" s="6"/>
      <c r="BK51" s="6"/>
      <c r="BL51" s="6"/>
      <c r="BM51" s="284"/>
      <c r="BN51" s="128"/>
      <c r="BO51" s="6"/>
      <c r="BP51" s="6">
        <f>H51</f>
        <v>0</v>
      </c>
      <c r="BQ51" s="6"/>
      <c r="BR51" s="6"/>
      <c r="BS51" s="6">
        <f>BO51+BP51+BQ51+BR51</f>
        <v>0</v>
      </c>
      <c r="BT51" s="6"/>
      <c r="BU51" s="6"/>
      <c r="BV51" s="6"/>
      <c r="BW51" s="6"/>
    </row>
    <row r="52" spans="2:75" x14ac:dyDescent="0.25">
      <c r="B52" s="809"/>
      <c r="C52" s="288" t="s">
        <v>693</v>
      </c>
      <c r="D52" s="283" t="s">
        <v>488</v>
      </c>
      <c r="E52" s="284" t="s">
        <v>32</v>
      </c>
      <c r="F52" s="122">
        <v>200000</v>
      </c>
      <c r="G52" s="285">
        <f t="shared" ref="G52:H54" si="141">BK52</f>
        <v>0</v>
      </c>
      <c r="H52" s="285">
        <f t="shared" si="141"/>
        <v>0</v>
      </c>
      <c r="I52" s="6"/>
      <c r="J52" s="6">
        <f>H52</f>
        <v>0</v>
      </c>
      <c r="K52" s="6"/>
      <c r="L52" s="6"/>
      <c r="M52" s="6"/>
      <c r="N52" s="6"/>
      <c r="O52" s="6"/>
      <c r="P52" s="6"/>
      <c r="Q52" s="6"/>
      <c r="R52" s="6"/>
      <c r="S52" s="6">
        <f>G52*0.25</f>
        <v>0</v>
      </c>
      <c r="T52" s="6">
        <f>G52*0.25</f>
        <v>0</v>
      </c>
      <c r="U52" s="6">
        <f>G52*0.25</f>
        <v>0</v>
      </c>
      <c r="V52" s="6">
        <f>G52*0.25</f>
        <v>0</v>
      </c>
      <c r="W52" s="6">
        <f>S52*F52</f>
        <v>0</v>
      </c>
      <c r="X52" s="6">
        <f>T52*F52</f>
        <v>0</v>
      </c>
      <c r="Y52" s="6">
        <f>U52*F52</f>
        <v>0</v>
      </c>
      <c r="Z52" s="6">
        <f>V52*F52</f>
        <v>0</v>
      </c>
      <c r="AA52" s="6"/>
      <c r="AB52" s="6"/>
      <c r="AC52" s="6">
        <f>AB52*F52</f>
        <v>0</v>
      </c>
      <c r="AD52" s="6"/>
      <c r="AE52" s="6">
        <f>AD52*F52</f>
        <v>0</v>
      </c>
      <c r="AF52" s="6"/>
      <c r="AG52" s="6">
        <f>AF52*F52</f>
        <v>0</v>
      </c>
      <c r="AH52" s="6"/>
      <c r="AI52" s="6">
        <f>AH52*F52</f>
        <v>0</v>
      </c>
      <c r="AJ52" s="6"/>
      <c r="AK52" s="6">
        <f>AJ52*F52</f>
        <v>0</v>
      </c>
      <c r="AL52" s="6"/>
      <c r="AM52" s="6">
        <f>AL52*F52</f>
        <v>0</v>
      </c>
      <c r="AN52" s="6"/>
      <c r="AO52" s="6">
        <v>0</v>
      </c>
      <c r="AP52" s="6">
        <f>AO52*F52</f>
        <v>0</v>
      </c>
      <c r="AQ52" s="6"/>
      <c r="AR52" s="6"/>
      <c r="AS52" s="6">
        <f>AR52*F52</f>
        <v>0</v>
      </c>
      <c r="AT52" s="6"/>
      <c r="AU52" s="6">
        <f>AT52*F52</f>
        <v>0</v>
      </c>
      <c r="AV52" s="6"/>
      <c r="AW52" s="6">
        <v>0</v>
      </c>
      <c r="AX52" s="6">
        <f>AW52*F52</f>
        <v>0</v>
      </c>
      <c r="AY52" s="6">
        <v>0</v>
      </c>
      <c r="AZ52" s="6">
        <f>AY52*F52</f>
        <v>0</v>
      </c>
      <c r="BA52" s="6">
        <v>0</v>
      </c>
      <c r="BB52" s="6"/>
      <c r="BC52" s="6">
        <v>0</v>
      </c>
      <c r="BD52" s="6">
        <f>BC52*F52</f>
        <v>0</v>
      </c>
      <c r="BE52" s="6">
        <v>0</v>
      </c>
      <c r="BF52" s="6">
        <f>BE52*F52</f>
        <v>0</v>
      </c>
      <c r="BG52" s="6"/>
      <c r="BH52" s="30"/>
      <c r="BI52" s="6">
        <v>0</v>
      </c>
      <c r="BJ52" s="300">
        <v>0</v>
      </c>
      <c r="BK52" s="6">
        <f t="shared" ref="BK52:BL54" si="142">AA52+AC52+AE52+AG52+AI52+AK52+AM52+AO52+AQ52+AS52+AU52+AW52+AY52+BA52+BC52+BE52+BG52+BI52</f>
        <v>0</v>
      </c>
      <c r="BL52" s="6">
        <f t="shared" si="142"/>
        <v>0</v>
      </c>
      <c r="BM52" s="284" t="s">
        <v>210</v>
      </c>
      <c r="BN52" s="128"/>
      <c r="BO52" s="6"/>
      <c r="BP52" s="6">
        <f>BL52</f>
        <v>0</v>
      </c>
      <c r="BQ52" s="6"/>
      <c r="BR52" s="6"/>
      <c r="BS52" s="6">
        <f>BR52+BQ52+BP52+BO52</f>
        <v>0</v>
      </c>
      <c r="BT52" s="6"/>
      <c r="BU52" s="6"/>
      <c r="BV52" s="6"/>
      <c r="BW52" s="6">
        <f>BV52+BS52</f>
        <v>0</v>
      </c>
    </row>
    <row r="53" spans="2:75" x14ac:dyDescent="0.25">
      <c r="B53" s="809"/>
      <c r="C53" s="288" t="s">
        <v>694</v>
      </c>
      <c r="D53" s="283" t="s">
        <v>858</v>
      </c>
      <c r="E53" s="284" t="s">
        <v>32</v>
      </c>
      <c r="F53" s="308">
        <v>250000</v>
      </c>
      <c r="G53" s="285">
        <f t="shared" si="141"/>
        <v>11</v>
      </c>
      <c r="H53" s="285">
        <f t="shared" si="141"/>
        <v>2750000</v>
      </c>
      <c r="I53" s="6">
        <f>H53*0</f>
        <v>0</v>
      </c>
      <c r="J53" s="6">
        <f>H53*1</f>
        <v>2750000</v>
      </c>
      <c r="K53" s="6"/>
      <c r="L53" s="6"/>
      <c r="M53" s="6"/>
      <c r="N53" s="6"/>
      <c r="O53" s="6"/>
      <c r="P53" s="6"/>
      <c r="Q53" s="6"/>
      <c r="R53" s="6"/>
      <c r="S53" s="30">
        <v>8</v>
      </c>
      <c r="T53" s="30">
        <v>3</v>
      </c>
      <c r="U53" s="30">
        <v>0</v>
      </c>
      <c r="V53" s="30">
        <v>0</v>
      </c>
      <c r="W53" s="6">
        <f>H53*0.8</f>
        <v>2200000</v>
      </c>
      <c r="X53" s="6">
        <f>H53*0.2</f>
        <v>550000</v>
      </c>
      <c r="Y53" s="6">
        <f>H53*0</f>
        <v>0</v>
      </c>
      <c r="Z53" s="6">
        <f>H53*0</f>
        <v>0</v>
      </c>
      <c r="AA53" s="6">
        <v>0</v>
      </c>
      <c r="AB53" s="6">
        <f>AA53*F53</f>
        <v>0</v>
      </c>
      <c r="AC53" s="6">
        <v>0</v>
      </c>
      <c r="AD53" s="6">
        <f>AC53*F53</f>
        <v>0</v>
      </c>
      <c r="AE53" s="6">
        <v>0</v>
      </c>
      <c r="AF53" s="6">
        <f>AE53*F53</f>
        <v>0</v>
      </c>
      <c r="AG53" s="6">
        <v>0</v>
      </c>
      <c r="AH53" s="6">
        <f>AG53*F53</f>
        <v>0</v>
      </c>
      <c r="AI53" s="6">
        <v>0</v>
      </c>
      <c r="AJ53" s="6">
        <f>AI53*F53</f>
        <v>0</v>
      </c>
      <c r="AK53" s="6">
        <v>0</v>
      </c>
      <c r="AL53" s="6">
        <f>(AK53*F53)</f>
        <v>0</v>
      </c>
      <c r="AM53" s="6">
        <v>0</v>
      </c>
      <c r="AN53" s="6">
        <f>AM53*F53</f>
        <v>0</v>
      </c>
      <c r="AO53" s="6">
        <v>11</v>
      </c>
      <c r="AP53" s="6">
        <f>AO53*F53</f>
        <v>2750000</v>
      </c>
      <c r="AQ53" s="6">
        <v>0</v>
      </c>
      <c r="AR53" s="6">
        <f>AQ53*F53</f>
        <v>0</v>
      </c>
      <c r="AS53" s="6">
        <v>0</v>
      </c>
      <c r="AT53" s="6">
        <v>0</v>
      </c>
      <c r="AU53" s="6">
        <v>0</v>
      </c>
      <c r="AV53" s="6">
        <f>AU53*F53</f>
        <v>0</v>
      </c>
      <c r="AW53" s="6">
        <v>0</v>
      </c>
      <c r="AX53" s="6">
        <f>AW53*F53</f>
        <v>0</v>
      </c>
      <c r="AY53" s="6">
        <v>0</v>
      </c>
      <c r="AZ53" s="6">
        <f>AY53*F53</f>
        <v>0</v>
      </c>
      <c r="BA53" s="6">
        <v>0</v>
      </c>
      <c r="BB53" s="6">
        <f>BA53*F53</f>
        <v>0</v>
      </c>
      <c r="BC53" s="6">
        <v>0</v>
      </c>
      <c r="BD53" s="6">
        <f>BC53*F53</f>
        <v>0</v>
      </c>
      <c r="BE53" s="6">
        <v>0</v>
      </c>
      <c r="BF53" s="6">
        <f>BE53*F53</f>
        <v>0</v>
      </c>
      <c r="BG53" s="6">
        <v>0</v>
      </c>
      <c r="BH53" s="6">
        <f>BG53*F53</f>
        <v>0</v>
      </c>
      <c r="BI53" s="30"/>
      <c r="BJ53" s="6">
        <f t="shared" si="2"/>
        <v>0</v>
      </c>
      <c r="BK53" s="6">
        <f t="shared" si="142"/>
        <v>11</v>
      </c>
      <c r="BL53" s="6">
        <f t="shared" si="142"/>
        <v>2750000</v>
      </c>
      <c r="BM53" s="284" t="s">
        <v>210</v>
      </c>
      <c r="BO53" s="6">
        <f t="shared" ref="BO53:BV53" si="143">SUM(BO50:BO51)</f>
        <v>0</v>
      </c>
      <c r="BP53" s="6">
        <f>BL53</f>
        <v>2750000</v>
      </c>
      <c r="BQ53" s="6">
        <f t="shared" si="143"/>
        <v>0</v>
      </c>
      <c r="BR53" s="6">
        <f t="shared" si="143"/>
        <v>0</v>
      </c>
      <c r="BS53" s="6">
        <f>BR53+BQ53+BP53+BO53</f>
        <v>2750000</v>
      </c>
      <c r="BT53" s="6">
        <f t="shared" si="143"/>
        <v>0</v>
      </c>
      <c r="BU53" s="6">
        <f t="shared" si="143"/>
        <v>1104000</v>
      </c>
      <c r="BV53" s="6">
        <f t="shared" si="143"/>
        <v>1104000</v>
      </c>
      <c r="BW53" s="6">
        <f>BV53+BS53</f>
        <v>3854000</v>
      </c>
    </row>
    <row r="54" spans="2:75" x14ac:dyDescent="0.25">
      <c r="B54" s="809"/>
      <c r="C54" s="266" t="s">
        <v>695</v>
      </c>
      <c r="D54" s="283" t="s">
        <v>859</v>
      </c>
      <c r="E54" s="284" t="s">
        <v>32</v>
      </c>
      <c r="F54" s="122">
        <v>300000</v>
      </c>
      <c r="G54" s="285">
        <f t="shared" si="141"/>
        <v>121</v>
      </c>
      <c r="H54" s="285">
        <f t="shared" si="141"/>
        <v>36300000</v>
      </c>
      <c r="I54" s="6">
        <f>H54*0</f>
        <v>0</v>
      </c>
      <c r="J54" s="6">
        <f>H54*1</f>
        <v>36300000</v>
      </c>
      <c r="K54" s="6"/>
      <c r="L54" s="6"/>
      <c r="M54" s="6"/>
      <c r="N54" s="6"/>
      <c r="O54" s="6"/>
      <c r="P54" s="6"/>
      <c r="Q54" s="6"/>
      <c r="R54" s="6"/>
      <c r="S54" s="6">
        <v>142</v>
      </c>
      <c r="T54" s="6">
        <v>36</v>
      </c>
      <c r="U54" s="6">
        <v>0</v>
      </c>
      <c r="V54" s="6">
        <v>0</v>
      </c>
      <c r="W54" s="6">
        <f>H54*0.8</f>
        <v>29040000</v>
      </c>
      <c r="X54" s="6">
        <f>H54*0.2</f>
        <v>7260000</v>
      </c>
      <c r="Y54" s="6">
        <f>H54*0</f>
        <v>0</v>
      </c>
      <c r="Z54" s="6">
        <f>H54*0</f>
        <v>0</v>
      </c>
      <c r="AA54" s="6">
        <f>8</f>
        <v>8</v>
      </c>
      <c r="AB54" s="6">
        <f>AA54*F54</f>
        <v>2400000</v>
      </c>
      <c r="AC54" s="6">
        <f>2</f>
        <v>2</v>
      </c>
      <c r="AD54" s="6">
        <f>AC54*F54</f>
        <v>600000</v>
      </c>
      <c r="AE54" s="6">
        <f>9</f>
        <v>9</v>
      </c>
      <c r="AF54" s="6">
        <f>AE54*F54</f>
        <v>2700000</v>
      </c>
      <c r="AG54" s="6">
        <f>10</f>
        <v>10</v>
      </c>
      <c r="AH54" s="6">
        <f>AG54*F54</f>
        <v>3000000</v>
      </c>
      <c r="AI54" s="6">
        <f>3</f>
        <v>3</v>
      </c>
      <c r="AJ54" s="6">
        <f>AI54*F54</f>
        <v>900000</v>
      </c>
      <c r="AK54" s="6">
        <f>10+10</f>
        <v>20</v>
      </c>
      <c r="AL54" s="6">
        <f>AK54*F54</f>
        <v>6000000</v>
      </c>
      <c r="AM54" s="6">
        <f>8+0</f>
        <v>8</v>
      </c>
      <c r="AN54" s="6">
        <f>AM54*F54</f>
        <v>2400000</v>
      </c>
      <c r="AO54" s="6">
        <v>0</v>
      </c>
      <c r="AP54" s="6">
        <f>AO54*F54</f>
        <v>0</v>
      </c>
      <c r="AQ54" s="6">
        <v>5</v>
      </c>
      <c r="AR54" s="6">
        <f>AQ54*F54</f>
        <v>1500000</v>
      </c>
      <c r="AS54" s="6">
        <f>7</f>
        <v>7</v>
      </c>
      <c r="AT54" s="6">
        <f>AS54*F54</f>
        <v>2100000</v>
      </c>
      <c r="AU54" s="6">
        <f>5</f>
        <v>5</v>
      </c>
      <c r="AV54" s="6">
        <f>AU54*F54</f>
        <v>1500000</v>
      </c>
      <c r="AW54" s="6">
        <f>8</f>
        <v>8</v>
      </c>
      <c r="AX54" s="6">
        <f>AW54*F54</f>
        <v>2400000</v>
      </c>
      <c r="AY54" s="6">
        <f>9</f>
        <v>9</v>
      </c>
      <c r="AZ54" s="6">
        <f>AY54*F54</f>
        <v>2700000</v>
      </c>
      <c r="BA54" s="6">
        <v>10</v>
      </c>
      <c r="BB54" s="6">
        <f>BA54*F54</f>
        <v>3000000</v>
      </c>
      <c r="BC54" s="6">
        <f>10</f>
        <v>10</v>
      </c>
      <c r="BD54" s="6">
        <f>BC54*F54</f>
        <v>3000000</v>
      </c>
      <c r="BE54" s="6">
        <f>4+0</f>
        <v>4</v>
      </c>
      <c r="BF54" s="6">
        <f>BE54*F54</f>
        <v>1200000</v>
      </c>
      <c r="BG54" s="6">
        <f>3</f>
        <v>3</v>
      </c>
      <c r="BH54" s="6">
        <f>BG54*F54</f>
        <v>900000</v>
      </c>
      <c r="BI54" s="30"/>
      <c r="BJ54" s="6">
        <f t="shared" si="2"/>
        <v>0</v>
      </c>
      <c r="BK54" s="6">
        <f t="shared" si="142"/>
        <v>121</v>
      </c>
      <c r="BL54" s="6">
        <f t="shared" si="142"/>
        <v>36300000</v>
      </c>
      <c r="BM54" s="284" t="s">
        <v>210</v>
      </c>
      <c r="BO54" s="286"/>
      <c r="BP54" s="6">
        <f>BL54</f>
        <v>36300000</v>
      </c>
      <c r="BQ54" s="286"/>
      <c r="BR54" s="286"/>
      <c r="BS54" s="6">
        <f>BR54+BQ54+BP54+BO54</f>
        <v>36300000</v>
      </c>
      <c r="BT54" s="286"/>
      <c r="BU54" s="286"/>
      <c r="BV54" s="286"/>
      <c r="BW54" s="6">
        <f>BV54+BS54</f>
        <v>36300000</v>
      </c>
    </row>
    <row r="55" spans="2:75" s="134" customFormat="1" x14ac:dyDescent="0.25">
      <c r="B55" s="809"/>
      <c r="C55" s="304"/>
      <c r="D55" s="294" t="s">
        <v>477</v>
      </c>
      <c r="E55" s="297" t="s">
        <v>111</v>
      </c>
      <c r="F55" s="305" t="s">
        <v>111</v>
      </c>
      <c r="G55" s="135">
        <f t="shared" ref="G55:AL55" si="144">SUM(G52:G54)</f>
        <v>132</v>
      </c>
      <c r="H55" s="135">
        <f t="shared" si="144"/>
        <v>39050000</v>
      </c>
      <c r="I55" s="135">
        <f t="shared" si="144"/>
        <v>0</v>
      </c>
      <c r="J55" s="135">
        <f t="shared" si="144"/>
        <v>39050000</v>
      </c>
      <c r="K55" s="135">
        <f t="shared" si="144"/>
        <v>0</v>
      </c>
      <c r="L55" s="135">
        <f t="shared" si="144"/>
        <v>0</v>
      </c>
      <c r="M55" s="135">
        <f t="shared" si="144"/>
        <v>0</v>
      </c>
      <c r="N55" s="135">
        <f t="shared" si="144"/>
        <v>0</v>
      </c>
      <c r="O55" s="135">
        <f t="shared" si="144"/>
        <v>0</v>
      </c>
      <c r="P55" s="135">
        <f t="shared" si="144"/>
        <v>0</v>
      </c>
      <c r="Q55" s="135">
        <f t="shared" si="144"/>
        <v>0</v>
      </c>
      <c r="R55" s="135">
        <f t="shared" si="144"/>
        <v>0</v>
      </c>
      <c r="S55" s="135">
        <f t="shared" si="144"/>
        <v>150</v>
      </c>
      <c r="T55" s="135">
        <f t="shared" si="144"/>
        <v>39</v>
      </c>
      <c r="U55" s="135">
        <f t="shared" si="144"/>
        <v>0</v>
      </c>
      <c r="V55" s="135">
        <f t="shared" si="144"/>
        <v>0</v>
      </c>
      <c r="W55" s="135">
        <f t="shared" si="144"/>
        <v>31240000</v>
      </c>
      <c r="X55" s="135">
        <f t="shared" si="144"/>
        <v>7810000</v>
      </c>
      <c r="Y55" s="135">
        <f t="shared" si="144"/>
        <v>0</v>
      </c>
      <c r="Z55" s="135">
        <f t="shared" si="144"/>
        <v>0</v>
      </c>
      <c r="AA55" s="135">
        <f t="shared" si="144"/>
        <v>8</v>
      </c>
      <c r="AB55" s="135">
        <f t="shared" si="144"/>
        <v>2400000</v>
      </c>
      <c r="AC55" s="135">
        <f t="shared" si="144"/>
        <v>2</v>
      </c>
      <c r="AD55" s="135">
        <f t="shared" si="144"/>
        <v>600000</v>
      </c>
      <c r="AE55" s="135">
        <f t="shared" si="144"/>
        <v>9</v>
      </c>
      <c r="AF55" s="135">
        <f t="shared" si="144"/>
        <v>2700000</v>
      </c>
      <c r="AG55" s="135">
        <f t="shared" si="144"/>
        <v>10</v>
      </c>
      <c r="AH55" s="135">
        <f t="shared" si="144"/>
        <v>3000000</v>
      </c>
      <c r="AI55" s="135">
        <f t="shared" si="144"/>
        <v>3</v>
      </c>
      <c r="AJ55" s="135">
        <f t="shared" si="144"/>
        <v>900000</v>
      </c>
      <c r="AK55" s="135">
        <f t="shared" si="144"/>
        <v>20</v>
      </c>
      <c r="AL55" s="135">
        <f t="shared" si="144"/>
        <v>6000000</v>
      </c>
      <c r="AM55" s="135">
        <f t="shared" ref="AM55:BR55" si="145">SUM(AM52:AM54)</f>
        <v>8</v>
      </c>
      <c r="AN55" s="135">
        <f t="shared" si="145"/>
        <v>2400000</v>
      </c>
      <c r="AO55" s="135">
        <f t="shared" si="145"/>
        <v>11</v>
      </c>
      <c r="AP55" s="135">
        <f t="shared" si="145"/>
        <v>2750000</v>
      </c>
      <c r="AQ55" s="135">
        <f t="shared" si="145"/>
        <v>5</v>
      </c>
      <c r="AR55" s="135">
        <f t="shared" si="145"/>
        <v>1500000</v>
      </c>
      <c r="AS55" s="135">
        <f t="shared" si="145"/>
        <v>7</v>
      </c>
      <c r="AT55" s="135">
        <f t="shared" si="145"/>
        <v>2100000</v>
      </c>
      <c r="AU55" s="135">
        <f t="shared" si="145"/>
        <v>5</v>
      </c>
      <c r="AV55" s="135">
        <f t="shared" si="145"/>
        <v>1500000</v>
      </c>
      <c r="AW55" s="135">
        <f t="shared" si="145"/>
        <v>8</v>
      </c>
      <c r="AX55" s="135">
        <f t="shared" si="145"/>
        <v>2400000</v>
      </c>
      <c r="AY55" s="135">
        <f t="shared" si="145"/>
        <v>9</v>
      </c>
      <c r="AZ55" s="135">
        <f t="shared" si="145"/>
        <v>2700000</v>
      </c>
      <c r="BA55" s="135">
        <f t="shared" si="145"/>
        <v>10</v>
      </c>
      <c r="BB55" s="135">
        <f t="shared" si="145"/>
        <v>3000000</v>
      </c>
      <c r="BC55" s="135">
        <f t="shared" si="145"/>
        <v>10</v>
      </c>
      <c r="BD55" s="135">
        <f t="shared" si="145"/>
        <v>3000000</v>
      </c>
      <c r="BE55" s="135">
        <f t="shared" si="145"/>
        <v>4</v>
      </c>
      <c r="BF55" s="135">
        <f t="shared" si="145"/>
        <v>1200000</v>
      </c>
      <c r="BG55" s="135">
        <v>3</v>
      </c>
      <c r="BH55" s="135">
        <f t="shared" si="145"/>
        <v>900000</v>
      </c>
      <c r="BI55" s="135">
        <f t="shared" si="145"/>
        <v>0</v>
      </c>
      <c r="BJ55" s="135">
        <f t="shared" si="145"/>
        <v>0</v>
      </c>
      <c r="BK55" s="135">
        <f t="shared" si="145"/>
        <v>132</v>
      </c>
      <c r="BL55" s="135">
        <f t="shared" si="145"/>
        <v>39050000</v>
      </c>
      <c r="BM55" s="135">
        <f t="shared" si="145"/>
        <v>0</v>
      </c>
      <c r="BN55" s="135">
        <f t="shared" si="145"/>
        <v>0</v>
      </c>
      <c r="BO55" s="135">
        <f t="shared" si="145"/>
        <v>0</v>
      </c>
      <c r="BP55" s="135">
        <f t="shared" si="145"/>
        <v>39050000</v>
      </c>
      <c r="BQ55" s="135">
        <f t="shared" si="145"/>
        <v>0</v>
      </c>
      <c r="BR55" s="135">
        <f t="shared" si="145"/>
        <v>0</v>
      </c>
      <c r="BS55" s="135">
        <f t="shared" ref="BS55:BW55" si="146">SUM(BS52:BS54)</f>
        <v>39050000</v>
      </c>
      <c r="BT55" s="135">
        <f t="shared" si="146"/>
        <v>0</v>
      </c>
      <c r="BU55" s="135">
        <f t="shared" si="146"/>
        <v>1104000</v>
      </c>
      <c r="BV55" s="135">
        <f t="shared" si="146"/>
        <v>1104000</v>
      </c>
      <c r="BW55" s="135">
        <f t="shared" si="146"/>
        <v>40154000</v>
      </c>
    </row>
    <row r="56" spans="2:75" s="134" customFormat="1" x14ac:dyDescent="0.25">
      <c r="B56" s="809"/>
      <c r="C56" s="304"/>
      <c r="D56" s="297" t="s">
        <v>333</v>
      </c>
      <c r="E56" s="135"/>
      <c r="F56" s="309"/>
      <c r="G56" s="135">
        <f t="shared" ref="G56:AL56" si="147">G55+G50+G37+G30+G16+G10</f>
        <v>44494.7</v>
      </c>
      <c r="H56" s="135">
        <f t="shared" si="147"/>
        <v>246062310</v>
      </c>
      <c r="I56" s="135">
        <f t="shared" si="147"/>
        <v>74506062</v>
      </c>
      <c r="J56" s="135">
        <f t="shared" si="147"/>
        <v>171556248</v>
      </c>
      <c r="K56" s="135">
        <f t="shared" si="147"/>
        <v>0</v>
      </c>
      <c r="L56" s="135">
        <f t="shared" si="147"/>
        <v>0</v>
      </c>
      <c r="M56" s="135">
        <f t="shared" si="147"/>
        <v>0</v>
      </c>
      <c r="N56" s="135">
        <f t="shared" si="147"/>
        <v>0</v>
      </c>
      <c r="O56" s="135">
        <f t="shared" si="147"/>
        <v>0</v>
      </c>
      <c r="P56" s="135">
        <f t="shared" si="147"/>
        <v>0</v>
      </c>
      <c r="Q56" s="135">
        <f t="shared" si="147"/>
        <v>0</v>
      </c>
      <c r="R56" s="135">
        <f t="shared" si="147"/>
        <v>0</v>
      </c>
      <c r="S56" s="135">
        <f t="shared" si="147"/>
        <v>7018.8249999999998</v>
      </c>
      <c r="T56" s="135">
        <f t="shared" si="147"/>
        <v>6907.8249999999998</v>
      </c>
      <c r="U56" s="135">
        <f t="shared" si="147"/>
        <v>6238.5250000000005</v>
      </c>
      <c r="V56" s="135">
        <f t="shared" si="147"/>
        <v>8489.5249999999996</v>
      </c>
      <c r="W56" s="135">
        <f t="shared" si="147"/>
        <v>81712944</v>
      </c>
      <c r="X56" s="135">
        <f t="shared" si="147"/>
        <v>55831294</v>
      </c>
      <c r="Y56" s="135">
        <f t="shared" si="147"/>
        <v>45337761</v>
      </c>
      <c r="Z56" s="135">
        <f t="shared" si="147"/>
        <v>63180311</v>
      </c>
      <c r="AA56" s="135">
        <f t="shared" si="147"/>
        <v>2470</v>
      </c>
      <c r="AB56" s="135">
        <f t="shared" si="147"/>
        <v>12220700</v>
      </c>
      <c r="AC56" s="135">
        <f t="shared" si="147"/>
        <v>1119</v>
      </c>
      <c r="AD56" s="135">
        <f t="shared" si="147"/>
        <v>8990200</v>
      </c>
      <c r="AE56" s="135">
        <f t="shared" si="147"/>
        <v>2490</v>
      </c>
      <c r="AF56" s="135">
        <f t="shared" si="147"/>
        <v>12599900</v>
      </c>
      <c r="AG56" s="135">
        <f t="shared" si="147"/>
        <v>3636</v>
      </c>
      <c r="AH56" s="135">
        <f t="shared" si="147"/>
        <v>15510700</v>
      </c>
      <c r="AI56" s="135">
        <f t="shared" si="147"/>
        <v>1727.7</v>
      </c>
      <c r="AJ56" s="135">
        <f t="shared" si="147"/>
        <v>9989010</v>
      </c>
      <c r="AK56" s="135">
        <f t="shared" si="147"/>
        <v>2817</v>
      </c>
      <c r="AL56" s="135">
        <f t="shared" si="147"/>
        <v>16346200</v>
      </c>
      <c r="AM56" s="135">
        <f t="shared" ref="AM56:BL56" si="148">AM55+AM50+AM37+AM30+AM16+AM10</f>
        <v>1878</v>
      </c>
      <c r="AN56" s="135">
        <f t="shared" si="148"/>
        <v>11376600</v>
      </c>
      <c r="AO56" s="135">
        <f t="shared" si="148"/>
        <v>3614</v>
      </c>
      <c r="AP56" s="135">
        <f t="shared" si="148"/>
        <v>13982000</v>
      </c>
      <c r="AQ56" s="135">
        <f t="shared" si="148"/>
        <v>875</v>
      </c>
      <c r="AR56" s="135">
        <f t="shared" si="148"/>
        <v>8698200</v>
      </c>
      <c r="AS56" s="135">
        <f t="shared" si="148"/>
        <v>1442</v>
      </c>
      <c r="AT56" s="135">
        <f t="shared" si="148"/>
        <v>10807100</v>
      </c>
      <c r="AU56" s="135">
        <f t="shared" si="148"/>
        <v>2548</v>
      </c>
      <c r="AV56" s="135">
        <f t="shared" si="148"/>
        <v>11204500</v>
      </c>
      <c r="AW56" s="135">
        <f t="shared" si="148"/>
        <v>2239</v>
      </c>
      <c r="AX56" s="135">
        <f t="shared" si="148"/>
        <v>11900900</v>
      </c>
      <c r="AY56" s="135">
        <f t="shared" si="148"/>
        <v>2993</v>
      </c>
      <c r="AZ56" s="135">
        <f t="shared" si="148"/>
        <v>12962400</v>
      </c>
      <c r="BA56" s="135">
        <f t="shared" si="148"/>
        <v>3314</v>
      </c>
      <c r="BB56" s="135">
        <f t="shared" si="148"/>
        <v>13549900</v>
      </c>
      <c r="BC56" s="135">
        <f t="shared" si="148"/>
        <v>2889</v>
      </c>
      <c r="BD56" s="135">
        <f t="shared" si="148"/>
        <v>13514800</v>
      </c>
      <c r="BE56" s="135">
        <f t="shared" si="148"/>
        <v>5055</v>
      </c>
      <c r="BF56" s="135">
        <f t="shared" si="148"/>
        <v>16784800</v>
      </c>
      <c r="BG56" s="135">
        <f t="shared" si="148"/>
        <v>2359</v>
      </c>
      <c r="BH56" s="135">
        <f t="shared" si="148"/>
        <v>10458400</v>
      </c>
      <c r="BI56" s="135">
        <f t="shared" si="148"/>
        <v>1029</v>
      </c>
      <c r="BJ56" s="135">
        <f t="shared" si="148"/>
        <v>35166000</v>
      </c>
      <c r="BK56" s="135">
        <f t="shared" si="148"/>
        <v>44494.7</v>
      </c>
      <c r="BL56" s="135">
        <f t="shared" si="148"/>
        <v>246062310</v>
      </c>
      <c r="BM56" s="135"/>
      <c r="BN56" s="135">
        <f t="shared" ref="BN56:BW56" si="149">BN55+BN50+BN37+BN30+BN16+BN10</f>
        <v>0</v>
      </c>
      <c r="BO56" s="135">
        <f t="shared" si="149"/>
        <v>0</v>
      </c>
      <c r="BP56" s="135">
        <f t="shared" si="149"/>
        <v>100860310</v>
      </c>
      <c r="BQ56" s="135">
        <f t="shared" si="149"/>
        <v>144098000</v>
      </c>
      <c r="BR56" s="135">
        <f t="shared" si="149"/>
        <v>0</v>
      </c>
      <c r="BS56" s="135">
        <f t="shared" si="149"/>
        <v>244958310</v>
      </c>
      <c r="BT56" s="135">
        <f t="shared" si="149"/>
        <v>0</v>
      </c>
      <c r="BU56" s="135">
        <f t="shared" si="149"/>
        <v>3312000</v>
      </c>
      <c r="BV56" s="135">
        <f t="shared" si="149"/>
        <v>3312000</v>
      </c>
      <c r="BW56" s="135">
        <f t="shared" si="149"/>
        <v>248270310</v>
      </c>
    </row>
    <row r="58" spans="2:75" x14ac:dyDescent="0.25">
      <c r="H58" s="128">
        <f>SUM(W56:Z56)</f>
        <v>246062310</v>
      </c>
    </row>
    <row r="59" spans="2:75" x14ac:dyDescent="0.25">
      <c r="H59" s="128">
        <f>H56-H58</f>
        <v>0</v>
      </c>
    </row>
  </sheetData>
  <mergeCells count="35">
    <mergeCell ref="B9:B56"/>
    <mergeCell ref="BG7:BH7"/>
    <mergeCell ref="BI7:BJ7"/>
    <mergeCell ref="AI7:AJ7"/>
    <mergeCell ref="AK7:AL7"/>
    <mergeCell ref="AM7:AN7"/>
    <mergeCell ref="AO7:AP7"/>
    <mergeCell ref="AQ7:AR7"/>
    <mergeCell ref="AS7:AT7"/>
    <mergeCell ref="S7:V7"/>
    <mergeCell ref="W7:Z7"/>
    <mergeCell ref="AA7:AB7"/>
    <mergeCell ref="AC7:AD7"/>
    <mergeCell ref="AE7:AF7"/>
    <mergeCell ref="AG7:AH7"/>
    <mergeCell ref="B7:F7"/>
    <mergeCell ref="BK7:BL7"/>
    <mergeCell ref="BO7:BS7"/>
    <mergeCell ref="BT7:BV7"/>
    <mergeCell ref="BW7:BW8"/>
    <mergeCell ref="AU7:AV7"/>
    <mergeCell ref="AW7:AX7"/>
    <mergeCell ref="AY7:AZ7"/>
    <mergeCell ref="BA7:BB7"/>
    <mergeCell ref="BC7:BD7"/>
    <mergeCell ref="BE7:BF7"/>
    <mergeCell ref="G7:H7"/>
    <mergeCell ref="I7:R7"/>
    <mergeCell ref="B4:C4"/>
    <mergeCell ref="D4:R4"/>
    <mergeCell ref="B1:R1"/>
    <mergeCell ref="B2:C2"/>
    <mergeCell ref="D2:R2"/>
    <mergeCell ref="B3:C3"/>
    <mergeCell ref="D3:R3"/>
  </mergeCells>
  <phoneticPr fontId="28" type="noConversion"/>
  <pageMargins left="0.17" right="0.17" top="0.5" bottom="0.75" header="0.3" footer="0.3"/>
  <pageSetup paperSize="9" scale="1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9">
    <tabColor rgb="FF00B0F0"/>
    <pageSetUpPr fitToPage="1"/>
  </sheetPr>
  <dimension ref="A1:BU74"/>
  <sheetViews>
    <sheetView zoomScale="80" zoomScaleNormal="80" workbookViewId="0">
      <pane xSplit="6" ySplit="9" topLeftCell="G61" activePane="bottomRight" state="frozen"/>
      <selection pane="topRight" activeCell="G1" sqref="G1"/>
      <selection pane="bottomLeft" activeCell="A10" sqref="A10"/>
      <selection pane="bottomRight" activeCell="H80" sqref="H80"/>
    </sheetView>
  </sheetViews>
  <sheetFormatPr defaultColWidth="12.28515625" defaultRowHeight="15.75" x14ac:dyDescent="0.25"/>
  <cols>
    <col min="1" max="1" width="12.28515625" style="9"/>
    <col min="2" max="2" width="57" style="359" customWidth="1"/>
    <col min="3" max="3" width="13.42578125" style="316" customWidth="1"/>
    <col min="4" max="4" width="14.42578125" style="316" customWidth="1"/>
    <col min="5" max="5" width="12.28515625" style="316" customWidth="1"/>
    <col min="6" max="6" width="18.42578125" style="316" customWidth="1"/>
    <col min="7" max="7" width="14.7109375" style="316" customWidth="1"/>
    <col min="8" max="8" width="15.7109375" style="316" customWidth="1"/>
    <col min="9" max="15" width="12.28515625" style="316" customWidth="1"/>
    <col min="16" max="16" width="10" style="316" customWidth="1"/>
    <col min="17" max="20" width="12.28515625" style="318" customWidth="1"/>
    <col min="21" max="21" width="15.5703125" style="318" bestFit="1" customWidth="1"/>
    <col min="22" max="22" width="14.28515625" style="318" bestFit="1" customWidth="1"/>
    <col min="23" max="23" width="16.28515625" style="318" customWidth="1"/>
    <col min="24" max="24" width="16.42578125" style="318" customWidth="1"/>
    <col min="25" max="25" width="12.28515625" style="318" customWidth="1"/>
    <col min="26" max="26" width="14.42578125" style="318" customWidth="1"/>
    <col min="27" max="27" width="12.28515625" style="318" customWidth="1"/>
    <col min="28" max="28" width="15.140625" style="318" customWidth="1"/>
    <col min="29" max="29" width="12.28515625" style="318" customWidth="1"/>
    <col min="30" max="30" width="15.140625" style="318" customWidth="1"/>
    <col min="31" max="31" width="12.28515625" style="318" customWidth="1"/>
    <col min="32" max="32" width="14.140625" style="318" customWidth="1"/>
    <col min="33" max="33" width="12.28515625" style="318" customWidth="1"/>
    <col min="34" max="34" width="13.140625" style="318" bestFit="1" customWidth="1"/>
    <col min="35" max="35" width="12.28515625" style="318" customWidth="1"/>
    <col min="36" max="36" width="13.7109375" style="318" customWidth="1"/>
    <col min="37" max="37" width="12.28515625" style="318" customWidth="1"/>
    <col min="38" max="38" width="14.28515625" style="318" customWidth="1"/>
    <col min="39" max="39" width="12.28515625" style="318" customWidth="1"/>
    <col min="40" max="40" width="14" style="318" customWidth="1"/>
    <col min="41" max="41" width="12.28515625" style="318" customWidth="1"/>
    <col min="42" max="42" width="15" style="318" customWidth="1"/>
    <col min="43" max="43" width="12.28515625" style="318" customWidth="1"/>
    <col min="44" max="44" width="14.28515625" style="318" customWidth="1"/>
    <col min="45" max="45" width="12.28515625" style="318" customWidth="1"/>
    <col min="46" max="46" width="13.7109375" style="318" customWidth="1"/>
    <col min="47" max="47" width="12.28515625" style="318" customWidth="1"/>
    <col min="48" max="48" width="16.42578125" style="318" customWidth="1"/>
    <col min="49" max="49" width="12.28515625" style="318" customWidth="1"/>
    <col min="50" max="50" width="15.28515625" style="318" customWidth="1"/>
    <col min="51" max="51" width="12.28515625" style="318" customWidth="1"/>
    <col min="52" max="52" width="15.140625" style="318" customWidth="1"/>
    <col min="53" max="53" width="12.28515625" style="318" customWidth="1"/>
    <col min="54" max="54" width="15.140625" style="318" customWidth="1"/>
    <col min="55" max="55" width="12.28515625" style="318" customWidth="1"/>
    <col min="56" max="56" width="14.28515625" style="318" customWidth="1"/>
    <col min="57" max="57" width="12.28515625" style="318" customWidth="1"/>
    <col min="58" max="58" width="15.140625" style="318" customWidth="1"/>
    <col min="59" max="59" width="12.28515625" style="318" customWidth="1"/>
    <col min="60" max="60" width="17.28515625" style="318" customWidth="1"/>
    <col min="61" max="61" width="12.28515625" style="318" customWidth="1"/>
    <col min="62" max="62" width="18.85546875" style="318" customWidth="1"/>
    <col min="63" max="63" width="22.42578125" style="318" customWidth="1"/>
    <col min="64" max="64" width="7.5703125" style="318" customWidth="1"/>
    <col min="65" max="65" width="12.28515625" style="318"/>
    <col min="66" max="66" width="15.140625" style="318" customWidth="1"/>
    <col min="67" max="67" width="16.28515625" style="318" customWidth="1"/>
    <col min="68" max="68" width="17" style="318" bestFit="1" customWidth="1"/>
    <col min="69" max="69" width="16.7109375" style="318" customWidth="1"/>
    <col min="70" max="72" width="12.28515625" style="318"/>
    <col min="73" max="73" width="18.140625" style="318" customWidth="1"/>
    <col min="74" max="16384" width="12.28515625" style="318"/>
  </cols>
  <sheetData>
    <row r="1" spans="1:73" x14ac:dyDescent="0.25">
      <c r="A1" s="812" t="s">
        <v>152</v>
      </c>
      <c r="B1" s="812"/>
      <c r="C1" s="812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</row>
    <row r="2" spans="1:73" x14ac:dyDescent="0.25">
      <c r="A2" s="812" t="s">
        <v>153</v>
      </c>
      <c r="B2" s="812"/>
      <c r="C2" s="812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9" t="s">
        <v>287</v>
      </c>
      <c r="Z2" s="9">
        <v>8.34</v>
      </c>
      <c r="AA2" s="9"/>
      <c r="AB2" s="9">
        <v>2.85</v>
      </c>
      <c r="AC2" s="9"/>
      <c r="AD2" s="9">
        <v>8.3800000000000008</v>
      </c>
      <c r="AE2" s="9"/>
      <c r="AF2" s="9">
        <v>7.49</v>
      </c>
      <c r="AG2" s="9"/>
      <c r="AH2" s="9">
        <v>3.33</v>
      </c>
      <c r="AI2" s="9"/>
      <c r="AJ2" s="9">
        <v>6.64</v>
      </c>
      <c r="AK2" s="9"/>
      <c r="AL2" s="9">
        <v>3.67</v>
      </c>
      <c r="AM2" s="9"/>
      <c r="AN2" s="9">
        <v>5.0599999999999996</v>
      </c>
      <c r="AO2" s="9"/>
      <c r="AP2" s="9">
        <v>5.94</v>
      </c>
      <c r="AQ2" s="9"/>
      <c r="AR2" s="9">
        <v>6.85</v>
      </c>
      <c r="AS2" s="9"/>
      <c r="AT2" s="9">
        <v>7.45</v>
      </c>
      <c r="AU2" s="9"/>
      <c r="AV2" s="9">
        <v>5.13</v>
      </c>
      <c r="AW2" s="9"/>
      <c r="AX2" s="9">
        <v>4.8600000000000003</v>
      </c>
      <c r="AY2" s="9"/>
      <c r="AZ2" s="9">
        <v>5.79</v>
      </c>
      <c r="BA2" s="9"/>
      <c r="BB2" s="9">
        <v>5.3</v>
      </c>
      <c r="BC2" s="9"/>
      <c r="BD2" s="9">
        <v>3.47</v>
      </c>
      <c r="BE2" s="9"/>
      <c r="BF2" s="9">
        <v>9.42</v>
      </c>
      <c r="BG2" s="9"/>
      <c r="BH2" s="9"/>
      <c r="BI2" s="9"/>
      <c r="BJ2" s="9"/>
    </row>
    <row r="3" spans="1:73" x14ac:dyDescent="0.25">
      <c r="A3" s="812" t="s">
        <v>1174</v>
      </c>
      <c r="B3" s="812"/>
      <c r="C3" s="812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9" t="s">
        <v>285</v>
      </c>
      <c r="Z3" s="9">
        <v>48</v>
      </c>
      <c r="AA3" s="9"/>
      <c r="AB3" s="9">
        <v>23</v>
      </c>
      <c r="AC3" s="9"/>
      <c r="AD3" s="9">
        <v>80</v>
      </c>
      <c r="AE3" s="9"/>
      <c r="AF3" s="9">
        <v>105</v>
      </c>
      <c r="AG3" s="9"/>
      <c r="AH3" s="9">
        <v>43</v>
      </c>
      <c r="AI3" s="9"/>
      <c r="AJ3" s="9">
        <v>75</v>
      </c>
      <c r="AK3" s="9"/>
      <c r="AL3" s="9">
        <v>41</v>
      </c>
      <c r="AM3" s="9"/>
      <c r="AN3" s="9">
        <v>101</v>
      </c>
      <c r="AO3" s="9"/>
      <c r="AP3" s="9">
        <v>8</v>
      </c>
      <c r="AQ3" s="9"/>
      <c r="AR3" s="9">
        <v>33</v>
      </c>
      <c r="AS3" s="9"/>
      <c r="AT3" s="9">
        <v>53</v>
      </c>
      <c r="AU3" s="9"/>
      <c r="AV3" s="9">
        <v>52</v>
      </c>
      <c r="AW3" s="9"/>
      <c r="AX3" s="9">
        <v>76</v>
      </c>
      <c r="AY3" s="9"/>
      <c r="AZ3" s="9">
        <v>82</v>
      </c>
      <c r="BA3" s="9"/>
      <c r="BB3" s="9">
        <v>104</v>
      </c>
      <c r="BC3" s="9"/>
      <c r="BD3" s="9">
        <v>147</v>
      </c>
      <c r="BE3" s="9"/>
      <c r="BF3" s="9">
        <v>54</v>
      </c>
      <c r="BG3" s="9"/>
      <c r="BH3" s="9"/>
      <c r="BI3" s="9"/>
      <c r="BJ3" s="9"/>
    </row>
    <row r="4" spans="1:73" x14ac:dyDescent="0.25">
      <c r="A4" s="812" t="s">
        <v>0</v>
      </c>
      <c r="B4" s="812"/>
      <c r="C4" s="812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9" t="s">
        <v>286</v>
      </c>
      <c r="Z4" s="10">
        <f>Z3/1125*100</f>
        <v>4.2666666666666666</v>
      </c>
      <c r="AA4" s="10">
        <f t="shared" ref="AA4:BF4" si="0">AA3/1125*100</f>
        <v>0</v>
      </c>
      <c r="AB4" s="10">
        <f t="shared" si="0"/>
        <v>2.0444444444444447</v>
      </c>
      <c r="AC4" s="10">
        <f t="shared" si="0"/>
        <v>0</v>
      </c>
      <c r="AD4" s="10">
        <f t="shared" si="0"/>
        <v>7.1111111111111107</v>
      </c>
      <c r="AE4" s="10">
        <f t="shared" si="0"/>
        <v>0</v>
      </c>
      <c r="AF4" s="10">
        <f t="shared" si="0"/>
        <v>9.3333333333333339</v>
      </c>
      <c r="AG4" s="10">
        <f t="shared" si="0"/>
        <v>0</v>
      </c>
      <c r="AH4" s="10">
        <f t="shared" si="0"/>
        <v>3.822222222222222</v>
      </c>
      <c r="AI4" s="10">
        <f t="shared" si="0"/>
        <v>0</v>
      </c>
      <c r="AJ4" s="10">
        <f t="shared" si="0"/>
        <v>6.666666666666667</v>
      </c>
      <c r="AK4" s="10">
        <f t="shared" si="0"/>
        <v>0</v>
      </c>
      <c r="AL4" s="10">
        <f t="shared" si="0"/>
        <v>3.6444444444444448</v>
      </c>
      <c r="AM4" s="10">
        <f t="shared" si="0"/>
        <v>0</v>
      </c>
      <c r="AN4" s="10">
        <f t="shared" si="0"/>
        <v>8.9777777777777779</v>
      </c>
      <c r="AO4" s="10">
        <f t="shared" si="0"/>
        <v>0</v>
      </c>
      <c r="AP4" s="10">
        <f t="shared" si="0"/>
        <v>0.71111111111111114</v>
      </c>
      <c r="AQ4" s="10">
        <f t="shared" si="0"/>
        <v>0</v>
      </c>
      <c r="AR4" s="10">
        <f t="shared" si="0"/>
        <v>2.9333333333333331</v>
      </c>
      <c r="AS4" s="10">
        <f t="shared" si="0"/>
        <v>0</v>
      </c>
      <c r="AT4" s="10">
        <f t="shared" si="0"/>
        <v>4.7111111111111112</v>
      </c>
      <c r="AU4" s="10">
        <f t="shared" si="0"/>
        <v>0</v>
      </c>
      <c r="AV4" s="10">
        <f t="shared" si="0"/>
        <v>4.6222222222222218</v>
      </c>
      <c r="AW4" s="10">
        <f t="shared" si="0"/>
        <v>0</v>
      </c>
      <c r="AX4" s="10">
        <f t="shared" si="0"/>
        <v>6.7555555555555546</v>
      </c>
      <c r="AY4" s="10">
        <f t="shared" si="0"/>
        <v>0</v>
      </c>
      <c r="AZ4" s="10">
        <f t="shared" si="0"/>
        <v>7.2888888888888896</v>
      </c>
      <c r="BA4" s="10">
        <f t="shared" si="0"/>
        <v>0</v>
      </c>
      <c r="BB4" s="10">
        <f t="shared" si="0"/>
        <v>9.2444444444444436</v>
      </c>
      <c r="BC4" s="10">
        <f t="shared" si="0"/>
        <v>0</v>
      </c>
      <c r="BD4" s="10">
        <f t="shared" si="0"/>
        <v>13.066666666666665</v>
      </c>
      <c r="BE4" s="10">
        <f t="shared" si="0"/>
        <v>0</v>
      </c>
      <c r="BF4" s="10">
        <f t="shared" si="0"/>
        <v>4.8</v>
      </c>
      <c r="BG4" s="9"/>
      <c r="BH4" s="9"/>
      <c r="BI4" s="9"/>
      <c r="BJ4" s="9"/>
    </row>
    <row r="5" spans="1:73" x14ac:dyDescent="0.25">
      <c r="B5" s="317" t="s">
        <v>176</v>
      </c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</row>
    <row r="6" spans="1:73" x14ac:dyDescent="0.25">
      <c r="A6" s="319" t="s">
        <v>20</v>
      </c>
      <c r="B6" s="320"/>
      <c r="C6" s="320"/>
      <c r="D6" s="321"/>
      <c r="E6" s="813" t="s">
        <v>11</v>
      </c>
      <c r="F6" s="814"/>
      <c r="G6" s="815" t="s">
        <v>151</v>
      </c>
      <c r="H6" s="816"/>
      <c r="I6" s="816"/>
      <c r="J6" s="816"/>
      <c r="K6" s="816"/>
      <c r="L6" s="816"/>
      <c r="M6" s="816"/>
      <c r="N6" s="816"/>
      <c r="O6" s="816"/>
      <c r="P6" s="817"/>
      <c r="Q6" s="818" t="s">
        <v>61</v>
      </c>
      <c r="R6" s="819"/>
      <c r="S6" s="819"/>
      <c r="T6" s="820"/>
      <c r="U6" s="824" t="s">
        <v>6</v>
      </c>
      <c r="V6" s="819"/>
      <c r="W6" s="819"/>
      <c r="X6" s="820"/>
      <c r="Y6" s="811" t="s">
        <v>179</v>
      </c>
      <c r="Z6" s="811"/>
      <c r="AA6" s="811" t="s">
        <v>180</v>
      </c>
      <c r="AB6" s="811"/>
      <c r="AC6" s="811" t="s">
        <v>181</v>
      </c>
      <c r="AD6" s="811"/>
      <c r="AE6" s="811" t="s">
        <v>182</v>
      </c>
      <c r="AF6" s="811"/>
      <c r="AG6" s="811" t="s">
        <v>183</v>
      </c>
      <c r="AH6" s="811"/>
      <c r="AI6" s="811" t="s">
        <v>184</v>
      </c>
      <c r="AJ6" s="811"/>
      <c r="AK6" s="811" t="s">
        <v>185</v>
      </c>
      <c r="AL6" s="811"/>
      <c r="AM6" s="811" t="s">
        <v>186</v>
      </c>
      <c r="AN6" s="811"/>
      <c r="AO6" s="811" t="s">
        <v>187</v>
      </c>
      <c r="AP6" s="811"/>
      <c r="AQ6" s="811" t="s">
        <v>188</v>
      </c>
      <c r="AR6" s="811"/>
      <c r="AS6" s="811" t="s">
        <v>189</v>
      </c>
      <c r="AT6" s="811"/>
      <c r="AU6" s="818" t="s">
        <v>190</v>
      </c>
      <c r="AV6" s="826"/>
      <c r="AW6" s="818" t="s">
        <v>191</v>
      </c>
      <c r="AX6" s="826"/>
      <c r="AY6" s="811" t="s">
        <v>192</v>
      </c>
      <c r="AZ6" s="811"/>
      <c r="BA6" s="818" t="s">
        <v>193</v>
      </c>
      <c r="BB6" s="826"/>
      <c r="BC6" s="818" t="s">
        <v>194</v>
      </c>
      <c r="BD6" s="826"/>
      <c r="BE6" s="818" t="s">
        <v>195</v>
      </c>
      <c r="BF6" s="826"/>
      <c r="BG6" s="824" t="s">
        <v>196</v>
      </c>
      <c r="BH6" s="820"/>
      <c r="BI6" s="829" t="s">
        <v>17</v>
      </c>
      <c r="BJ6" s="829"/>
      <c r="BK6" s="322"/>
    </row>
    <row r="7" spans="1:73" ht="31.5" x14ac:dyDescent="0.25">
      <c r="B7" s="320" t="s">
        <v>12</v>
      </c>
      <c r="C7" s="323" t="s">
        <v>14</v>
      </c>
      <c r="D7" s="324" t="s">
        <v>18</v>
      </c>
      <c r="E7" s="324" t="s">
        <v>19</v>
      </c>
      <c r="F7" s="324" t="s">
        <v>15</v>
      </c>
      <c r="G7" s="325" t="s">
        <v>199</v>
      </c>
      <c r="H7" s="325" t="s">
        <v>200</v>
      </c>
      <c r="I7" s="325" t="s">
        <v>201</v>
      </c>
      <c r="J7" s="325" t="s">
        <v>202</v>
      </c>
      <c r="K7" s="325" t="s">
        <v>203</v>
      </c>
      <c r="L7" s="325" t="s">
        <v>204</v>
      </c>
      <c r="M7" s="325" t="s">
        <v>889</v>
      </c>
      <c r="N7" s="325" t="s">
        <v>205</v>
      </c>
      <c r="O7" s="325" t="s">
        <v>206</v>
      </c>
      <c r="P7" s="325" t="s">
        <v>740</v>
      </c>
      <c r="Q7" s="821"/>
      <c r="R7" s="822"/>
      <c r="S7" s="822"/>
      <c r="T7" s="823"/>
      <c r="U7" s="821"/>
      <c r="V7" s="822"/>
      <c r="W7" s="822"/>
      <c r="X7" s="823"/>
      <c r="Y7" s="811"/>
      <c r="Z7" s="811"/>
      <c r="AA7" s="811"/>
      <c r="AB7" s="811"/>
      <c r="AC7" s="811"/>
      <c r="AD7" s="811"/>
      <c r="AE7" s="811"/>
      <c r="AF7" s="811"/>
      <c r="AG7" s="811"/>
      <c r="AH7" s="811"/>
      <c r="AI7" s="811"/>
      <c r="AJ7" s="811"/>
      <c r="AK7" s="811"/>
      <c r="AL7" s="811"/>
      <c r="AM7" s="811"/>
      <c r="AN7" s="811"/>
      <c r="AO7" s="811"/>
      <c r="AP7" s="811"/>
      <c r="AQ7" s="811"/>
      <c r="AR7" s="811"/>
      <c r="AS7" s="811"/>
      <c r="AT7" s="811"/>
      <c r="AU7" s="827"/>
      <c r="AV7" s="828"/>
      <c r="AW7" s="827"/>
      <c r="AX7" s="828"/>
      <c r="AY7" s="811"/>
      <c r="AZ7" s="811"/>
      <c r="BA7" s="827"/>
      <c r="BB7" s="828"/>
      <c r="BC7" s="827"/>
      <c r="BD7" s="828"/>
      <c r="BE7" s="827"/>
      <c r="BF7" s="828"/>
      <c r="BG7" s="821"/>
      <c r="BH7" s="823"/>
      <c r="BI7" s="829"/>
      <c r="BJ7" s="829"/>
      <c r="BK7" s="326" t="s">
        <v>229</v>
      </c>
      <c r="BM7" s="831" t="s">
        <v>227</v>
      </c>
      <c r="BN7" s="832"/>
      <c r="BO7" s="832"/>
      <c r="BP7" s="832"/>
      <c r="BQ7" s="833"/>
      <c r="BR7" s="830" t="s">
        <v>228</v>
      </c>
      <c r="BS7" s="830"/>
      <c r="BT7" s="830"/>
      <c r="BU7" s="825" t="s">
        <v>17</v>
      </c>
    </row>
    <row r="8" spans="1:73" ht="47.25" x14ac:dyDescent="0.25">
      <c r="A8" s="327"/>
      <c r="B8" s="328"/>
      <c r="C8" s="329"/>
      <c r="D8" s="330"/>
      <c r="E8" s="330"/>
      <c r="F8" s="330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25" t="s">
        <v>7</v>
      </c>
      <c r="R8" s="325" t="s">
        <v>8</v>
      </c>
      <c r="S8" s="325" t="s">
        <v>9</v>
      </c>
      <c r="T8" s="325" t="s">
        <v>10</v>
      </c>
      <c r="U8" s="325" t="s">
        <v>7</v>
      </c>
      <c r="V8" s="325" t="s">
        <v>8</v>
      </c>
      <c r="W8" s="325" t="s">
        <v>9</v>
      </c>
      <c r="X8" s="325" t="s">
        <v>10</v>
      </c>
      <c r="Y8" s="325" t="s">
        <v>14</v>
      </c>
      <c r="Z8" s="325" t="s">
        <v>15</v>
      </c>
      <c r="AA8" s="325" t="s">
        <v>14</v>
      </c>
      <c r="AB8" s="325" t="s">
        <v>15</v>
      </c>
      <c r="AC8" s="325" t="s">
        <v>14</v>
      </c>
      <c r="AD8" s="325" t="s">
        <v>15</v>
      </c>
      <c r="AE8" s="325" t="s">
        <v>14</v>
      </c>
      <c r="AF8" s="325" t="s">
        <v>15</v>
      </c>
      <c r="AG8" s="325" t="s">
        <v>14</v>
      </c>
      <c r="AH8" s="325" t="s">
        <v>15</v>
      </c>
      <c r="AI8" s="325" t="s">
        <v>14</v>
      </c>
      <c r="AJ8" s="325" t="s">
        <v>15</v>
      </c>
      <c r="AK8" s="325" t="s">
        <v>14</v>
      </c>
      <c r="AL8" s="325" t="s">
        <v>15</v>
      </c>
      <c r="AM8" s="325" t="s">
        <v>14</v>
      </c>
      <c r="AN8" s="325" t="s">
        <v>15</v>
      </c>
      <c r="AO8" s="325" t="s">
        <v>14</v>
      </c>
      <c r="AP8" s="325" t="s">
        <v>15</v>
      </c>
      <c r="AQ8" s="325" t="s">
        <v>14</v>
      </c>
      <c r="AR8" s="325" t="s">
        <v>15</v>
      </c>
      <c r="AS8" s="325" t="s">
        <v>14</v>
      </c>
      <c r="AT8" s="325" t="s">
        <v>15</v>
      </c>
      <c r="AU8" s="325" t="s">
        <v>14</v>
      </c>
      <c r="AV8" s="325" t="s">
        <v>15</v>
      </c>
      <c r="AW8" s="325" t="s">
        <v>14</v>
      </c>
      <c r="AX8" s="325" t="s">
        <v>15</v>
      </c>
      <c r="AY8" s="325" t="s">
        <v>14</v>
      </c>
      <c r="AZ8" s="325" t="s">
        <v>15</v>
      </c>
      <c r="BA8" s="325" t="s">
        <v>14</v>
      </c>
      <c r="BB8" s="325" t="s">
        <v>15</v>
      </c>
      <c r="BC8" s="325" t="s">
        <v>14</v>
      </c>
      <c r="BD8" s="325" t="s">
        <v>15</v>
      </c>
      <c r="BE8" s="325" t="s">
        <v>14</v>
      </c>
      <c r="BF8" s="325" t="s">
        <v>15</v>
      </c>
      <c r="BG8" s="325" t="s">
        <v>14</v>
      </c>
      <c r="BH8" s="325" t="s">
        <v>15</v>
      </c>
      <c r="BI8" s="325" t="s">
        <v>14</v>
      </c>
      <c r="BJ8" s="325" t="s">
        <v>15</v>
      </c>
      <c r="BK8" s="326"/>
      <c r="BM8" s="332" t="s">
        <v>218</v>
      </c>
      <c r="BN8" s="333" t="s">
        <v>219</v>
      </c>
      <c r="BO8" s="333" t="s">
        <v>220</v>
      </c>
      <c r="BP8" s="334" t="s">
        <v>221</v>
      </c>
      <c r="BQ8" s="333" t="s">
        <v>222</v>
      </c>
      <c r="BR8" s="333" t="s">
        <v>223</v>
      </c>
      <c r="BS8" s="333" t="s">
        <v>224</v>
      </c>
      <c r="BT8" s="333" t="s">
        <v>225</v>
      </c>
      <c r="BU8" s="825"/>
    </row>
    <row r="9" spans="1:73" x14ac:dyDescent="0.25">
      <c r="A9" s="327"/>
      <c r="B9" s="335" t="s">
        <v>314</v>
      </c>
      <c r="C9" s="336"/>
      <c r="D9" s="336"/>
      <c r="E9" s="322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25"/>
      <c r="R9" s="325"/>
      <c r="S9" s="325"/>
      <c r="T9" s="325"/>
      <c r="U9" s="325"/>
      <c r="V9" s="325"/>
      <c r="W9" s="325"/>
      <c r="X9" s="325"/>
      <c r="Y9" s="338"/>
      <c r="Z9" s="338"/>
      <c r="AA9" s="338"/>
      <c r="AB9" s="338"/>
      <c r="AC9" s="338"/>
      <c r="AD9" s="338"/>
      <c r="AE9" s="338"/>
      <c r="AF9" s="338"/>
      <c r="AG9" s="338"/>
      <c r="AH9" s="338"/>
      <c r="AI9" s="338"/>
      <c r="AJ9" s="338"/>
      <c r="AK9" s="338"/>
      <c r="AL9" s="338"/>
      <c r="AM9" s="338"/>
      <c r="AN9" s="338"/>
      <c r="AO9" s="338"/>
      <c r="AP9" s="338"/>
      <c r="AQ9" s="338"/>
      <c r="AR9" s="338"/>
      <c r="AS9" s="338"/>
      <c r="AT9" s="338"/>
      <c r="AU9" s="338"/>
      <c r="AV9" s="338"/>
      <c r="AW9" s="338"/>
      <c r="AX9" s="338"/>
      <c r="AY9" s="338"/>
      <c r="AZ9" s="338"/>
      <c r="BA9" s="338"/>
      <c r="BB9" s="338"/>
      <c r="BC9" s="338"/>
      <c r="BD9" s="338"/>
      <c r="BE9" s="338"/>
      <c r="BF9" s="338"/>
      <c r="BG9" s="338"/>
      <c r="BH9" s="338"/>
      <c r="BI9" s="338"/>
      <c r="BJ9" s="339"/>
      <c r="BK9" s="336"/>
      <c r="BM9" s="340"/>
      <c r="BN9" s="340"/>
      <c r="BO9" s="340"/>
      <c r="BP9" s="340"/>
      <c r="BQ9" s="340"/>
      <c r="BR9" s="340"/>
      <c r="BS9" s="340"/>
      <c r="BT9" s="340"/>
      <c r="BU9" s="341"/>
    </row>
    <row r="10" spans="1:73" x14ac:dyDescent="0.25">
      <c r="A10" s="327"/>
      <c r="B10" s="335" t="s">
        <v>968</v>
      </c>
      <c r="C10" s="336"/>
      <c r="D10" s="336"/>
      <c r="E10" s="322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25"/>
      <c r="R10" s="325"/>
      <c r="S10" s="325"/>
      <c r="T10" s="325"/>
      <c r="U10" s="325"/>
      <c r="V10" s="325"/>
      <c r="W10" s="325"/>
      <c r="X10" s="325"/>
      <c r="Y10" s="338"/>
      <c r="Z10" s="338"/>
      <c r="AA10" s="338"/>
      <c r="AB10" s="338"/>
      <c r="AC10" s="338"/>
      <c r="AD10" s="338"/>
      <c r="AE10" s="338"/>
      <c r="AF10" s="338"/>
      <c r="AG10" s="338"/>
      <c r="AH10" s="338"/>
      <c r="AI10" s="338"/>
      <c r="AJ10" s="338"/>
      <c r="AK10" s="338"/>
      <c r="AL10" s="338"/>
      <c r="AM10" s="338"/>
      <c r="AN10" s="338"/>
      <c r="AO10" s="338"/>
      <c r="AP10" s="338"/>
      <c r="AQ10" s="338"/>
      <c r="AR10" s="338"/>
      <c r="AS10" s="338"/>
      <c r="AT10" s="338"/>
      <c r="AU10" s="338"/>
      <c r="AV10" s="338"/>
      <c r="AW10" s="338"/>
      <c r="AX10" s="338"/>
      <c r="AY10" s="338"/>
      <c r="AZ10" s="338"/>
      <c r="BA10" s="338"/>
      <c r="BB10" s="338"/>
      <c r="BC10" s="338"/>
      <c r="BD10" s="338"/>
      <c r="BE10" s="338"/>
      <c r="BF10" s="338"/>
      <c r="BG10" s="338"/>
      <c r="BH10" s="338"/>
      <c r="BI10" s="338"/>
      <c r="BJ10" s="339"/>
      <c r="BK10" s="336"/>
      <c r="BM10" s="340"/>
      <c r="BN10" s="340"/>
      <c r="BO10" s="340"/>
      <c r="BP10" s="340"/>
      <c r="BQ10" s="340"/>
      <c r="BR10" s="340"/>
      <c r="BS10" s="340"/>
      <c r="BT10" s="340"/>
      <c r="BU10" s="341"/>
    </row>
    <row r="11" spans="1:73" x14ac:dyDescent="0.25">
      <c r="A11" s="327"/>
      <c r="B11" s="335" t="s">
        <v>427</v>
      </c>
      <c r="C11" s="336"/>
      <c r="D11" s="336"/>
      <c r="E11" s="322"/>
      <c r="F11" s="313"/>
      <c r="G11" s="313"/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3"/>
      <c r="V11" s="313"/>
      <c r="W11" s="313"/>
      <c r="X11" s="313"/>
      <c r="Y11" s="313"/>
      <c r="Z11" s="313"/>
      <c r="AA11" s="313"/>
      <c r="AB11" s="313"/>
      <c r="AC11" s="313"/>
      <c r="AD11" s="313"/>
      <c r="AE11" s="313"/>
      <c r="AF11" s="313"/>
      <c r="AG11" s="313"/>
      <c r="AH11" s="313"/>
      <c r="AI11" s="313"/>
      <c r="AJ11" s="313"/>
      <c r="AK11" s="313"/>
      <c r="AL11" s="313"/>
      <c r="AM11" s="313"/>
      <c r="AN11" s="313"/>
      <c r="AO11" s="313"/>
      <c r="AP11" s="313"/>
      <c r="AQ11" s="313"/>
      <c r="AR11" s="313"/>
      <c r="AS11" s="313"/>
      <c r="AT11" s="313"/>
      <c r="AU11" s="313"/>
      <c r="AV11" s="313"/>
      <c r="AW11" s="313"/>
      <c r="AX11" s="313"/>
      <c r="AY11" s="313"/>
      <c r="AZ11" s="313"/>
      <c r="BA11" s="313"/>
      <c r="BB11" s="313"/>
      <c r="BC11" s="313"/>
      <c r="BD11" s="313"/>
      <c r="BE11" s="313"/>
      <c r="BF11" s="313"/>
      <c r="BG11" s="313"/>
      <c r="BH11" s="313"/>
      <c r="BI11" s="338"/>
      <c r="BJ11" s="339"/>
      <c r="BK11" s="336"/>
      <c r="BM11" s="340"/>
      <c r="BN11" s="340"/>
      <c r="BO11" s="340"/>
      <c r="BP11" s="340"/>
      <c r="BQ11" s="340"/>
      <c r="BR11" s="340"/>
      <c r="BS11" s="340"/>
      <c r="BT11" s="340"/>
      <c r="BU11" s="341"/>
    </row>
    <row r="12" spans="1:73" x14ac:dyDescent="0.25">
      <c r="A12" s="327" t="s">
        <v>696</v>
      </c>
      <c r="B12" s="342" t="s">
        <v>946</v>
      </c>
      <c r="C12" s="336" t="s">
        <v>69</v>
      </c>
      <c r="D12" s="343">
        <v>0</v>
      </c>
      <c r="E12" s="338">
        <f>BI12</f>
        <v>0</v>
      </c>
      <c r="F12" s="313">
        <f>BJ12</f>
        <v>0</v>
      </c>
      <c r="G12" s="313">
        <f>F12*0.2</f>
        <v>0</v>
      </c>
      <c r="H12" s="313">
        <f>F12*0.8</f>
        <v>0</v>
      </c>
      <c r="I12" s="313"/>
      <c r="J12" s="313"/>
      <c r="K12" s="313"/>
      <c r="L12" s="313"/>
      <c r="M12" s="313"/>
      <c r="N12" s="313"/>
      <c r="O12" s="313"/>
      <c r="P12" s="313"/>
      <c r="Q12" s="313">
        <f>E12*0.25</f>
        <v>0</v>
      </c>
      <c r="R12" s="313">
        <f>E12*0.25</f>
        <v>0</v>
      </c>
      <c r="S12" s="313">
        <f>E12*0.25</f>
        <v>0</v>
      </c>
      <c r="T12" s="313">
        <f>E12*0.25</f>
        <v>0</v>
      </c>
      <c r="U12" s="313">
        <f>Q12*D12</f>
        <v>0</v>
      </c>
      <c r="V12" s="313">
        <f>R12*D12</f>
        <v>0</v>
      </c>
      <c r="W12" s="313">
        <f>S12*D12</f>
        <v>0</v>
      </c>
      <c r="X12" s="313">
        <f>T12*D12</f>
        <v>0</v>
      </c>
      <c r="Y12" s="313">
        <v>0</v>
      </c>
      <c r="Z12" s="313">
        <f>Y12*D12</f>
        <v>0</v>
      </c>
      <c r="AA12" s="313">
        <v>0</v>
      </c>
      <c r="AB12" s="313">
        <f>D12*AA12</f>
        <v>0</v>
      </c>
      <c r="AC12" s="313">
        <v>0</v>
      </c>
      <c r="AD12" s="313">
        <f>AC12*D12</f>
        <v>0</v>
      </c>
      <c r="AE12" s="313">
        <v>0</v>
      </c>
      <c r="AF12" s="313">
        <f>AE12*D12</f>
        <v>0</v>
      </c>
      <c r="AG12" s="313">
        <v>0</v>
      </c>
      <c r="AH12" s="313">
        <f>AG12*D12</f>
        <v>0</v>
      </c>
      <c r="AI12" s="313">
        <v>0</v>
      </c>
      <c r="AJ12" s="313">
        <f>D12*AI12</f>
        <v>0</v>
      </c>
      <c r="AK12" s="313">
        <v>0</v>
      </c>
      <c r="AL12" s="313">
        <f>D12*AK12</f>
        <v>0</v>
      </c>
      <c r="AM12" s="313">
        <v>0</v>
      </c>
      <c r="AN12" s="313">
        <f>D12*AM12</f>
        <v>0</v>
      </c>
      <c r="AO12" s="313">
        <v>0</v>
      </c>
      <c r="AP12" s="313">
        <f>AO12*D12</f>
        <v>0</v>
      </c>
      <c r="AQ12" s="313">
        <v>0</v>
      </c>
      <c r="AR12" s="313">
        <f>AQ12*D12</f>
        <v>0</v>
      </c>
      <c r="AS12" s="313">
        <v>0</v>
      </c>
      <c r="AT12" s="313">
        <f>AS12*D12</f>
        <v>0</v>
      </c>
      <c r="AU12" s="313">
        <v>0</v>
      </c>
      <c r="AV12" s="313">
        <f>AU12*D12</f>
        <v>0</v>
      </c>
      <c r="AW12" s="313">
        <v>0</v>
      </c>
      <c r="AX12" s="313">
        <f>AW12*D12</f>
        <v>0</v>
      </c>
      <c r="AY12" s="313">
        <v>0</v>
      </c>
      <c r="AZ12" s="313">
        <f>AY12*D12</f>
        <v>0</v>
      </c>
      <c r="BA12" s="313">
        <v>0</v>
      </c>
      <c r="BB12" s="313">
        <f>D12*BA12</f>
        <v>0</v>
      </c>
      <c r="BC12" s="313">
        <v>0</v>
      </c>
      <c r="BD12" s="313">
        <f>BC12*D12</f>
        <v>0</v>
      </c>
      <c r="BE12" s="313">
        <v>0</v>
      </c>
      <c r="BF12" s="313">
        <f>BE12*D12</f>
        <v>0</v>
      </c>
      <c r="BG12" s="313"/>
      <c r="BH12" s="313">
        <f>BG12*D12</f>
        <v>0</v>
      </c>
      <c r="BI12" s="338">
        <f t="shared" ref="BI12:BJ14" si="1">BG12+BE12+BC12+BA12+AY12+AW12+AU12+AS12+AQ12+AO12+AM12+AK12+AI12+AG12+AE12+AC12+AA12+Y12</f>
        <v>0</v>
      </c>
      <c r="BJ12" s="338">
        <f t="shared" si="1"/>
        <v>0</v>
      </c>
      <c r="BK12" s="336" t="s">
        <v>209</v>
      </c>
      <c r="BM12" s="340">
        <v>0</v>
      </c>
      <c r="BN12" s="340">
        <f>BJ12</f>
        <v>0</v>
      </c>
      <c r="BO12" s="340">
        <v>0</v>
      </c>
      <c r="BP12" s="340">
        <v>0</v>
      </c>
      <c r="BQ12" s="340">
        <f>BM12+BN12+BO12+BP12</f>
        <v>0</v>
      </c>
      <c r="BR12" s="340">
        <v>0</v>
      </c>
      <c r="BS12" s="340">
        <v>0</v>
      </c>
      <c r="BT12" s="340">
        <f>BR12+BS12</f>
        <v>0</v>
      </c>
      <c r="BU12" s="341">
        <f t="shared" ref="BU12:BU61" si="2">BQ12+BT12</f>
        <v>0</v>
      </c>
    </row>
    <row r="13" spans="1:73" x14ac:dyDescent="0.25">
      <c r="A13" s="327" t="s">
        <v>697</v>
      </c>
      <c r="B13" s="342" t="s">
        <v>629</v>
      </c>
      <c r="C13" s="336" t="s">
        <v>630</v>
      </c>
      <c r="D13" s="343">
        <v>1000</v>
      </c>
      <c r="E13" s="338">
        <f>BI13</f>
        <v>242</v>
      </c>
      <c r="F13" s="313">
        <f>D13*E13</f>
        <v>242000</v>
      </c>
      <c r="G13" s="313">
        <f>F13*0.2</f>
        <v>48400</v>
      </c>
      <c r="H13" s="313">
        <f>F13*0.8</f>
        <v>193600</v>
      </c>
      <c r="I13" s="313"/>
      <c r="J13" s="313"/>
      <c r="K13" s="313"/>
      <c r="L13" s="313"/>
      <c r="M13" s="313"/>
      <c r="N13" s="313"/>
      <c r="O13" s="313"/>
      <c r="P13" s="313"/>
      <c r="Q13" s="313">
        <f>E13*0.25</f>
        <v>60.5</v>
      </c>
      <c r="R13" s="313">
        <f>E13*0.25</f>
        <v>60.5</v>
      </c>
      <c r="S13" s="313">
        <f>E13*0.25</f>
        <v>60.5</v>
      </c>
      <c r="T13" s="313">
        <f>E13*0.25</f>
        <v>60.5</v>
      </c>
      <c r="U13" s="313">
        <f>Q13*D13</f>
        <v>60500</v>
      </c>
      <c r="V13" s="313">
        <f>R13*D13</f>
        <v>60500</v>
      </c>
      <c r="W13" s="313">
        <f>S13*D13</f>
        <v>60500</v>
      </c>
      <c r="X13" s="313">
        <f>T13*D13</f>
        <v>60500</v>
      </c>
      <c r="Y13" s="313">
        <v>12</v>
      </c>
      <c r="Z13" s="313">
        <f>Y13*D13</f>
        <v>12000</v>
      </c>
      <c r="AA13" s="313">
        <v>14</v>
      </c>
      <c r="AB13" s="313">
        <f>D13*AA13</f>
        <v>14000</v>
      </c>
      <c r="AC13" s="313">
        <v>19</v>
      </c>
      <c r="AD13" s="313">
        <f>AC13*D13</f>
        <v>19000</v>
      </c>
      <c r="AE13" s="313">
        <v>5</v>
      </c>
      <c r="AF13" s="313">
        <f>AE13*D13</f>
        <v>5000</v>
      </c>
      <c r="AG13" s="313">
        <v>4</v>
      </c>
      <c r="AH13" s="313">
        <f>AG13*D13</f>
        <v>4000</v>
      </c>
      <c r="AI13" s="313">
        <v>22</v>
      </c>
      <c r="AJ13" s="313">
        <f>D13*AI13</f>
        <v>22000</v>
      </c>
      <c r="AK13" s="313">
        <v>4</v>
      </c>
      <c r="AL13" s="313">
        <f>D13*AK13</f>
        <v>4000</v>
      </c>
      <c r="AM13" s="313">
        <v>20</v>
      </c>
      <c r="AN13" s="313">
        <f>D13*AM13</f>
        <v>20000</v>
      </c>
      <c r="AO13" s="313">
        <v>3</v>
      </c>
      <c r="AP13" s="313">
        <f>AO13*D13</f>
        <v>3000</v>
      </c>
      <c r="AQ13" s="313">
        <v>1</v>
      </c>
      <c r="AR13" s="313">
        <f>AQ13*D13</f>
        <v>1000</v>
      </c>
      <c r="AS13" s="313">
        <v>12</v>
      </c>
      <c r="AT13" s="313">
        <f>AS13*D13</f>
        <v>12000</v>
      </c>
      <c r="AU13" s="313">
        <v>25</v>
      </c>
      <c r="AV13" s="313">
        <f>AU13*D13</f>
        <v>25000</v>
      </c>
      <c r="AW13" s="313">
        <v>5</v>
      </c>
      <c r="AX13" s="313">
        <f>AW13*D13</f>
        <v>5000</v>
      </c>
      <c r="AY13" s="313">
        <v>1</v>
      </c>
      <c r="AZ13" s="313">
        <f>AY13*D13</f>
        <v>1000</v>
      </c>
      <c r="BA13" s="313">
        <v>56</v>
      </c>
      <c r="BB13" s="313">
        <f>D13*BA13</f>
        <v>56000</v>
      </c>
      <c r="BC13" s="313">
        <v>4</v>
      </c>
      <c r="BD13" s="313">
        <f>BC13*D13</f>
        <v>4000</v>
      </c>
      <c r="BE13" s="313">
        <v>35</v>
      </c>
      <c r="BF13" s="313">
        <f>BE13*D13</f>
        <v>35000</v>
      </c>
      <c r="BG13" s="313"/>
      <c r="BH13" s="313"/>
      <c r="BI13" s="338">
        <f t="shared" si="1"/>
        <v>242</v>
      </c>
      <c r="BJ13" s="338">
        <f t="shared" si="1"/>
        <v>242000</v>
      </c>
      <c r="BK13" s="336"/>
      <c r="BM13" s="340"/>
      <c r="BN13" s="340">
        <f>BJ13</f>
        <v>242000</v>
      </c>
      <c r="BO13" s="340"/>
      <c r="BP13" s="340"/>
      <c r="BQ13" s="340">
        <f>BM13+BN13+BO13+BP13</f>
        <v>242000</v>
      </c>
      <c r="BR13" s="340"/>
      <c r="BS13" s="340"/>
      <c r="BT13" s="340"/>
      <c r="BU13" s="341">
        <f t="shared" si="2"/>
        <v>242000</v>
      </c>
    </row>
    <row r="14" spans="1:73" ht="31.5" x14ac:dyDescent="0.25">
      <c r="A14" s="327" t="s">
        <v>698</v>
      </c>
      <c r="B14" s="344" t="s">
        <v>918</v>
      </c>
      <c r="C14" s="336" t="s">
        <v>455</v>
      </c>
      <c r="D14" s="343">
        <v>1000</v>
      </c>
      <c r="E14" s="322">
        <f>BI14</f>
        <v>765</v>
      </c>
      <c r="F14" s="313">
        <f>BJ14</f>
        <v>900000</v>
      </c>
      <c r="G14" s="313">
        <f>F14*0.2</f>
        <v>180000</v>
      </c>
      <c r="H14" s="313">
        <f>F14*0.8</f>
        <v>720000</v>
      </c>
      <c r="I14" s="313"/>
      <c r="J14" s="313"/>
      <c r="K14" s="313"/>
      <c r="L14" s="313"/>
      <c r="M14" s="313"/>
      <c r="N14" s="313"/>
      <c r="O14" s="313"/>
      <c r="P14" s="313"/>
      <c r="Q14" s="313">
        <f>E14*0.25</f>
        <v>191.25</v>
      </c>
      <c r="R14" s="313">
        <f>E14*0.25</f>
        <v>191.25</v>
      </c>
      <c r="S14" s="313">
        <f>E14*0.25</f>
        <v>191.25</v>
      </c>
      <c r="T14" s="313">
        <f>E14*0.25</f>
        <v>191.25</v>
      </c>
      <c r="U14" s="338">
        <f>F14*0.25</f>
        <v>225000</v>
      </c>
      <c r="V14" s="338">
        <f>F14*0.25</f>
        <v>225000</v>
      </c>
      <c r="W14" s="338">
        <f>F14*0.25</f>
        <v>225000</v>
      </c>
      <c r="X14" s="338">
        <f>F14*0.25</f>
        <v>225000</v>
      </c>
      <c r="Y14" s="313">
        <v>45</v>
      </c>
      <c r="Z14" s="313">
        <f>Y14*D14</f>
        <v>45000</v>
      </c>
      <c r="AA14" s="313">
        <v>45</v>
      </c>
      <c r="AB14" s="313">
        <f>D14*AA14</f>
        <v>45000</v>
      </c>
      <c r="AC14" s="313">
        <v>45</v>
      </c>
      <c r="AD14" s="313">
        <f>AC14*D14</f>
        <v>45000</v>
      </c>
      <c r="AE14" s="313">
        <v>45</v>
      </c>
      <c r="AF14" s="313">
        <f>AE14*D14</f>
        <v>45000</v>
      </c>
      <c r="AG14" s="313">
        <v>45</v>
      </c>
      <c r="AH14" s="313">
        <f>AG14*D14</f>
        <v>45000</v>
      </c>
      <c r="AI14" s="313">
        <v>45</v>
      </c>
      <c r="AJ14" s="313">
        <f>D14*AI14</f>
        <v>45000</v>
      </c>
      <c r="AK14" s="313">
        <v>45</v>
      </c>
      <c r="AL14" s="313">
        <f>D14*AK14</f>
        <v>45000</v>
      </c>
      <c r="AM14" s="313">
        <v>45</v>
      </c>
      <c r="AN14" s="313">
        <f>D14*AM14*4</f>
        <v>180000</v>
      </c>
      <c r="AO14" s="313">
        <v>45</v>
      </c>
      <c r="AP14" s="313">
        <f>AO14*D14</f>
        <v>45000</v>
      </c>
      <c r="AQ14" s="313">
        <v>45</v>
      </c>
      <c r="AR14" s="313">
        <f>AQ14*D14</f>
        <v>45000</v>
      </c>
      <c r="AS14" s="313">
        <v>45</v>
      </c>
      <c r="AT14" s="313">
        <f>AS14*D14</f>
        <v>45000</v>
      </c>
      <c r="AU14" s="313">
        <v>45</v>
      </c>
      <c r="AV14" s="313">
        <f>AU14*D14</f>
        <v>45000</v>
      </c>
      <c r="AW14" s="313">
        <v>45</v>
      </c>
      <c r="AX14" s="313">
        <f>AW14*D14</f>
        <v>45000</v>
      </c>
      <c r="AY14" s="313">
        <v>45</v>
      </c>
      <c r="AZ14" s="313">
        <f>AY14*D14</f>
        <v>45000</v>
      </c>
      <c r="BA14" s="313">
        <v>45</v>
      </c>
      <c r="BB14" s="313">
        <f>D14*BA14</f>
        <v>45000</v>
      </c>
      <c r="BC14" s="313">
        <v>45</v>
      </c>
      <c r="BD14" s="313">
        <f>BC14*D14</f>
        <v>45000</v>
      </c>
      <c r="BE14" s="313">
        <v>45</v>
      </c>
      <c r="BF14" s="313">
        <f>BE14*D14</f>
        <v>45000</v>
      </c>
      <c r="BG14" s="313">
        <v>0</v>
      </c>
      <c r="BH14" s="313">
        <f>BG14*D14</f>
        <v>0</v>
      </c>
      <c r="BI14" s="338">
        <f t="shared" si="1"/>
        <v>765</v>
      </c>
      <c r="BJ14" s="338">
        <f t="shared" si="1"/>
        <v>900000</v>
      </c>
      <c r="BK14" s="336" t="s">
        <v>209</v>
      </c>
      <c r="BM14" s="340">
        <v>0</v>
      </c>
      <c r="BN14" s="340">
        <f>BJ14</f>
        <v>900000</v>
      </c>
      <c r="BO14" s="340">
        <v>0</v>
      </c>
      <c r="BP14" s="340">
        <v>0</v>
      </c>
      <c r="BQ14" s="340">
        <f>BM14+BN14+BO14+BP14</f>
        <v>900000</v>
      </c>
      <c r="BR14" s="340">
        <v>0</v>
      </c>
      <c r="BS14" s="340">
        <v>0</v>
      </c>
      <c r="BT14" s="340">
        <f>BR14+BS14</f>
        <v>0</v>
      </c>
      <c r="BU14" s="341">
        <f t="shared" si="2"/>
        <v>900000</v>
      </c>
    </row>
    <row r="15" spans="1:73" x14ac:dyDescent="0.25">
      <c r="B15" s="335" t="s">
        <v>428</v>
      </c>
      <c r="C15" s="336" t="s">
        <v>111</v>
      </c>
      <c r="D15" s="343" t="s">
        <v>111</v>
      </c>
      <c r="E15" s="325">
        <f>SUM(E12:E14)</f>
        <v>1007</v>
      </c>
      <c r="F15" s="325">
        <f>SUM(F12:F14)</f>
        <v>1142000</v>
      </c>
      <c r="G15" s="325">
        <f>SUM(G12:G14)</f>
        <v>228400</v>
      </c>
      <c r="H15" s="325">
        <f t="shared" ref="H15:P15" si="3">SUM(H12:H14)</f>
        <v>913600</v>
      </c>
      <c r="I15" s="325">
        <f t="shared" si="3"/>
        <v>0</v>
      </c>
      <c r="J15" s="325">
        <f t="shared" si="3"/>
        <v>0</v>
      </c>
      <c r="K15" s="325">
        <f t="shared" si="3"/>
        <v>0</v>
      </c>
      <c r="L15" s="325">
        <f t="shared" si="3"/>
        <v>0</v>
      </c>
      <c r="M15" s="325">
        <f t="shared" si="3"/>
        <v>0</v>
      </c>
      <c r="N15" s="325">
        <f t="shared" si="3"/>
        <v>0</v>
      </c>
      <c r="O15" s="325">
        <f t="shared" si="3"/>
        <v>0</v>
      </c>
      <c r="P15" s="325">
        <f t="shared" si="3"/>
        <v>0</v>
      </c>
      <c r="Q15" s="325"/>
      <c r="R15" s="325"/>
      <c r="S15" s="325"/>
      <c r="T15" s="325"/>
      <c r="U15" s="325">
        <f>SUM(U12:U14)</f>
        <v>285500</v>
      </c>
      <c r="V15" s="325">
        <f>SUM(V12:V14)</f>
        <v>285500</v>
      </c>
      <c r="W15" s="325">
        <f>SUM(W12:W14)</f>
        <v>285500</v>
      </c>
      <c r="X15" s="325">
        <f>SUM(X12:X14)</f>
        <v>285500</v>
      </c>
      <c r="Y15" s="313">
        <f>SUM(Y12:Y14)</f>
        <v>57</v>
      </c>
      <c r="Z15" s="313">
        <f t="shared" ref="Z15:BU15" si="4">SUM(Z12:Z14)</f>
        <v>57000</v>
      </c>
      <c r="AA15" s="313">
        <f t="shared" si="4"/>
        <v>59</v>
      </c>
      <c r="AB15" s="313">
        <f t="shared" si="4"/>
        <v>59000</v>
      </c>
      <c r="AC15" s="313">
        <f t="shared" si="4"/>
        <v>64</v>
      </c>
      <c r="AD15" s="313">
        <f t="shared" si="4"/>
        <v>64000</v>
      </c>
      <c r="AE15" s="313">
        <f t="shared" si="4"/>
        <v>50</v>
      </c>
      <c r="AF15" s="313">
        <f t="shared" si="4"/>
        <v>50000</v>
      </c>
      <c r="AG15" s="313">
        <f t="shared" si="4"/>
        <v>49</v>
      </c>
      <c r="AH15" s="313">
        <f t="shared" si="4"/>
        <v>49000</v>
      </c>
      <c r="AI15" s="313">
        <f t="shared" si="4"/>
        <v>67</v>
      </c>
      <c r="AJ15" s="313">
        <f t="shared" si="4"/>
        <v>67000</v>
      </c>
      <c r="AK15" s="313">
        <f t="shared" si="4"/>
        <v>49</v>
      </c>
      <c r="AL15" s="313">
        <f t="shared" si="4"/>
        <v>49000</v>
      </c>
      <c r="AM15" s="313">
        <f t="shared" si="4"/>
        <v>65</v>
      </c>
      <c r="AN15" s="313">
        <f t="shared" si="4"/>
        <v>200000</v>
      </c>
      <c r="AO15" s="313">
        <f t="shared" si="4"/>
        <v>48</v>
      </c>
      <c r="AP15" s="313">
        <f t="shared" si="4"/>
        <v>48000</v>
      </c>
      <c r="AQ15" s="313">
        <f t="shared" si="4"/>
        <v>46</v>
      </c>
      <c r="AR15" s="313">
        <f t="shared" si="4"/>
        <v>46000</v>
      </c>
      <c r="AS15" s="313">
        <f t="shared" si="4"/>
        <v>57</v>
      </c>
      <c r="AT15" s="313">
        <f t="shared" si="4"/>
        <v>57000</v>
      </c>
      <c r="AU15" s="313">
        <f t="shared" si="4"/>
        <v>70</v>
      </c>
      <c r="AV15" s="313">
        <f t="shared" si="4"/>
        <v>70000</v>
      </c>
      <c r="AW15" s="313">
        <f t="shared" si="4"/>
        <v>50</v>
      </c>
      <c r="AX15" s="313">
        <f t="shared" si="4"/>
        <v>50000</v>
      </c>
      <c r="AY15" s="313">
        <f t="shared" si="4"/>
        <v>46</v>
      </c>
      <c r="AZ15" s="313">
        <f t="shared" si="4"/>
        <v>46000</v>
      </c>
      <c r="BA15" s="313">
        <f t="shared" si="4"/>
        <v>101</v>
      </c>
      <c r="BB15" s="313">
        <f t="shared" si="4"/>
        <v>101000</v>
      </c>
      <c r="BC15" s="313">
        <v>0</v>
      </c>
      <c r="BD15" s="313">
        <f t="shared" si="4"/>
        <v>49000</v>
      </c>
      <c r="BE15" s="313">
        <f t="shared" si="4"/>
        <v>80</v>
      </c>
      <c r="BF15" s="313">
        <f t="shared" si="4"/>
        <v>80000</v>
      </c>
      <c r="BG15" s="313">
        <f t="shared" si="4"/>
        <v>0</v>
      </c>
      <c r="BH15" s="313">
        <f t="shared" si="4"/>
        <v>0</v>
      </c>
      <c r="BI15" s="313">
        <f t="shared" si="4"/>
        <v>1007</v>
      </c>
      <c r="BJ15" s="313">
        <f t="shared" si="4"/>
        <v>1142000</v>
      </c>
      <c r="BK15" s="313">
        <f t="shared" si="4"/>
        <v>0</v>
      </c>
      <c r="BL15" s="313">
        <f t="shared" si="4"/>
        <v>0</v>
      </c>
      <c r="BM15" s="313">
        <f t="shared" si="4"/>
        <v>0</v>
      </c>
      <c r="BN15" s="313">
        <f t="shared" si="4"/>
        <v>1142000</v>
      </c>
      <c r="BO15" s="313">
        <f t="shared" si="4"/>
        <v>0</v>
      </c>
      <c r="BP15" s="313">
        <f t="shared" si="4"/>
        <v>0</v>
      </c>
      <c r="BQ15" s="313">
        <f t="shared" si="4"/>
        <v>1142000</v>
      </c>
      <c r="BR15" s="313">
        <f t="shared" si="4"/>
        <v>0</v>
      </c>
      <c r="BS15" s="313">
        <f t="shared" si="4"/>
        <v>0</v>
      </c>
      <c r="BT15" s="313">
        <f t="shared" si="4"/>
        <v>0</v>
      </c>
      <c r="BU15" s="313">
        <f t="shared" si="4"/>
        <v>1142000</v>
      </c>
    </row>
    <row r="16" spans="1:73" ht="31.5" x14ac:dyDescent="0.25">
      <c r="A16" s="327" t="s">
        <v>699</v>
      </c>
      <c r="B16" s="344" t="s">
        <v>925</v>
      </c>
      <c r="C16" s="336" t="s">
        <v>69</v>
      </c>
      <c r="D16" s="343">
        <v>0</v>
      </c>
      <c r="E16" s="322">
        <f>BI16</f>
        <v>0</v>
      </c>
      <c r="F16" s="313">
        <f>E16*D16</f>
        <v>0</v>
      </c>
      <c r="G16" s="313">
        <f>F16*0.2</f>
        <v>0</v>
      </c>
      <c r="H16" s="313">
        <f>F16*0.8</f>
        <v>0</v>
      </c>
      <c r="I16" s="313"/>
      <c r="J16" s="313"/>
      <c r="K16" s="313"/>
      <c r="L16" s="313"/>
      <c r="M16" s="313"/>
      <c r="N16" s="313"/>
      <c r="O16" s="313"/>
      <c r="P16" s="313"/>
      <c r="Q16" s="315">
        <f>E16*0.25</f>
        <v>0</v>
      </c>
      <c r="R16" s="315">
        <f>E16*0.25</f>
        <v>0</v>
      </c>
      <c r="S16" s="315">
        <f>E16*0.25</f>
        <v>0</v>
      </c>
      <c r="T16" s="315">
        <f>E16*0.25</f>
        <v>0</v>
      </c>
      <c r="U16" s="313">
        <f>Q16*D16</f>
        <v>0</v>
      </c>
      <c r="V16" s="313">
        <f>R16*D16</f>
        <v>0</v>
      </c>
      <c r="W16" s="313">
        <f>S16*D16</f>
        <v>0</v>
      </c>
      <c r="X16" s="313">
        <f>T16*D16</f>
        <v>0</v>
      </c>
      <c r="Y16" s="313">
        <v>0</v>
      </c>
      <c r="Z16" s="313">
        <f>Y16*D16</f>
        <v>0</v>
      </c>
      <c r="AA16" s="313">
        <v>0</v>
      </c>
      <c r="AB16" s="313">
        <f>D16*AA16</f>
        <v>0</v>
      </c>
      <c r="AC16" s="313">
        <v>0</v>
      </c>
      <c r="AD16" s="313">
        <f>AC16*D16</f>
        <v>0</v>
      </c>
      <c r="AE16" s="313">
        <v>0</v>
      </c>
      <c r="AF16" s="313">
        <f>AE16*D16</f>
        <v>0</v>
      </c>
      <c r="AG16" s="313">
        <v>0</v>
      </c>
      <c r="AH16" s="313">
        <f>AG16*D16</f>
        <v>0</v>
      </c>
      <c r="AI16" s="313">
        <v>0</v>
      </c>
      <c r="AJ16" s="313">
        <f>D16*AI16</f>
        <v>0</v>
      </c>
      <c r="AK16" s="313">
        <v>0</v>
      </c>
      <c r="AL16" s="313">
        <f>D16*AK16</f>
        <v>0</v>
      </c>
      <c r="AM16" s="313">
        <v>0</v>
      </c>
      <c r="AN16" s="313">
        <f>D16*AM16</f>
        <v>0</v>
      </c>
      <c r="AO16" s="313">
        <v>0</v>
      </c>
      <c r="AP16" s="313">
        <f>AO16*D16</f>
        <v>0</v>
      </c>
      <c r="AQ16" s="313">
        <v>0</v>
      </c>
      <c r="AR16" s="313">
        <f>AQ16*D16</f>
        <v>0</v>
      </c>
      <c r="AS16" s="313">
        <v>0</v>
      </c>
      <c r="AT16" s="313">
        <f>AS16*D16</f>
        <v>0</v>
      </c>
      <c r="AU16" s="345">
        <v>0</v>
      </c>
      <c r="AV16" s="313">
        <f>AU16*D16</f>
        <v>0</v>
      </c>
      <c r="AW16" s="313">
        <v>0</v>
      </c>
      <c r="AX16" s="313">
        <f>AW16*D16</f>
        <v>0</v>
      </c>
      <c r="AY16" s="313">
        <v>0</v>
      </c>
      <c r="AZ16" s="313">
        <f>AY16*D16</f>
        <v>0</v>
      </c>
      <c r="BA16" s="313">
        <v>0</v>
      </c>
      <c r="BB16" s="313">
        <f>D16*BA16</f>
        <v>0</v>
      </c>
      <c r="BC16" s="313">
        <v>0</v>
      </c>
      <c r="BD16" s="313">
        <f>BC16*D16</f>
        <v>0</v>
      </c>
      <c r="BE16" s="313">
        <v>0</v>
      </c>
      <c r="BF16" s="313">
        <f>BE16*D16</f>
        <v>0</v>
      </c>
      <c r="BG16" s="313">
        <v>0</v>
      </c>
      <c r="BH16" s="313">
        <f>BG16*D16</f>
        <v>0</v>
      </c>
      <c r="BI16" s="338">
        <f>BG16+BE16+BC16+BA16+AY16+AW16+AU16+AS16+AQ16+AO16+AM16+AK16+AI16+AG16+AE16+AC16+AA16+Y16</f>
        <v>0</v>
      </c>
      <c r="BJ16" s="338">
        <f>BH16+BF16+BD16+BB16+AZ16+AX16+AV16+AT16+AR16+AP16+AN16+AL16+AJ16+AH16+AF16+AD16+AB16+Z16</f>
        <v>0</v>
      </c>
      <c r="BK16" s="336" t="s">
        <v>209</v>
      </c>
      <c r="BM16" s="340"/>
      <c r="BN16" s="340"/>
      <c r="BO16" s="340">
        <f>F16</f>
        <v>0</v>
      </c>
      <c r="BP16" s="340"/>
      <c r="BQ16" s="340">
        <f>BM16+BN16+BO16+BP16</f>
        <v>0</v>
      </c>
      <c r="BR16" s="340"/>
      <c r="BS16" s="340"/>
      <c r="BT16" s="340"/>
      <c r="BU16" s="341">
        <f t="shared" si="2"/>
        <v>0</v>
      </c>
    </row>
    <row r="17" spans="1:73" x14ac:dyDescent="0.25">
      <c r="A17" s="327"/>
      <c r="B17" s="335" t="s">
        <v>429</v>
      </c>
      <c r="C17" s="346" t="s">
        <v>111</v>
      </c>
      <c r="D17" s="343" t="s">
        <v>111</v>
      </c>
      <c r="E17" s="325">
        <f>E16</f>
        <v>0</v>
      </c>
      <c r="F17" s="325">
        <f>F16</f>
        <v>0</v>
      </c>
      <c r="G17" s="325">
        <f>G16</f>
        <v>0</v>
      </c>
      <c r="H17" s="325">
        <f t="shared" ref="H17:P17" si="5">H16</f>
        <v>0</v>
      </c>
      <c r="I17" s="325">
        <f t="shared" si="5"/>
        <v>0</v>
      </c>
      <c r="J17" s="325">
        <f t="shared" si="5"/>
        <v>0</v>
      </c>
      <c r="K17" s="325">
        <f t="shared" si="5"/>
        <v>0</v>
      </c>
      <c r="L17" s="325">
        <f t="shared" si="5"/>
        <v>0</v>
      </c>
      <c r="M17" s="325">
        <f t="shared" si="5"/>
        <v>0</v>
      </c>
      <c r="N17" s="325">
        <f t="shared" si="5"/>
        <v>0</v>
      </c>
      <c r="O17" s="325">
        <f t="shared" si="5"/>
        <v>0</v>
      </c>
      <c r="P17" s="325">
        <f t="shared" si="5"/>
        <v>0</v>
      </c>
      <c r="Q17" s="325"/>
      <c r="R17" s="347"/>
      <c r="S17" s="347"/>
      <c r="T17" s="347"/>
      <c r="U17" s="325">
        <f>SUM(U16)</f>
        <v>0</v>
      </c>
      <c r="V17" s="325">
        <f>SUM(V16)</f>
        <v>0</v>
      </c>
      <c r="W17" s="325">
        <f>SUM(W16)</f>
        <v>0</v>
      </c>
      <c r="X17" s="325">
        <f>SUM(X16)</f>
        <v>0</v>
      </c>
      <c r="Y17" s="313">
        <f>SUM(Y16)</f>
        <v>0</v>
      </c>
      <c r="Z17" s="313">
        <f t="shared" ref="Z17:BU17" si="6">SUM(Z16)</f>
        <v>0</v>
      </c>
      <c r="AA17" s="313">
        <f t="shared" si="6"/>
        <v>0</v>
      </c>
      <c r="AB17" s="313">
        <f t="shared" si="6"/>
        <v>0</v>
      </c>
      <c r="AC17" s="313">
        <f t="shared" si="6"/>
        <v>0</v>
      </c>
      <c r="AD17" s="313">
        <f t="shared" si="6"/>
        <v>0</v>
      </c>
      <c r="AE17" s="313">
        <f t="shared" si="6"/>
        <v>0</v>
      </c>
      <c r="AF17" s="313">
        <f t="shared" si="6"/>
        <v>0</v>
      </c>
      <c r="AG17" s="313">
        <f t="shared" si="6"/>
        <v>0</v>
      </c>
      <c r="AH17" s="313">
        <f t="shared" si="6"/>
        <v>0</v>
      </c>
      <c r="AI17" s="313">
        <f t="shared" si="6"/>
        <v>0</v>
      </c>
      <c r="AJ17" s="313">
        <f t="shared" si="6"/>
        <v>0</v>
      </c>
      <c r="AK17" s="313">
        <f t="shared" si="6"/>
        <v>0</v>
      </c>
      <c r="AL17" s="313">
        <f t="shared" si="6"/>
        <v>0</v>
      </c>
      <c r="AM17" s="313">
        <f t="shared" si="6"/>
        <v>0</v>
      </c>
      <c r="AN17" s="313">
        <f t="shared" si="6"/>
        <v>0</v>
      </c>
      <c r="AO17" s="313">
        <f t="shared" si="6"/>
        <v>0</v>
      </c>
      <c r="AP17" s="313">
        <f t="shared" si="6"/>
        <v>0</v>
      </c>
      <c r="AQ17" s="313">
        <f t="shared" si="6"/>
        <v>0</v>
      </c>
      <c r="AR17" s="313">
        <f t="shared" si="6"/>
        <v>0</v>
      </c>
      <c r="AS17" s="313">
        <f t="shared" si="6"/>
        <v>0</v>
      </c>
      <c r="AT17" s="313">
        <f t="shared" si="6"/>
        <v>0</v>
      </c>
      <c r="AU17" s="313">
        <f t="shared" si="6"/>
        <v>0</v>
      </c>
      <c r="AV17" s="313">
        <f t="shared" si="6"/>
        <v>0</v>
      </c>
      <c r="AW17" s="313">
        <f t="shared" si="6"/>
        <v>0</v>
      </c>
      <c r="AX17" s="313">
        <f t="shared" si="6"/>
        <v>0</v>
      </c>
      <c r="AY17" s="313">
        <f t="shared" si="6"/>
        <v>0</v>
      </c>
      <c r="AZ17" s="313">
        <f t="shared" si="6"/>
        <v>0</v>
      </c>
      <c r="BA17" s="313">
        <f t="shared" si="6"/>
        <v>0</v>
      </c>
      <c r="BB17" s="313">
        <f t="shared" si="6"/>
        <v>0</v>
      </c>
      <c r="BC17" s="313">
        <f t="shared" si="6"/>
        <v>0</v>
      </c>
      <c r="BD17" s="313">
        <f t="shared" si="6"/>
        <v>0</v>
      </c>
      <c r="BE17" s="313">
        <f t="shared" si="6"/>
        <v>0</v>
      </c>
      <c r="BF17" s="313">
        <f t="shared" si="6"/>
        <v>0</v>
      </c>
      <c r="BG17" s="313">
        <f t="shared" si="6"/>
        <v>0</v>
      </c>
      <c r="BH17" s="313">
        <f t="shared" si="6"/>
        <v>0</v>
      </c>
      <c r="BI17" s="313">
        <f t="shared" si="6"/>
        <v>0</v>
      </c>
      <c r="BJ17" s="313">
        <f t="shared" si="6"/>
        <v>0</v>
      </c>
      <c r="BK17" s="313">
        <f t="shared" si="6"/>
        <v>0</v>
      </c>
      <c r="BL17" s="313">
        <f t="shared" si="6"/>
        <v>0</v>
      </c>
      <c r="BM17" s="313">
        <f t="shared" si="6"/>
        <v>0</v>
      </c>
      <c r="BN17" s="313">
        <f t="shared" si="6"/>
        <v>0</v>
      </c>
      <c r="BO17" s="313">
        <f t="shared" si="6"/>
        <v>0</v>
      </c>
      <c r="BP17" s="313">
        <f t="shared" si="6"/>
        <v>0</v>
      </c>
      <c r="BQ17" s="313">
        <f t="shared" si="6"/>
        <v>0</v>
      </c>
      <c r="BR17" s="313">
        <f t="shared" si="6"/>
        <v>0</v>
      </c>
      <c r="BS17" s="313">
        <f t="shared" si="6"/>
        <v>0</v>
      </c>
      <c r="BT17" s="313">
        <f t="shared" si="6"/>
        <v>0</v>
      </c>
      <c r="BU17" s="313">
        <f t="shared" si="6"/>
        <v>0</v>
      </c>
    </row>
    <row r="18" spans="1:73" s="317" customFormat="1" x14ac:dyDescent="0.25">
      <c r="A18" s="348"/>
      <c r="B18" s="335" t="s">
        <v>430</v>
      </c>
      <c r="C18" s="336"/>
      <c r="D18" s="336"/>
      <c r="E18" s="332"/>
      <c r="F18" s="325"/>
      <c r="G18" s="325"/>
      <c r="H18" s="325"/>
      <c r="I18" s="325"/>
      <c r="J18" s="325"/>
      <c r="K18" s="325"/>
      <c r="L18" s="325"/>
      <c r="M18" s="325"/>
      <c r="N18" s="325"/>
      <c r="O18" s="325"/>
      <c r="P18" s="325"/>
      <c r="Q18" s="347"/>
      <c r="R18" s="347"/>
      <c r="S18" s="347"/>
      <c r="T18" s="347"/>
      <c r="U18" s="325"/>
      <c r="V18" s="325"/>
      <c r="W18" s="325"/>
      <c r="X18" s="325"/>
      <c r="Y18" s="313"/>
      <c r="Z18" s="313"/>
      <c r="AA18" s="313"/>
      <c r="AB18" s="313"/>
      <c r="AC18" s="313"/>
      <c r="AD18" s="313"/>
      <c r="AE18" s="313"/>
      <c r="AF18" s="313"/>
      <c r="AG18" s="313"/>
      <c r="AH18" s="313"/>
      <c r="AI18" s="313"/>
      <c r="AJ18" s="313"/>
      <c r="AK18" s="313"/>
      <c r="AL18" s="313"/>
      <c r="AM18" s="313"/>
      <c r="AN18" s="313"/>
      <c r="AO18" s="313"/>
      <c r="AP18" s="313"/>
      <c r="AQ18" s="313"/>
      <c r="AR18" s="313"/>
      <c r="AS18" s="313"/>
      <c r="AT18" s="313"/>
      <c r="AU18" s="313"/>
      <c r="AV18" s="313"/>
      <c r="AW18" s="313"/>
      <c r="AX18" s="313"/>
      <c r="AY18" s="313"/>
      <c r="AZ18" s="313"/>
      <c r="BA18" s="313"/>
      <c r="BB18" s="313"/>
      <c r="BC18" s="313"/>
      <c r="BD18" s="313"/>
      <c r="BE18" s="313"/>
      <c r="BF18" s="313"/>
      <c r="BG18" s="313"/>
      <c r="BH18" s="313"/>
      <c r="BI18" s="338"/>
      <c r="BJ18" s="339"/>
      <c r="BK18" s="336"/>
      <c r="BM18" s="325"/>
      <c r="BN18" s="325"/>
      <c r="BO18" s="325"/>
      <c r="BP18" s="325"/>
      <c r="BQ18" s="325"/>
      <c r="BR18" s="325"/>
      <c r="BS18" s="325"/>
      <c r="BT18" s="325"/>
      <c r="BU18" s="349"/>
    </row>
    <row r="19" spans="1:73" x14ac:dyDescent="0.25">
      <c r="A19" s="327"/>
      <c r="B19" s="335" t="s">
        <v>431</v>
      </c>
      <c r="C19" s="336"/>
      <c r="D19" s="336"/>
      <c r="E19" s="322"/>
      <c r="F19" s="313"/>
      <c r="G19" s="313"/>
      <c r="H19" s="313"/>
      <c r="I19" s="313"/>
      <c r="J19" s="313"/>
      <c r="K19" s="313"/>
      <c r="L19" s="313"/>
      <c r="M19" s="313"/>
      <c r="N19" s="313"/>
      <c r="O19" s="313"/>
      <c r="P19" s="313"/>
      <c r="Q19" s="315"/>
      <c r="R19" s="315"/>
      <c r="S19" s="315"/>
      <c r="T19" s="315"/>
      <c r="U19" s="313"/>
      <c r="V19" s="313"/>
      <c r="W19" s="313"/>
      <c r="X19" s="313"/>
      <c r="Y19" s="313"/>
      <c r="Z19" s="313"/>
      <c r="AA19" s="313"/>
      <c r="AB19" s="313"/>
      <c r="AC19" s="313"/>
      <c r="AD19" s="313"/>
      <c r="AE19" s="313"/>
      <c r="AF19" s="313"/>
      <c r="AG19" s="313"/>
      <c r="AH19" s="313"/>
      <c r="AI19" s="313"/>
      <c r="AJ19" s="313"/>
      <c r="AK19" s="313"/>
      <c r="AL19" s="313"/>
      <c r="AM19" s="313"/>
      <c r="AN19" s="313"/>
      <c r="AO19" s="313"/>
      <c r="AP19" s="313"/>
      <c r="AQ19" s="313"/>
      <c r="AR19" s="313"/>
      <c r="AS19" s="313"/>
      <c r="AT19" s="313"/>
      <c r="AU19" s="313"/>
      <c r="AV19" s="313"/>
      <c r="AW19" s="313"/>
      <c r="AX19" s="313"/>
      <c r="AY19" s="313"/>
      <c r="AZ19" s="313"/>
      <c r="BA19" s="313"/>
      <c r="BB19" s="313"/>
      <c r="BC19" s="313"/>
      <c r="BD19" s="313"/>
      <c r="BE19" s="313"/>
      <c r="BF19" s="313"/>
      <c r="BG19" s="313"/>
      <c r="BH19" s="313"/>
      <c r="BI19" s="338"/>
      <c r="BJ19" s="339"/>
      <c r="BK19" s="336"/>
      <c r="BM19" s="340"/>
      <c r="BN19" s="340"/>
      <c r="BO19" s="340"/>
      <c r="BP19" s="340"/>
      <c r="BQ19" s="340"/>
      <c r="BR19" s="340"/>
      <c r="BS19" s="340"/>
      <c r="BT19" s="340"/>
      <c r="BU19" s="341">
        <f t="shared" si="2"/>
        <v>0</v>
      </c>
    </row>
    <row r="20" spans="1:73" ht="31.5" x14ac:dyDescent="0.25">
      <c r="A20" s="327" t="s">
        <v>700</v>
      </c>
      <c r="B20" s="344" t="s">
        <v>631</v>
      </c>
      <c r="C20" s="336" t="s">
        <v>455</v>
      </c>
      <c r="D20" s="343">
        <v>0</v>
      </c>
      <c r="E20" s="338">
        <f>BI20</f>
        <v>0</v>
      </c>
      <c r="F20" s="313">
        <f>E20*D20</f>
        <v>0</v>
      </c>
      <c r="G20" s="313">
        <f>F20*0.2</f>
        <v>0</v>
      </c>
      <c r="H20" s="313">
        <f>F20*0.8</f>
        <v>0</v>
      </c>
      <c r="I20" s="313"/>
      <c r="J20" s="313"/>
      <c r="K20" s="313"/>
      <c r="L20" s="313"/>
      <c r="M20" s="313"/>
      <c r="N20" s="313"/>
      <c r="O20" s="313"/>
      <c r="P20" s="313"/>
      <c r="Q20" s="315">
        <f>E20*0.25</f>
        <v>0</v>
      </c>
      <c r="R20" s="315">
        <f>E20*0.25</f>
        <v>0</v>
      </c>
      <c r="S20" s="315">
        <f>E20*0.25</f>
        <v>0</v>
      </c>
      <c r="T20" s="315">
        <f>E20*0.25</f>
        <v>0</v>
      </c>
      <c r="U20" s="313">
        <f>Q20*D20</f>
        <v>0</v>
      </c>
      <c r="V20" s="313">
        <f>R20*D20</f>
        <v>0</v>
      </c>
      <c r="W20" s="313">
        <f>S20*D20</f>
        <v>0</v>
      </c>
      <c r="X20" s="313">
        <f>T20*D20</f>
        <v>0</v>
      </c>
      <c r="Y20" s="313">
        <v>0</v>
      </c>
      <c r="Z20" s="313">
        <f>Y20*D20</f>
        <v>0</v>
      </c>
      <c r="AA20" s="313">
        <v>0</v>
      </c>
      <c r="AB20" s="313">
        <f>AA20*D20</f>
        <v>0</v>
      </c>
      <c r="AC20" s="313">
        <v>0</v>
      </c>
      <c r="AD20" s="313">
        <f>AC20*D20</f>
        <v>0</v>
      </c>
      <c r="AE20" s="313">
        <v>0</v>
      </c>
      <c r="AF20" s="313">
        <f>AE20*D20</f>
        <v>0</v>
      </c>
      <c r="AG20" s="313">
        <v>0</v>
      </c>
      <c r="AH20" s="313">
        <f>AG20*D20</f>
        <v>0</v>
      </c>
      <c r="AI20" s="313">
        <v>0</v>
      </c>
      <c r="AJ20" s="313">
        <f>D20*AI20</f>
        <v>0</v>
      </c>
      <c r="AK20" s="313">
        <v>0</v>
      </c>
      <c r="AL20" s="313">
        <f>D20*AK20</f>
        <v>0</v>
      </c>
      <c r="AM20" s="313">
        <v>0</v>
      </c>
      <c r="AN20" s="313">
        <f>D20*AM20</f>
        <v>0</v>
      </c>
      <c r="AO20" s="313">
        <v>0</v>
      </c>
      <c r="AP20" s="313">
        <f>AO20*D20</f>
        <v>0</v>
      </c>
      <c r="AQ20" s="313">
        <v>0</v>
      </c>
      <c r="AR20" s="313">
        <f>AQ20*D20</f>
        <v>0</v>
      </c>
      <c r="AS20" s="313">
        <v>0</v>
      </c>
      <c r="AT20" s="313">
        <f>AS20*D20</f>
        <v>0</v>
      </c>
      <c r="AU20" s="313">
        <v>0</v>
      </c>
      <c r="AV20" s="313">
        <f>AU20*D20</f>
        <v>0</v>
      </c>
      <c r="AW20" s="313">
        <v>0</v>
      </c>
      <c r="AX20" s="313">
        <f>AW20*D20</f>
        <v>0</v>
      </c>
      <c r="AY20" s="313">
        <v>0</v>
      </c>
      <c r="AZ20" s="313">
        <f>AY20*D20</f>
        <v>0</v>
      </c>
      <c r="BA20" s="313">
        <v>0</v>
      </c>
      <c r="BB20" s="313">
        <f>D20*BA20</f>
        <v>0</v>
      </c>
      <c r="BC20" s="313">
        <v>0</v>
      </c>
      <c r="BD20" s="313">
        <f>BC20*D20</f>
        <v>0</v>
      </c>
      <c r="BE20" s="313">
        <v>0</v>
      </c>
      <c r="BF20" s="313">
        <f>BE20*D20</f>
        <v>0</v>
      </c>
      <c r="BG20" s="313">
        <v>0</v>
      </c>
      <c r="BH20" s="313">
        <f>BG20*D20</f>
        <v>0</v>
      </c>
      <c r="BI20" s="338">
        <f t="shared" ref="BI20:BJ24" si="7">BG20+BE20+BC20+BA20+AY20+AW20+AU20+AS20+AQ20+AO20+AM20+AK20+AI20+AG20+AE20+AC20+AA20+Y20</f>
        <v>0</v>
      </c>
      <c r="BJ20" s="338">
        <f t="shared" si="7"/>
        <v>0</v>
      </c>
      <c r="BK20" s="336" t="s">
        <v>209</v>
      </c>
      <c r="BM20" s="340"/>
      <c r="BN20" s="340">
        <f>BJ20</f>
        <v>0</v>
      </c>
      <c r="BO20" s="340"/>
      <c r="BP20" s="340"/>
      <c r="BQ20" s="340">
        <f>BM20+BN20+BO20+BP20</f>
        <v>0</v>
      </c>
      <c r="BR20" s="340"/>
      <c r="BS20" s="340"/>
      <c r="BT20" s="340"/>
      <c r="BU20" s="341">
        <f t="shared" si="2"/>
        <v>0</v>
      </c>
    </row>
    <row r="21" spans="1:73" ht="31.5" x14ac:dyDescent="0.25">
      <c r="A21" s="327" t="s">
        <v>701</v>
      </c>
      <c r="B21" s="344" t="s">
        <v>969</v>
      </c>
      <c r="C21" s="336" t="s">
        <v>455</v>
      </c>
      <c r="D21" s="343">
        <v>150</v>
      </c>
      <c r="E21" s="322">
        <f>BI21</f>
        <v>1665</v>
      </c>
      <c r="F21" s="313">
        <f>E21*D21</f>
        <v>249750</v>
      </c>
      <c r="G21" s="313">
        <f>F21*0.2</f>
        <v>49950</v>
      </c>
      <c r="H21" s="313">
        <f>F21*0.8</f>
        <v>199800</v>
      </c>
      <c r="I21" s="313"/>
      <c r="J21" s="313"/>
      <c r="K21" s="313"/>
      <c r="L21" s="313"/>
      <c r="M21" s="313"/>
      <c r="N21" s="313"/>
      <c r="O21" s="313"/>
      <c r="P21" s="313"/>
      <c r="Q21" s="315">
        <f>E21*0.25</f>
        <v>416.25</v>
      </c>
      <c r="R21" s="315">
        <f>E21*0.25</f>
        <v>416.25</v>
      </c>
      <c r="S21" s="315">
        <f>E21*0.25</f>
        <v>416.25</v>
      </c>
      <c r="T21" s="315">
        <f>E21*0.25</f>
        <v>416.25</v>
      </c>
      <c r="U21" s="313">
        <f>Q21*D21</f>
        <v>62437.5</v>
      </c>
      <c r="V21" s="313">
        <f>R21*D21</f>
        <v>62437.5</v>
      </c>
      <c r="W21" s="313">
        <f>S21*D21</f>
        <v>62437.5</v>
      </c>
      <c r="X21" s="313">
        <f>T21*D21</f>
        <v>62437.5</v>
      </c>
      <c r="Y21" s="313">
        <f>40*3</f>
        <v>120</v>
      </c>
      <c r="Z21" s="313">
        <f>Y21*D21</f>
        <v>18000</v>
      </c>
      <c r="AA21" s="313">
        <f>21*3</f>
        <v>63</v>
      </c>
      <c r="AB21" s="313">
        <f>AA21*D21</f>
        <v>9450</v>
      </c>
      <c r="AC21" s="313">
        <f>30*3</f>
        <v>90</v>
      </c>
      <c r="AD21" s="313">
        <f>AC21*D21</f>
        <v>13500</v>
      </c>
      <c r="AE21" s="313">
        <f>51*3</f>
        <v>153</v>
      </c>
      <c r="AF21" s="313">
        <f>AE21*D21</f>
        <v>22950</v>
      </c>
      <c r="AG21" s="313">
        <f>21*3</f>
        <v>63</v>
      </c>
      <c r="AH21" s="313">
        <f>AG21*D21</f>
        <v>9450</v>
      </c>
      <c r="AI21" s="313">
        <f>30*3</f>
        <v>90</v>
      </c>
      <c r="AJ21" s="313">
        <f>D21*AI21</f>
        <v>13500</v>
      </c>
      <c r="AK21" s="313">
        <f>22*3</f>
        <v>66</v>
      </c>
      <c r="AL21" s="313">
        <f>D21*AK21</f>
        <v>9900</v>
      </c>
      <c r="AM21" s="313">
        <f>45*3</f>
        <v>135</v>
      </c>
      <c r="AN21" s="313">
        <f>D21*AM21</f>
        <v>20250</v>
      </c>
      <c r="AO21" s="313">
        <v>24</v>
      </c>
      <c r="AP21" s="313">
        <f>AO21*D21</f>
        <v>3600</v>
      </c>
      <c r="AQ21" s="313">
        <f>32*3</f>
        <v>96</v>
      </c>
      <c r="AR21" s="313">
        <f>AQ21*D21</f>
        <v>14400</v>
      </c>
      <c r="AS21" s="313">
        <f>30*3</f>
        <v>90</v>
      </c>
      <c r="AT21" s="313">
        <f>AS21*D21</f>
        <v>13500</v>
      </c>
      <c r="AU21" s="313">
        <f>30*3</f>
        <v>90</v>
      </c>
      <c r="AV21" s="313">
        <f>AU21*D21</f>
        <v>13500</v>
      </c>
      <c r="AW21" s="313">
        <f>30*3</f>
        <v>90</v>
      </c>
      <c r="AX21" s="313">
        <f>AW21*D21</f>
        <v>13500</v>
      </c>
      <c r="AY21" s="313">
        <f>30*3</f>
        <v>90</v>
      </c>
      <c r="AZ21" s="313">
        <f>AY21*D21</f>
        <v>13500</v>
      </c>
      <c r="BA21" s="313">
        <f>45*3</f>
        <v>135</v>
      </c>
      <c r="BB21" s="313">
        <f>D21*BA21</f>
        <v>20250</v>
      </c>
      <c r="BC21" s="313">
        <f>60*3</f>
        <v>180</v>
      </c>
      <c r="BD21" s="313">
        <f>BC21*D21</f>
        <v>27000</v>
      </c>
      <c r="BE21" s="313">
        <f>30*3</f>
        <v>90</v>
      </c>
      <c r="BF21" s="313">
        <f>BE21*D21</f>
        <v>13500</v>
      </c>
      <c r="BG21" s="313">
        <v>0</v>
      </c>
      <c r="BH21" s="313">
        <f>BG21*D21</f>
        <v>0</v>
      </c>
      <c r="BI21" s="338">
        <f t="shared" si="7"/>
        <v>1665</v>
      </c>
      <c r="BJ21" s="338">
        <f t="shared" si="7"/>
        <v>249750</v>
      </c>
      <c r="BK21" s="336" t="s">
        <v>209</v>
      </c>
      <c r="BM21" s="340"/>
      <c r="BN21" s="340">
        <f>BJ21</f>
        <v>249750</v>
      </c>
      <c r="BO21" s="340"/>
      <c r="BP21" s="340"/>
      <c r="BQ21" s="340">
        <f>BM21+BN21+BO21+BP21</f>
        <v>249750</v>
      </c>
      <c r="BR21" s="340"/>
      <c r="BS21" s="340"/>
      <c r="BT21" s="340"/>
      <c r="BU21" s="341">
        <f t="shared" si="2"/>
        <v>249750</v>
      </c>
    </row>
    <row r="22" spans="1:73" x14ac:dyDescent="0.25">
      <c r="A22" s="327" t="s">
        <v>702</v>
      </c>
      <c r="B22" s="342" t="s">
        <v>605</v>
      </c>
      <c r="C22" s="336" t="s">
        <v>455</v>
      </c>
      <c r="D22" s="343">
        <v>150</v>
      </c>
      <c r="E22" s="322">
        <f>BI22</f>
        <v>0</v>
      </c>
      <c r="F22" s="313">
        <f>E22*D22</f>
        <v>0</v>
      </c>
      <c r="G22" s="313">
        <f>F22*0.2</f>
        <v>0</v>
      </c>
      <c r="H22" s="313">
        <f>F22*0.8</f>
        <v>0</v>
      </c>
      <c r="I22" s="313"/>
      <c r="J22" s="313"/>
      <c r="K22" s="313"/>
      <c r="L22" s="313"/>
      <c r="M22" s="313"/>
      <c r="N22" s="313"/>
      <c r="O22" s="313"/>
      <c r="P22" s="313"/>
      <c r="Q22" s="315">
        <f>E22*0.25</f>
        <v>0</v>
      </c>
      <c r="R22" s="315">
        <f>E22*0.25</f>
        <v>0</v>
      </c>
      <c r="S22" s="315">
        <f>E22*0.25</f>
        <v>0</v>
      </c>
      <c r="T22" s="315">
        <f>E22*0.25</f>
        <v>0</v>
      </c>
      <c r="U22" s="313">
        <f>Q22*D22</f>
        <v>0</v>
      </c>
      <c r="V22" s="313">
        <f>R22*D22</f>
        <v>0</v>
      </c>
      <c r="W22" s="313">
        <f>S22*D22</f>
        <v>0</v>
      </c>
      <c r="X22" s="313">
        <f>T22*D22</f>
        <v>0</v>
      </c>
      <c r="Y22" s="313">
        <v>0</v>
      </c>
      <c r="Z22" s="313">
        <f>Y22*D22</f>
        <v>0</v>
      </c>
      <c r="AA22" s="313">
        <v>0</v>
      </c>
      <c r="AB22" s="313">
        <f>AA22*D22</f>
        <v>0</v>
      </c>
      <c r="AC22" s="313">
        <v>0</v>
      </c>
      <c r="AD22" s="313">
        <f>AC22*D22</f>
        <v>0</v>
      </c>
      <c r="AE22" s="313">
        <v>0</v>
      </c>
      <c r="AF22" s="313">
        <f>AE22*D22</f>
        <v>0</v>
      </c>
      <c r="AG22" s="313">
        <v>0</v>
      </c>
      <c r="AH22" s="313">
        <f>AG22*D22</f>
        <v>0</v>
      </c>
      <c r="AI22" s="313">
        <v>0</v>
      </c>
      <c r="AJ22" s="313">
        <f>D22*AI22</f>
        <v>0</v>
      </c>
      <c r="AK22" s="313">
        <v>0</v>
      </c>
      <c r="AL22" s="313">
        <f>D22*AK22</f>
        <v>0</v>
      </c>
      <c r="AM22" s="313">
        <v>0</v>
      </c>
      <c r="AN22" s="313">
        <f>D22*AM22</f>
        <v>0</v>
      </c>
      <c r="AO22" s="313">
        <v>0</v>
      </c>
      <c r="AP22" s="313">
        <f>AO22*D22</f>
        <v>0</v>
      </c>
      <c r="AQ22" s="313">
        <v>0</v>
      </c>
      <c r="AR22" s="313">
        <f>AQ22*D22</f>
        <v>0</v>
      </c>
      <c r="AS22" s="313">
        <v>0</v>
      </c>
      <c r="AT22" s="313">
        <f>AS22*D22</f>
        <v>0</v>
      </c>
      <c r="AU22" s="313">
        <v>0</v>
      </c>
      <c r="AV22" s="313">
        <f>AU22*D22</f>
        <v>0</v>
      </c>
      <c r="AW22" s="313">
        <v>0</v>
      </c>
      <c r="AX22" s="313">
        <f>AW22*D22</f>
        <v>0</v>
      </c>
      <c r="AY22" s="313">
        <v>0</v>
      </c>
      <c r="AZ22" s="313">
        <f>AY22*D22</f>
        <v>0</v>
      </c>
      <c r="BA22" s="313">
        <v>0</v>
      </c>
      <c r="BB22" s="313">
        <f>D22*BA22</f>
        <v>0</v>
      </c>
      <c r="BC22" s="313">
        <v>0</v>
      </c>
      <c r="BD22" s="313">
        <f>BC22*D22</f>
        <v>0</v>
      </c>
      <c r="BE22" s="313">
        <v>0</v>
      </c>
      <c r="BF22" s="313">
        <f>BE22*D22</f>
        <v>0</v>
      </c>
      <c r="BG22" s="313">
        <v>0</v>
      </c>
      <c r="BH22" s="313">
        <f>BG22*D22</f>
        <v>0</v>
      </c>
      <c r="BI22" s="338">
        <f t="shared" si="7"/>
        <v>0</v>
      </c>
      <c r="BJ22" s="338">
        <f t="shared" si="7"/>
        <v>0</v>
      </c>
      <c r="BK22" s="336" t="s">
        <v>209</v>
      </c>
      <c r="BM22" s="340"/>
      <c r="BN22" s="340">
        <f>BJ22</f>
        <v>0</v>
      </c>
      <c r="BO22" s="340">
        <v>0</v>
      </c>
      <c r="BP22" s="340">
        <v>0</v>
      </c>
      <c r="BQ22" s="340">
        <f>BM22+BN22+BO22+BP22</f>
        <v>0</v>
      </c>
      <c r="BR22" s="340">
        <v>0</v>
      </c>
      <c r="BS22" s="340">
        <v>0</v>
      </c>
      <c r="BT22" s="340">
        <f>BR22+BS22</f>
        <v>0</v>
      </c>
      <c r="BU22" s="341">
        <f t="shared" si="2"/>
        <v>0</v>
      </c>
    </row>
    <row r="23" spans="1:73" ht="27.75" customHeight="1" x14ac:dyDescent="0.25">
      <c r="A23" s="327" t="s">
        <v>703</v>
      </c>
      <c r="B23" s="342" t="s">
        <v>606</v>
      </c>
      <c r="C23" s="336" t="s">
        <v>455</v>
      </c>
      <c r="D23" s="343">
        <v>150</v>
      </c>
      <c r="E23" s="350">
        <f>BI23</f>
        <v>4472.5</v>
      </c>
      <c r="F23" s="313">
        <f>E23*D23</f>
        <v>670875</v>
      </c>
      <c r="G23" s="313">
        <f>F23*0.2</f>
        <v>134175</v>
      </c>
      <c r="H23" s="313">
        <f>F23*0.8</f>
        <v>536700</v>
      </c>
      <c r="I23" s="313"/>
      <c r="J23" s="313"/>
      <c r="K23" s="313"/>
      <c r="L23" s="313"/>
      <c r="M23" s="313"/>
      <c r="N23" s="313"/>
      <c r="O23" s="313"/>
      <c r="P23" s="313"/>
      <c r="Q23" s="315">
        <f>E23*0.25</f>
        <v>1118.125</v>
      </c>
      <c r="R23" s="315">
        <f>E23*0.25</f>
        <v>1118.125</v>
      </c>
      <c r="S23" s="315">
        <f>E23*0.25</f>
        <v>1118.125</v>
      </c>
      <c r="T23" s="315">
        <f>E23*0.25</f>
        <v>1118.125</v>
      </c>
      <c r="U23" s="313">
        <f>Q23*D23</f>
        <v>167718.75</v>
      </c>
      <c r="V23" s="313">
        <f>R23*D23</f>
        <v>167718.75</v>
      </c>
      <c r="W23" s="313">
        <f>S23*D23</f>
        <v>167718.75</v>
      </c>
      <c r="X23" s="313">
        <f>T23*D23</f>
        <v>167718.75</v>
      </c>
      <c r="Y23" s="313">
        <v>300</v>
      </c>
      <c r="Z23" s="313">
        <f>Y23*D23</f>
        <v>45000</v>
      </c>
      <c r="AA23" s="313">
        <f>49*3</f>
        <v>147</v>
      </c>
      <c r="AB23" s="313">
        <f>AA23*D23</f>
        <v>22050</v>
      </c>
      <c r="AC23" s="313">
        <f>130*3</f>
        <v>390</v>
      </c>
      <c r="AD23" s="313">
        <f>AC23*D23</f>
        <v>58500</v>
      </c>
      <c r="AE23" s="313">
        <f>90*3</f>
        <v>270</v>
      </c>
      <c r="AF23" s="313">
        <f>AE23*D23</f>
        <v>40500</v>
      </c>
      <c r="AG23" s="313">
        <f>38*3</f>
        <v>114</v>
      </c>
      <c r="AH23" s="313">
        <f>AG23*D23</f>
        <v>17100</v>
      </c>
      <c r="AI23" s="313">
        <f>119*3</f>
        <v>357</v>
      </c>
      <c r="AJ23" s="313">
        <f>D23*AI23</f>
        <v>53550</v>
      </c>
      <c r="AK23" s="313">
        <f>68*3</f>
        <v>204</v>
      </c>
      <c r="AL23" s="313">
        <f>D23*AK23</f>
        <v>30600</v>
      </c>
      <c r="AM23" s="313">
        <v>300</v>
      </c>
      <c r="AN23" s="313">
        <f>D23*AM23</f>
        <v>45000</v>
      </c>
      <c r="AO23" s="313">
        <v>200</v>
      </c>
      <c r="AP23" s="313">
        <f>AO23*D23</f>
        <v>30000</v>
      </c>
      <c r="AQ23" s="313">
        <v>300</v>
      </c>
      <c r="AR23" s="313">
        <f>AQ23*D23</f>
        <v>45000</v>
      </c>
      <c r="AS23" s="313">
        <f>131*3</f>
        <v>393</v>
      </c>
      <c r="AT23" s="313">
        <f>AS23*D23</f>
        <v>58950</v>
      </c>
      <c r="AU23" s="313">
        <f>71*3</f>
        <v>213</v>
      </c>
      <c r="AV23" s="313">
        <f>AU23*D23</f>
        <v>31950</v>
      </c>
      <c r="AW23" s="313">
        <f>83*3</f>
        <v>249</v>
      </c>
      <c r="AX23" s="313">
        <f>AW23*D23</f>
        <v>37350</v>
      </c>
      <c r="AY23" s="313">
        <f>108*3</f>
        <v>324</v>
      </c>
      <c r="AZ23" s="313">
        <f>AY23*D23</f>
        <v>48600</v>
      </c>
      <c r="BA23" s="315">
        <f>(171*3)*0.5</f>
        <v>256.5</v>
      </c>
      <c r="BB23" s="313">
        <f>D23*BA23</f>
        <v>38475</v>
      </c>
      <c r="BC23" s="313">
        <v>200</v>
      </c>
      <c r="BD23" s="313">
        <f>BC23*D23</f>
        <v>30000</v>
      </c>
      <c r="BE23" s="313">
        <f>(170*3)*0.5</f>
        <v>255</v>
      </c>
      <c r="BF23" s="313">
        <f>BE23*D23</f>
        <v>38250</v>
      </c>
      <c r="BG23" s="313">
        <v>0</v>
      </c>
      <c r="BH23" s="313">
        <f>BG23*D23</f>
        <v>0</v>
      </c>
      <c r="BI23" s="338">
        <f t="shared" si="7"/>
        <v>4472.5</v>
      </c>
      <c r="BJ23" s="338">
        <f t="shared" si="7"/>
        <v>670875</v>
      </c>
      <c r="BK23" s="336" t="s">
        <v>209</v>
      </c>
      <c r="BM23" s="340"/>
      <c r="BN23" s="340">
        <f>BJ23</f>
        <v>670875</v>
      </c>
      <c r="BO23" s="340">
        <v>0</v>
      </c>
      <c r="BP23" s="340">
        <v>0</v>
      </c>
      <c r="BQ23" s="340">
        <f>BM23+BN23+BO23+BP23</f>
        <v>670875</v>
      </c>
      <c r="BR23" s="340">
        <v>0</v>
      </c>
      <c r="BS23" s="340">
        <v>0</v>
      </c>
      <c r="BT23" s="340">
        <f>BR23+BS23</f>
        <v>0</v>
      </c>
      <c r="BU23" s="341">
        <f t="shared" si="2"/>
        <v>670875</v>
      </c>
    </row>
    <row r="24" spans="1:73" ht="47.25" x14ac:dyDescent="0.25">
      <c r="A24" s="327" t="s">
        <v>704</v>
      </c>
      <c r="B24" s="707" t="s">
        <v>1240</v>
      </c>
      <c r="C24" s="336" t="s">
        <v>455</v>
      </c>
      <c r="D24" s="343">
        <v>150</v>
      </c>
      <c r="E24" s="322">
        <f>BI24</f>
        <v>1438</v>
      </c>
      <c r="F24" s="313">
        <f>E24*D24</f>
        <v>215700</v>
      </c>
      <c r="G24" s="313">
        <f>F24*0.2</f>
        <v>43140</v>
      </c>
      <c r="H24" s="313">
        <f>F24*0.8</f>
        <v>172560</v>
      </c>
      <c r="I24" s="313"/>
      <c r="J24" s="313"/>
      <c r="K24" s="313"/>
      <c r="L24" s="313"/>
      <c r="M24" s="313"/>
      <c r="N24" s="313"/>
      <c r="O24" s="313"/>
      <c r="P24" s="313"/>
      <c r="Q24" s="315">
        <f>E24*0.25</f>
        <v>359.5</v>
      </c>
      <c r="R24" s="315">
        <f>E24*0.25</f>
        <v>359.5</v>
      </c>
      <c r="S24" s="315">
        <f>E24*0.25</f>
        <v>359.5</v>
      </c>
      <c r="T24" s="315">
        <f>E24*0.25</f>
        <v>359.5</v>
      </c>
      <c r="U24" s="313">
        <f>Q24*D24</f>
        <v>53925</v>
      </c>
      <c r="V24" s="313">
        <f>R24*D24</f>
        <v>53925</v>
      </c>
      <c r="W24" s="313">
        <f>S24*D24</f>
        <v>53925</v>
      </c>
      <c r="X24" s="313">
        <f>T24*D24</f>
        <v>53925</v>
      </c>
      <c r="Y24" s="313">
        <f>(35*2)+4*3</f>
        <v>82</v>
      </c>
      <c r="Z24" s="313">
        <f>Y24*D24</f>
        <v>12300</v>
      </c>
      <c r="AA24" s="313">
        <f>(23*2)+3*3</f>
        <v>55</v>
      </c>
      <c r="AB24" s="313">
        <f>AA24*D24</f>
        <v>8250</v>
      </c>
      <c r="AC24" s="313">
        <f>(35*2)+4*3</f>
        <v>82</v>
      </c>
      <c r="AD24" s="313">
        <f>AC24*D24</f>
        <v>12300</v>
      </c>
      <c r="AE24" s="313">
        <f>(45*2)+6*3</f>
        <v>108</v>
      </c>
      <c r="AF24" s="313">
        <f>AE24*D24</f>
        <v>16200</v>
      </c>
      <c r="AG24" s="313">
        <f>(25*2)+2*3</f>
        <v>56</v>
      </c>
      <c r="AH24" s="313">
        <f>AG24*D24</f>
        <v>8400</v>
      </c>
      <c r="AI24" s="313">
        <f>30*2+53</f>
        <v>113</v>
      </c>
      <c r="AJ24" s="313">
        <f>D24*AI24</f>
        <v>16950</v>
      </c>
      <c r="AK24" s="313">
        <f>30*2+5*3</f>
        <v>75</v>
      </c>
      <c r="AL24" s="313">
        <f>D24*AK24</f>
        <v>11250</v>
      </c>
      <c r="AM24" s="313">
        <f>(40*2)+8*3</f>
        <v>104</v>
      </c>
      <c r="AN24" s="313">
        <f>D24*AM24</f>
        <v>15600</v>
      </c>
      <c r="AO24" s="313">
        <f>6*2+2*3</f>
        <v>18</v>
      </c>
      <c r="AP24" s="313">
        <f>AO24*D24</f>
        <v>2700</v>
      </c>
      <c r="AQ24" s="313">
        <f>30*2+3*3</f>
        <v>69</v>
      </c>
      <c r="AR24" s="313">
        <f>AQ24*D24</f>
        <v>10350</v>
      </c>
      <c r="AS24" s="313">
        <f>30*2+5*3</f>
        <v>75</v>
      </c>
      <c r="AT24" s="313">
        <f>AS24*D24</f>
        <v>11250</v>
      </c>
      <c r="AU24" s="313">
        <f>30*2+5*3</f>
        <v>75</v>
      </c>
      <c r="AV24" s="313">
        <f>AU24*D24</f>
        <v>11250</v>
      </c>
      <c r="AW24" s="313">
        <f>40*2+6*3</f>
        <v>98</v>
      </c>
      <c r="AX24" s="313">
        <f>AW24*D24</f>
        <v>14700</v>
      </c>
      <c r="AY24" s="313">
        <f>45*2+8*3</f>
        <v>114</v>
      </c>
      <c r="AZ24" s="313">
        <f>AY24*D24</f>
        <v>17100</v>
      </c>
      <c r="BA24" s="313">
        <f>35*2+3*3</f>
        <v>79</v>
      </c>
      <c r="BB24" s="313">
        <f>D24*BA24</f>
        <v>11850</v>
      </c>
      <c r="BC24" s="313">
        <f>60*2+12*3</f>
        <v>156</v>
      </c>
      <c r="BD24" s="313">
        <f>BC24*D24</f>
        <v>23400</v>
      </c>
      <c r="BE24" s="313">
        <f>32*2+5*3</f>
        <v>79</v>
      </c>
      <c r="BF24" s="313">
        <f>BE24*D24</f>
        <v>11850</v>
      </c>
      <c r="BG24" s="313">
        <v>0</v>
      </c>
      <c r="BH24" s="313">
        <f>BG24*D24</f>
        <v>0</v>
      </c>
      <c r="BI24" s="338">
        <f t="shared" si="7"/>
        <v>1438</v>
      </c>
      <c r="BJ24" s="338">
        <f t="shared" si="7"/>
        <v>215700</v>
      </c>
      <c r="BK24" s="336" t="s">
        <v>209</v>
      </c>
      <c r="BM24" s="340"/>
      <c r="BN24" s="340">
        <f>BJ24</f>
        <v>215700</v>
      </c>
      <c r="BO24" s="340">
        <v>0</v>
      </c>
      <c r="BP24" s="340">
        <v>0</v>
      </c>
      <c r="BQ24" s="340">
        <f>BM24+BN24+BO24+BP24</f>
        <v>215700</v>
      </c>
      <c r="BR24" s="340">
        <v>0</v>
      </c>
      <c r="BS24" s="340">
        <v>0</v>
      </c>
      <c r="BT24" s="340">
        <f>BR24+BS24</f>
        <v>0</v>
      </c>
      <c r="BU24" s="341">
        <f t="shared" si="2"/>
        <v>215700</v>
      </c>
    </row>
    <row r="25" spans="1:73" s="317" customFormat="1" x14ac:dyDescent="0.25">
      <c r="A25" s="348"/>
      <c r="B25" s="335" t="s">
        <v>432</v>
      </c>
      <c r="C25" s="336" t="s">
        <v>111</v>
      </c>
      <c r="D25" s="343" t="s">
        <v>111</v>
      </c>
      <c r="E25" s="332">
        <f>SUM(E20:E24)</f>
        <v>7575.5</v>
      </c>
      <c r="F25" s="332">
        <f t="shared" ref="F25:BQ25" si="8">SUM(F20:F24)</f>
        <v>1136325</v>
      </c>
      <c r="G25" s="332">
        <f t="shared" si="8"/>
        <v>227265</v>
      </c>
      <c r="H25" s="332">
        <f t="shared" si="8"/>
        <v>909060</v>
      </c>
      <c r="I25" s="332">
        <f t="shared" si="8"/>
        <v>0</v>
      </c>
      <c r="J25" s="332">
        <f t="shared" si="8"/>
        <v>0</v>
      </c>
      <c r="K25" s="332">
        <f t="shared" si="8"/>
        <v>0</v>
      </c>
      <c r="L25" s="332">
        <f t="shared" si="8"/>
        <v>0</v>
      </c>
      <c r="M25" s="332">
        <f t="shared" si="8"/>
        <v>0</v>
      </c>
      <c r="N25" s="332">
        <f t="shared" si="8"/>
        <v>0</v>
      </c>
      <c r="O25" s="332">
        <f t="shared" si="8"/>
        <v>0</v>
      </c>
      <c r="P25" s="332">
        <f t="shared" si="8"/>
        <v>0</v>
      </c>
      <c r="Q25" s="332">
        <f t="shared" si="8"/>
        <v>1893.875</v>
      </c>
      <c r="R25" s="332">
        <f t="shared" si="8"/>
        <v>1893.875</v>
      </c>
      <c r="S25" s="332">
        <f t="shared" si="8"/>
        <v>1893.875</v>
      </c>
      <c r="T25" s="332">
        <f t="shared" si="8"/>
        <v>1893.875</v>
      </c>
      <c r="U25" s="332">
        <f t="shared" si="8"/>
        <v>284081.25</v>
      </c>
      <c r="V25" s="332">
        <f t="shared" si="8"/>
        <v>284081.25</v>
      </c>
      <c r="W25" s="332">
        <f t="shared" si="8"/>
        <v>284081.25</v>
      </c>
      <c r="X25" s="332">
        <f t="shared" si="8"/>
        <v>284081.25</v>
      </c>
      <c r="Y25" s="332">
        <f t="shared" si="8"/>
        <v>502</v>
      </c>
      <c r="Z25" s="332">
        <f t="shared" si="8"/>
        <v>75300</v>
      </c>
      <c r="AA25" s="332">
        <f t="shared" si="8"/>
        <v>265</v>
      </c>
      <c r="AB25" s="332">
        <f t="shared" si="8"/>
        <v>39750</v>
      </c>
      <c r="AC25" s="332">
        <f t="shared" si="8"/>
        <v>562</v>
      </c>
      <c r="AD25" s="332">
        <f t="shared" si="8"/>
        <v>84300</v>
      </c>
      <c r="AE25" s="332">
        <f t="shared" si="8"/>
        <v>531</v>
      </c>
      <c r="AF25" s="332">
        <f t="shared" si="8"/>
        <v>79650</v>
      </c>
      <c r="AG25" s="332">
        <f t="shared" si="8"/>
        <v>233</v>
      </c>
      <c r="AH25" s="332">
        <f t="shared" si="8"/>
        <v>34950</v>
      </c>
      <c r="AI25" s="332">
        <f t="shared" si="8"/>
        <v>560</v>
      </c>
      <c r="AJ25" s="332">
        <f t="shared" si="8"/>
        <v>84000</v>
      </c>
      <c r="AK25" s="332">
        <f t="shared" si="8"/>
        <v>345</v>
      </c>
      <c r="AL25" s="332">
        <f t="shared" si="8"/>
        <v>51750</v>
      </c>
      <c r="AM25" s="332">
        <f t="shared" si="8"/>
        <v>539</v>
      </c>
      <c r="AN25" s="332">
        <f t="shared" si="8"/>
        <v>80850</v>
      </c>
      <c r="AO25" s="332">
        <f t="shared" si="8"/>
        <v>242</v>
      </c>
      <c r="AP25" s="332">
        <f t="shared" si="8"/>
        <v>36300</v>
      </c>
      <c r="AQ25" s="332">
        <f t="shared" si="8"/>
        <v>465</v>
      </c>
      <c r="AR25" s="332">
        <f t="shared" si="8"/>
        <v>69750</v>
      </c>
      <c r="AS25" s="332">
        <f t="shared" si="8"/>
        <v>558</v>
      </c>
      <c r="AT25" s="332">
        <f t="shared" si="8"/>
        <v>83700</v>
      </c>
      <c r="AU25" s="332">
        <f t="shared" si="8"/>
        <v>378</v>
      </c>
      <c r="AV25" s="332">
        <f t="shared" si="8"/>
        <v>56700</v>
      </c>
      <c r="AW25" s="332">
        <f t="shared" si="8"/>
        <v>437</v>
      </c>
      <c r="AX25" s="332">
        <f t="shared" si="8"/>
        <v>65550</v>
      </c>
      <c r="AY25" s="332">
        <f t="shared" si="8"/>
        <v>528</v>
      </c>
      <c r="AZ25" s="332">
        <f t="shared" si="8"/>
        <v>79200</v>
      </c>
      <c r="BA25" s="332">
        <f t="shared" si="8"/>
        <v>470.5</v>
      </c>
      <c r="BB25" s="332">
        <f t="shared" si="8"/>
        <v>70575</v>
      </c>
      <c r="BC25" s="332">
        <f t="shared" si="8"/>
        <v>536</v>
      </c>
      <c r="BD25" s="332">
        <f t="shared" si="8"/>
        <v>80400</v>
      </c>
      <c r="BE25" s="332">
        <f t="shared" si="8"/>
        <v>424</v>
      </c>
      <c r="BF25" s="332">
        <f t="shared" si="8"/>
        <v>63600</v>
      </c>
      <c r="BG25" s="332">
        <f t="shared" si="8"/>
        <v>0</v>
      </c>
      <c r="BH25" s="332">
        <f t="shared" si="8"/>
        <v>0</v>
      </c>
      <c r="BI25" s="332">
        <f t="shared" si="8"/>
        <v>7575.5</v>
      </c>
      <c r="BJ25" s="332">
        <f t="shared" si="8"/>
        <v>1136325</v>
      </c>
      <c r="BK25" s="332">
        <f t="shared" si="8"/>
        <v>0</v>
      </c>
      <c r="BL25" s="332">
        <f t="shared" si="8"/>
        <v>0</v>
      </c>
      <c r="BM25" s="332">
        <f t="shared" si="8"/>
        <v>0</v>
      </c>
      <c r="BN25" s="332">
        <f t="shared" si="8"/>
        <v>1136325</v>
      </c>
      <c r="BO25" s="332">
        <f t="shared" si="8"/>
        <v>0</v>
      </c>
      <c r="BP25" s="332">
        <f t="shared" si="8"/>
        <v>0</v>
      </c>
      <c r="BQ25" s="332">
        <f t="shared" si="8"/>
        <v>1136325</v>
      </c>
      <c r="BR25" s="332">
        <f>SUM(BR20:BR24)</f>
        <v>0</v>
      </c>
      <c r="BS25" s="332">
        <f>SUM(BS20:BS24)</f>
        <v>0</v>
      </c>
      <c r="BT25" s="332">
        <f>SUM(BT20:BT24)</f>
        <v>0</v>
      </c>
      <c r="BU25" s="332">
        <f>SUM(BU20:BU24)</f>
        <v>1136325</v>
      </c>
    </row>
    <row r="26" spans="1:73" s="317" customFormat="1" x14ac:dyDescent="0.25">
      <c r="A26" s="348"/>
      <c r="B26" s="335" t="s">
        <v>970</v>
      </c>
      <c r="C26" s="336"/>
      <c r="D26" s="336"/>
      <c r="E26" s="332"/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25"/>
      <c r="Q26" s="347"/>
      <c r="R26" s="347"/>
      <c r="S26" s="347"/>
      <c r="T26" s="347"/>
      <c r="U26" s="325"/>
      <c r="V26" s="325"/>
      <c r="W26" s="325"/>
      <c r="X26" s="325"/>
      <c r="Y26" s="313"/>
      <c r="Z26" s="313"/>
      <c r="AA26" s="313"/>
      <c r="AB26" s="313"/>
      <c r="AC26" s="313"/>
      <c r="AD26" s="313"/>
      <c r="AE26" s="313"/>
      <c r="AF26" s="313"/>
      <c r="AG26" s="313"/>
      <c r="AH26" s="313"/>
      <c r="AI26" s="313"/>
      <c r="AJ26" s="313"/>
      <c r="AK26" s="313"/>
      <c r="AL26" s="313"/>
      <c r="AM26" s="313"/>
      <c r="AN26" s="313"/>
      <c r="AO26" s="313"/>
      <c r="AP26" s="313"/>
      <c r="AQ26" s="313"/>
      <c r="AR26" s="313"/>
      <c r="AS26" s="313"/>
      <c r="AT26" s="313"/>
      <c r="AU26" s="313"/>
      <c r="AV26" s="313"/>
      <c r="AW26" s="313"/>
      <c r="AX26" s="313"/>
      <c r="AY26" s="313"/>
      <c r="AZ26" s="313"/>
      <c r="BA26" s="313"/>
      <c r="BB26" s="313"/>
      <c r="BC26" s="313"/>
      <c r="BD26" s="313"/>
      <c r="BE26" s="313"/>
      <c r="BF26" s="313"/>
      <c r="BG26" s="313"/>
      <c r="BH26" s="313"/>
      <c r="BI26" s="338"/>
      <c r="BJ26" s="339"/>
      <c r="BK26" s="336"/>
      <c r="BM26" s="325"/>
      <c r="BN26" s="325"/>
      <c r="BO26" s="325"/>
      <c r="BP26" s="325"/>
      <c r="BQ26" s="325"/>
      <c r="BR26" s="325"/>
      <c r="BS26" s="325"/>
      <c r="BT26" s="325"/>
      <c r="BU26" s="349"/>
    </row>
    <row r="27" spans="1:73" x14ac:dyDescent="0.25">
      <c r="A27" s="327" t="s">
        <v>705</v>
      </c>
      <c r="B27" s="342" t="s">
        <v>433</v>
      </c>
      <c r="C27" s="336" t="s">
        <v>455</v>
      </c>
      <c r="D27" s="343">
        <v>500</v>
      </c>
      <c r="E27" s="322">
        <f t="shared" ref="E27:E32" si="9">BI27</f>
        <v>0</v>
      </c>
      <c r="F27" s="313">
        <f t="shared" ref="F27:F32" si="10">E27*D27</f>
        <v>0</v>
      </c>
      <c r="G27" s="313">
        <f t="shared" ref="G27:G32" si="11">F27*0.2</f>
        <v>0</v>
      </c>
      <c r="H27" s="313">
        <f t="shared" ref="H27:H32" si="12">F27*0.8</f>
        <v>0</v>
      </c>
      <c r="I27" s="313"/>
      <c r="J27" s="313"/>
      <c r="K27" s="313"/>
      <c r="L27" s="313"/>
      <c r="M27" s="313"/>
      <c r="N27" s="313"/>
      <c r="O27" s="313"/>
      <c r="P27" s="313"/>
      <c r="Q27" s="315">
        <f t="shared" ref="Q27:Q32" si="13">E27*0.25</f>
        <v>0</v>
      </c>
      <c r="R27" s="315">
        <f t="shared" ref="R27:R32" si="14">E27*0.25</f>
        <v>0</v>
      </c>
      <c r="S27" s="315">
        <f t="shared" ref="S27:S32" si="15">E27*0.25</f>
        <v>0</v>
      </c>
      <c r="T27" s="315">
        <f t="shared" ref="T27:T32" si="16">E27*0.25</f>
        <v>0</v>
      </c>
      <c r="U27" s="313">
        <f t="shared" ref="U27:U32" si="17">Q27*D27</f>
        <v>0</v>
      </c>
      <c r="V27" s="313">
        <f t="shared" ref="V27:V32" si="18">R27*D27</f>
        <v>0</v>
      </c>
      <c r="W27" s="313">
        <f t="shared" ref="W27:W32" si="19">S27*D27</f>
        <v>0</v>
      </c>
      <c r="X27" s="313">
        <f t="shared" ref="X27:X32" si="20">T27*D27</f>
        <v>0</v>
      </c>
      <c r="Y27" s="313">
        <v>0</v>
      </c>
      <c r="Z27" s="313">
        <f t="shared" ref="Z27:Z32" si="21">Y27*D27</f>
        <v>0</v>
      </c>
      <c r="AA27" s="313">
        <v>0</v>
      </c>
      <c r="AB27" s="313">
        <f t="shared" ref="AB27:AB32" si="22">AA27*D27</f>
        <v>0</v>
      </c>
      <c r="AC27" s="313">
        <v>0</v>
      </c>
      <c r="AD27" s="313">
        <f t="shared" ref="AD27:AD32" si="23">AC27*D27</f>
        <v>0</v>
      </c>
      <c r="AE27" s="313">
        <v>0</v>
      </c>
      <c r="AF27" s="313">
        <f t="shared" ref="AF27:AF32" si="24">AE27*D27</f>
        <v>0</v>
      </c>
      <c r="AG27" s="313">
        <v>0</v>
      </c>
      <c r="AH27" s="313">
        <f t="shared" ref="AH27:AH32" si="25">AG27*D27</f>
        <v>0</v>
      </c>
      <c r="AI27" s="313">
        <v>0</v>
      </c>
      <c r="AJ27" s="313">
        <f t="shared" ref="AJ27:AJ32" si="26">D27*AI27</f>
        <v>0</v>
      </c>
      <c r="AK27" s="313">
        <v>0</v>
      </c>
      <c r="AL27" s="313">
        <f t="shared" ref="AL27:AL32" si="27">D27*AK27</f>
        <v>0</v>
      </c>
      <c r="AM27" s="313">
        <v>0</v>
      </c>
      <c r="AN27" s="313">
        <f t="shared" ref="AN27:AN32" si="28">D27*AM27</f>
        <v>0</v>
      </c>
      <c r="AO27" s="313">
        <v>0</v>
      </c>
      <c r="AP27" s="313">
        <f t="shared" ref="AP27:AP32" si="29">AO27*D27</f>
        <v>0</v>
      </c>
      <c r="AQ27" s="313">
        <v>0</v>
      </c>
      <c r="AR27" s="313">
        <f t="shared" ref="AR27:AR32" si="30">AQ27*D27</f>
        <v>0</v>
      </c>
      <c r="AS27" s="313">
        <v>0</v>
      </c>
      <c r="AT27" s="313">
        <f t="shared" ref="AT27:AT32" si="31">AS27*D27</f>
        <v>0</v>
      </c>
      <c r="AU27" s="313">
        <v>0</v>
      </c>
      <c r="AV27" s="313">
        <f t="shared" ref="AV27:AV32" si="32">AU27*D27</f>
        <v>0</v>
      </c>
      <c r="AW27" s="313">
        <v>0</v>
      </c>
      <c r="AX27" s="313">
        <f t="shared" ref="AX27:AX32" si="33">AW27*D27</f>
        <v>0</v>
      </c>
      <c r="AY27" s="313">
        <v>0</v>
      </c>
      <c r="AZ27" s="313">
        <f t="shared" ref="AZ27:AZ32" si="34">AY27*D27</f>
        <v>0</v>
      </c>
      <c r="BA27" s="313">
        <v>0</v>
      </c>
      <c r="BB27" s="313">
        <f t="shared" ref="BB27:BB32" si="35">D27*BA27</f>
        <v>0</v>
      </c>
      <c r="BC27" s="313">
        <v>0</v>
      </c>
      <c r="BD27" s="313">
        <f t="shared" ref="BD27:BD32" si="36">BC27*D27</f>
        <v>0</v>
      </c>
      <c r="BE27" s="313">
        <v>0</v>
      </c>
      <c r="BF27" s="313">
        <f t="shared" ref="BF27:BF32" si="37">BE27*D27</f>
        <v>0</v>
      </c>
      <c r="BG27" s="313">
        <v>0</v>
      </c>
      <c r="BH27" s="313">
        <f t="shared" ref="BH27:BH32" si="38">BG27*D27</f>
        <v>0</v>
      </c>
      <c r="BI27" s="338">
        <f t="shared" ref="BI27:BJ32" si="39">BG27+BE27+BC27+BA27+AY27+AW27+AU27+AS27+AQ27+AO27+AM27+AK27+AI27+AG27+AE27+AC27+AA27+Y27</f>
        <v>0</v>
      </c>
      <c r="BJ27" s="338">
        <f t="shared" si="39"/>
        <v>0</v>
      </c>
      <c r="BK27" s="336" t="s">
        <v>209</v>
      </c>
      <c r="BM27" s="340"/>
      <c r="BN27" s="340">
        <f t="shared" ref="BN27:BN32" si="40">BJ27</f>
        <v>0</v>
      </c>
      <c r="BO27" s="340"/>
      <c r="BP27" s="340"/>
      <c r="BQ27" s="340">
        <f t="shared" ref="BQ27:BQ32" si="41">BM27+BN27+BO27+BP27</f>
        <v>0</v>
      </c>
      <c r="BR27" s="340"/>
      <c r="BS27" s="340"/>
      <c r="BT27" s="340"/>
      <c r="BU27" s="341">
        <f t="shared" si="2"/>
        <v>0</v>
      </c>
    </row>
    <row r="28" spans="1:73" ht="31.5" x14ac:dyDescent="0.25">
      <c r="A28" s="327" t="s">
        <v>706</v>
      </c>
      <c r="B28" s="344" t="s">
        <v>632</v>
      </c>
      <c r="C28" s="336" t="s">
        <v>455</v>
      </c>
      <c r="D28" s="343">
        <v>0</v>
      </c>
      <c r="E28" s="322">
        <f t="shared" si="9"/>
        <v>0</v>
      </c>
      <c r="F28" s="313">
        <f t="shared" si="10"/>
        <v>0</v>
      </c>
      <c r="G28" s="313">
        <f t="shared" si="11"/>
        <v>0</v>
      </c>
      <c r="H28" s="313">
        <f t="shared" si="12"/>
        <v>0</v>
      </c>
      <c r="I28" s="313"/>
      <c r="J28" s="313"/>
      <c r="K28" s="313"/>
      <c r="L28" s="313"/>
      <c r="M28" s="313"/>
      <c r="N28" s="313"/>
      <c r="O28" s="313"/>
      <c r="P28" s="313"/>
      <c r="Q28" s="315">
        <f t="shared" si="13"/>
        <v>0</v>
      </c>
      <c r="R28" s="315">
        <f t="shared" si="14"/>
        <v>0</v>
      </c>
      <c r="S28" s="315">
        <f t="shared" si="15"/>
        <v>0</v>
      </c>
      <c r="T28" s="315">
        <f t="shared" si="16"/>
        <v>0</v>
      </c>
      <c r="U28" s="313">
        <f t="shared" si="17"/>
        <v>0</v>
      </c>
      <c r="V28" s="313">
        <f t="shared" si="18"/>
        <v>0</v>
      </c>
      <c r="W28" s="313">
        <f t="shared" si="19"/>
        <v>0</v>
      </c>
      <c r="X28" s="313">
        <f t="shared" si="20"/>
        <v>0</v>
      </c>
      <c r="Y28" s="313">
        <v>0</v>
      </c>
      <c r="Z28" s="313">
        <f t="shared" si="21"/>
        <v>0</v>
      </c>
      <c r="AA28" s="313">
        <v>0</v>
      </c>
      <c r="AB28" s="313">
        <f t="shared" si="22"/>
        <v>0</v>
      </c>
      <c r="AC28" s="313">
        <v>0</v>
      </c>
      <c r="AD28" s="313">
        <f t="shared" si="23"/>
        <v>0</v>
      </c>
      <c r="AE28" s="313">
        <v>0</v>
      </c>
      <c r="AF28" s="313">
        <f t="shared" si="24"/>
        <v>0</v>
      </c>
      <c r="AG28" s="313">
        <v>0</v>
      </c>
      <c r="AH28" s="313">
        <f t="shared" si="25"/>
        <v>0</v>
      </c>
      <c r="AI28" s="313">
        <v>0</v>
      </c>
      <c r="AJ28" s="313">
        <f t="shared" si="26"/>
        <v>0</v>
      </c>
      <c r="AK28" s="313">
        <v>0</v>
      </c>
      <c r="AL28" s="313">
        <f t="shared" si="27"/>
        <v>0</v>
      </c>
      <c r="AM28" s="313">
        <v>0</v>
      </c>
      <c r="AN28" s="313">
        <f t="shared" si="28"/>
        <v>0</v>
      </c>
      <c r="AO28" s="313">
        <v>0</v>
      </c>
      <c r="AP28" s="313">
        <f t="shared" si="29"/>
        <v>0</v>
      </c>
      <c r="AQ28" s="313">
        <v>0</v>
      </c>
      <c r="AR28" s="313">
        <f t="shared" si="30"/>
        <v>0</v>
      </c>
      <c r="AS28" s="313">
        <v>0</v>
      </c>
      <c r="AT28" s="313">
        <f t="shared" si="31"/>
        <v>0</v>
      </c>
      <c r="AU28" s="313">
        <v>0</v>
      </c>
      <c r="AV28" s="313">
        <f t="shared" si="32"/>
        <v>0</v>
      </c>
      <c r="AW28" s="313">
        <v>0</v>
      </c>
      <c r="AX28" s="313">
        <f t="shared" si="33"/>
        <v>0</v>
      </c>
      <c r="AY28" s="313">
        <v>0</v>
      </c>
      <c r="AZ28" s="313">
        <f t="shared" si="34"/>
        <v>0</v>
      </c>
      <c r="BA28" s="313">
        <v>0</v>
      </c>
      <c r="BB28" s="313">
        <f t="shared" si="35"/>
        <v>0</v>
      </c>
      <c r="BC28" s="313">
        <v>0</v>
      </c>
      <c r="BD28" s="313">
        <f t="shared" si="36"/>
        <v>0</v>
      </c>
      <c r="BE28" s="313">
        <v>0</v>
      </c>
      <c r="BF28" s="313">
        <f t="shared" si="37"/>
        <v>0</v>
      </c>
      <c r="BG28" s="313">
        <v>0</v>
      </c>
      <c r="BH28" s="313">
        <f t="shared" si="38"/>
        <v>0</v>
      </c>
      <c r="BI28" s="338">
        <f t="shared" si="39"/>
        <v>0</v>
      </c>
      <c r="BJ28" s="338">
        <f t="shared" si="39"/>
        <v>0</v>
      </c>
      <c r="BK28" s="336" t="s">
        <v>209</v>
      </c>
      <c r="BM28" s="340">
        <v>0</v>
      </c>
      <c r="BN28" s="340">
        <f t="shared" si="40"/>
        <v>0</v>
      </c>
      <c r="BO28" s="340">
        <v>0</v>
      </c>
      <c r="BP28" s="340">
        <v>0</v>
      </c>
      <c r="BQ28" s="340">
        <f t="shared" si="41"/>
        <v>0</v>
      </c>
      <c r="BR28" s="340">
        <v>0</v>
      </c>
      <c r="BS28" s="340">
        <v>0</v>
      </c>
      <c r="BT28" s="340">
        <f>BR28+BS28</f>
        <v>0</v>
      </c>
      <c r="BU28" s="341">
        <f t="shared" si="2"/>
        <v>0</v>
      </c>
    </row>
    <row r="29" spans="1:73" ht="31.5" x14ac:dyDescent="0.25">
      <c r="A29" s="327" t="s">
        <v>707</v>
      </c>
      <c r="B29" s="344" t="s">
        <v>434</v>
      </c>
      <c r="C29" s="336" t="s">
        <v>455</v>
      </c>
      <c r="D29" s="343">
        <v>150</v>
      </c>
      <c r="E29" s="322">
        <f t="shared" si="9"/>
        <v>0</v>
      </c>
      <c r="F29" s="313">
        <f t="shared" si="10"/>
        <v>0</v>
      </c>
      <c r="G29" s="313">
        <f t="shared" si="11"/>
        <v>0</v>
      </c>
      <c r="H29" s="313">
        <f t="shared" si="12"/>
        <v>0</v>
      </c>
      <c r="I29" s="313"/>
      <c r="J29" s="313"/>
      <c r="K29" s="313"/>
      <c r="L29" s="313"/>
      <c r="M29" s="313"/>
      <c r="N29" s="313"/>
      <c r="O29" s="313"/>
      <c r="P29" s="313"/>
      <c r="Q29" s="315">
        <f t="shared" si="13"/>
        <v>0</v>
      </c>
      <c r="R29" s="315">
        <f t="shared" si="14"/>
        <v>0</v>
      </c>
      <c r="S29" s="322">
        <f t="shared" si="15"/>
        <v>0</v>
      </c>
      <c r="T29" s="322">
        <f t="shared" si="16"/>
        <v>0</v>
      </c>
      <c r="U29" s="313">
        <f t="shared" si="17"/>
        <v>0</v>
      </c>
      <c r="V29" s="313">
        <f t="shared" si="18"/>
        <v>0</v>
      </c>
      <c r="W29" s="313">
        <f t="shared" si="19"/>
        <v>0</v>
      </c>
      <c r="X29" s="313">
        <f t="shared" si="20"/>
        <v>0</v>
      </c>
      <c r="Y29" s="313">
        <v>0</v>
      </c>
      <c r="Z29" s="313">
        <f t="shared" si="21"/>
        <v>0</v>
      </c>
      <c r="AA29" s="313">
        <v>0</v>
      </c>
      <c r="AB29" s="313">
        <f t="shared" si="22"/>
        <v>0</v>
      </c>
      <c r="AC29" s="313">
        <v>0</v>
      </c>
      <c r="AD29" s="313">
        <f t="shared" si="23"/>
        <v>0</v>
      </c>
      <c r="AE29" s="313">
        <v>0</v>
      </c>
      <c r="AF29" s="313">
        <f t="shared" si="24"/>
        <v>0</v>
      </c>
      <c r="AG29" s="313">
        <v>0</v>
      </c>
      <c r="AH29" s="313">
        <f t="shared" si="25"/>
        <v>0</v>
      </c>
      <c r="AI29" s="313">
        <v>0</v>
      </c>
      <c r="AJ29" s="313">
        <f t="shared" si="26"/>
        <v>0</v>
      </c>
      <c r="AK29" s="313">
        <v>0</v>
      </c>
      <c r="AL29" s="313">
        <f t="shared" si="27"/>
        <v>0</v>
      </c>
      <c r="AM29" s="313">
        <v>0</v>
      </c>
      <c r="AN29" s="313">
        <f t="shared" si="28"/>
        <v>0</v>
      </c>
      <c r="AO29" s="313">
        <v>0</v>
      </c>
      <c r="AP29" s="313">
        <f t="shared" si="29"/>
        <v>0</v>
      </c>
      <c r="AQ29" s="313">
        <v>0</v>
      </c>
      <c r="AR29" s="313">
        <f t="shared" si="30"/>
        <v>0</v>
      </c>
      <c r="AS29" s="313">
        <v>0</v>
      </c>
      <c r="AT29" s="313">
        <f t="shared" si="31"/>
        <v>0</v>
      </c>
      <c r="AU29" s="313">
        <v>0</v>
      </c>
      <c r="AV29" s="313">
        <f t="shared" si="32"/>
        <v>0</v>
      </c>
      <c r="AW29" s="313">
        <v>0</v>
      </c>
      <c r="AX29" s="313">
        <f t="shared" si="33"/>
        <v>0</v>
      </c>
      <c r="AY29" s="313">
        <v>0</v>
      </c>
      <c r="AZ29" s="313">
        <f t="shared" si="34"/>
        <v>0</v>
      </c>
      <c r="BA29" s="313">
        <v>0</v>
      </c>
      <c r="BB29" s="313">
        <f t="shared" si="35"/>
        <v>0</v>
      </c>
      <c r="BC29" s="313">
        <v>0</v>
      </c>
      <c r="BD29" s="313">
        <f t="shared" si="36"/>
        <v>0</v>
      </c>
      <c r="BE29" s="313">
        <v>0</v>
      </c>
      <c r="BF29" s="313">
        <f t="shared" si="37"/>
        <v>0</v>
      </c>
      <c r="BG29" s="313">
        <v>0</v>
      </c>
      <c r="BH29" s="313">
        <f t="shared" si="38"/>
        <v>0</v>
      </c>
      <c r="BI29" s="338">
        <f t="shared" si="39"/>
        <v>0</v>
      </c>
      <c r="BJ29" s="338">
        <f t="shared" si="39"/>
        <v>0</v>
      </c>
      <c r="BK29" s="336" t="s">
        <v>209</v>
      </c>
      <c r="BM29" s="340">
        <v>0</v>
      </c>
      <c r="BN29" s="340">
        <f t="shared" si="40"/>
        <v>0</v>
      </c>
      <c r="BO29" s="340">
        <v>0</v>
      </c>
      <c r="BP29" s="340">
        <v>0</v>
      </c>
      <c r="BQ29" s="340">
        <f t="shared" si="41"/>
        <v>0</v>
      </c>
      <c r="BR29" s="340">
        <v>0</v>
      </c>
      <c r="BS29" s="340">
        <v>0</v>
      </c>
      <c r="BT29" s="340">
        <f>BR29+BS29</f>
        <v>0</v>
      </c>
      <c r="BU29" s="341">
        <f t="shared" si="2"/>
        <v>0</v>
      </c>
    </row>
    <row r="30" spans="1:73" ht="27.75" customHeight="1" x14ac:dyDescent="0.25">
      <c r="A30" s="327" t="s">
        <v>1167</v>
      </c>
      <c r="B30" s="344" t="s">
        <v>1188</v>
      </c>
      <c r="C30" s="336" t="s">
        <v>1168</v>
      </c>
      <c r="D30" s="343">
        <v>5000</v>
      </c>
      <c r="E30" s="322">
        <f t="shared" si="9"/>
        <v>1182</v>
      </c>
      <c r="F30" s="313">
        <f t="shared" si="10"/>
        <v>5910000</v>
      </c>
      <c r="G30" s="313">
        <f t="shared" si="11"/>
        <v>1182000</v>
      </c>
      <c r="H30" s="313">
        <f t="shared" si="12"/>
        <v>4728000</v>
      </c>
      <c r="I30" s="313"/>
      <c r="J30" s="313"/>
      <c r="K30" s="313"/>
      <c r="L30" s="313"/>
      <c r="M30" s="313"/>
      <c r="N30" s="313"/>
      <c r="O30" s="313"/>
      <c r="P30" s="313"/>
      <c r="Q30" s="315">
        <f>E30*0.5</f>
        <v>591</v>
      </c>
      <c r="R30" s="315">
        <f>E30*0.4</f>
        <v>472.8</v>
      </c>
      <c r="S30" s="322">
        <f>E30*0.1</f>
        <v>118.2</v>
      </c>
      <c r="T30" s="322">
        <f>E30*0</f>
        <v>0</v>
      </c>
      <c r="U30" s="313">
        <f t="shared" si="17"/>
        <v>2955000</v>
      </c>
      <c r="V30" s="313">
        <f t="shared" si="18"/>
        <v>2364000</v>
      </c>
      <c r="W30" s="313">
        <f t="shared" si="19"/>
        <v>591000</v>
      </c>
      <c r="X30" s="313">
        <f t="shared" si="20"/>
        <v>0</v>
      </c>
      <c r="Y30" s="313">
        <f>33*2</f>
        <v>66</v>
      </c>
      <c r="Z30" s="313">
        <f t="shared" si="21"/>
        <v>330000</v>
      </c>
      <c r="AA30" s="313">
        <f>17*2</f>
        <v>34</v>
      </c>
      <c r="AB30" s="313">
        <f t="shared" si="22"/>
        <v>170000</v>
      </c>
      <c r="AC30" s="313">
        <f>46*2</f>
        <v>92</v>
      </c>
      <c r="AD30" s="313">
        <f t="shared" si="23"/>
        <v>460000</v>
      </c>
      <c r="AE30" s="313">
        <f>51*2</f>
        <v>102</v>
      </c>
      <c r="AF30" s="313">
        <f t="shared" si="24"/>
        <v>510000</v>
      </c>
      <c r="AG30" s="313">
        <f>13*2</f>
        <v>26</v>
      </c>
      <c r="AH30" s="313">
        <f t="shared" si="25"/>
        <v>130000</v>
      </c>
      <c r="AI30" s="313">
        <f>40*2</f>
        <v>80</v>
      </c>
      <c r="AJ30" s="313">
        <f t="shared" si="26"/>
        <v>400000</v>
      </c>
      <c r="AK30" s="313">
        <f>38*2</f>
        <v>76</v>
      </c>
      <c r="AL30" s="313">
        <f t="shared" si="27"/>
        <v>380000</v>
      </c>
      <c r="AM30" s="313">
        <f>13*2</f>
        <v>26</v>
      </c>
      <c r="AN30" s="313">
        <f t="shared" si="28"/>
        <v>130000</v>
      </c>
      <c r="AO30" s="313">
        <f>29*2</f>
        <v>58</v>
      </c>
      <c r="AP30" s="313">
        <f t="shared" si="29"/>
        <v>290000</v>
      </c>
      <c r="AQ30" s="313">
        <f>37*2</f>
        <v>74</v>
      </c>
      <c r="AR30" s="313">
        <f t="shared" si="30"/>
        <v>370000</v>
      </c>
      <c r="AS30" s="313">
        <f>46*2</f>
        <v>92</v>
      </c>
      <c r="AT30" s="313">
        <f t="shared" si="31"/>
        <v>460000</v>
      </c>
      <c r="AU30" s="313">
        <f>24*2</f>
        <v>48</v>
      </c>
      <c r="AV30" s="313">
        <f t="shared" si="32"/>
        <v>240000</v>
      </c>
      <c r="AW30" s="313">
        <f>31*2</f>
        <v>62</v>
      </c>
      <c r="AX30" s="313">
        <f t="shared" si="33"/>
        <v>310000</v>
      </c>
      <c r="AY30" s="313">
        <f>36*2</f>
        <v>72</v>
      </c>
      <c r="AZ30" s="313">
        <f t="shared" si="34"/>
        <v>360000</v>
      </c>
      <c r="BA30" s="313">
        <f>57*2</f>
        <v>114</v>
      </c>
      <c r="BB30" s="313">
        <f t="shared" si="35"/>
        <v>570000</v>
      </c>
      <c r="BC30" s="313">
        <f>12*2</f>
        <v>24</v>
      </c>
      <c r="BD30" s="313">
        <f t="shared" si="36"/>
        <v>120000</v>
      </c>
      <c r="BE30" s="313">
        <f>68*2</f>
        <v>136</v>
      </c>
      <c r="BF30" s="313">
        <f t="shared" si="37"/>
        <v>680000</v>
      </c>
      <c r="BG30" s="313">
        <v>0</v>
      </c>
      <c r="BH30" s="313">
        <f t="shared" si="38"/>
        <v>0</v>
      </c>
      <c r="BI30" s="338">
        <f t="shared" ref="BI30" si="42">BG30+BE30+BC30+BA30+AY30+AW30+AU30+AS30+AQ30+AO30+AM30+AK30+AI30+AG30+AE30+AC30+AA30+Y30</f>
        <v>1182</v>
      </c>
      <c r="BJ30" s="338">
        <f t="shared" ref="BJ30" si="43">BH30+BF30+BD30+BB30+AZ30+AX30+AV30+AT30+AR30+AP30+AN30+AL30+AJ30+AH30+AF30+AD30+AB30+Z30</f>
        <v>5910000</v>
      </c>
      <c r="BK30" s="336" t="s">
        <v>209</v>
      </c>
      <c r="BM30" s="340">
        <v>0</v>
      </c>
      <c r="BN30" s="340">
        <f t="shared" si="40"/>
        <v>5910000</v>
      </c>
      <c r="BO30" s="340">
        <v>0</v>
      </c>
      <c r="BP30" s="340">
        <v>0</v>
      </c>
      <c r="BQ30" s="340">
        <f t="shared" si="41"/>
        <v>5910000</v>
      </c>
      <c r="BR30" s="340">
        <v>0</v>
      </c>
      <c r="BS30" s="340">
        <v>0</v>
      </c>
      <c r="BT30" s="340">
        <f>BR30+BS30</f>
        <v>0</v>
      </c>
      <c r="BU30" s="341">
        <f t="shared" ref="BU30" si="44">BQ30+BT30</f>
        <v>5910000</v>
      </c>
    </row>
    <row r="31" spans="1:73" x14ac:dyDescent="0.25">
      <c r="A31" s="327" t="s">
        <v>708</v>
      </c>
      <c r="B31" s="342" t="s">
        <v>1181</v>
      </c>
      <c r="C31" s="336" t="s">
        <v>455</v>
      </c>
      <c r="D31" s="343">
        <v>0</v>
      </c>
      <c r="E31" s="322">
        <f t="shared" si="9"/>
        <v>0</v>
      </c>
      <c r="F31" s="313">
        <f t="shared" si="10"/>
        <v>0</v>
      </c>
      <c r="G31" s="313">
        <f t="shared" si="11"/>
        <v>0</v>
      </c>
      <c r="H31" s="313">
        <f t="shared" si="12"/>
        <v>0</v>
      </c>
      <c r="I31" s="313"/>
      <c r="J31" s="313"/>
      <c r="K31" s="313"/>
      <c r="L31" s="313"/>
      <c r="M31" s="313"/>
      <c r="N31" s="313"/>
      <c r="O31" s="313"/>
      <c r="P31" s="313"/>
      <c r="Q31" s="315">
        <f t="shared" si="13"/>
        <v>0</v>
      </c>
      <c r="R31" s="315">
        <f t="shared" si="14"/>
        <v>0</v>
      </c>
      <c r="S31" s="315">
        <f t="shared" si="15"/>
        <v>0</v>
      </c>
      <c r="T31" s="315">
        <f t="shared" si="16"/>
        <v>0</v>
      </c>
      <c r="U31" s="313">
        <f t="shared" si="17"/>
        <v>0</v>
      </c>
      <c r="V31" s="313">
        <f t="shared" si="18"/>
        <v>0</v>
      </c>
      <c r="W31" s="313">
        <f t="shared" si="19"/>
        <v>0</v>
      </c>
      <c r="X31" s="313">
        <f t="shared" si="20"/>
        <v>0</v>
      </c>
      <c r="Y31" s="313">
        <v>0</v>
      </c>
      <c r="Z31" s="313">
        <f t="shared" si="21"/>
        <v>0</v>
      </c>
      <c r="AA31" s="313">
        <v>0</v>
      </c>
      <c r="AB31" s="313">
        <f t="shared" si="22"/>
        <v>0</v>
      </c>
      <c r="AC31" s="313">
        <v>0</v>
      </c>
      <c r="AD31" s="313">
        <f t="shared" si="23"/>
        <v>0</v>
      </c>
      <c r="AE31" s="313">
        <v>0</v>
      </c>
      <c r="AF31" s="313">
        <f t="shared" si="24"/>
        <v>0</v>
      </c>
      <c r="AG31" s="313">
        <v>0</v>
      </c>
      <c r="AH31" s="313">
        <f t="shared" si="25"/>
        <v>0</v>
      </c>
      <c r="AI31" s="313">
        <v>0</v>
      </c>
      <c r="AJ31" s="313">
        <f t="shared" si="26"/>
        <v>0</v>
      </c>
      <c r="AK31" s="313">
        <v>0</v>
      </c>
      <c r="AL31" s="313">
        <f t="shared" si="27"/>
        <v>0</v>
      </c>
      <c r="AM31" s="313">
        <v>0</v>
      </c>
      <c r="AN31" s="313">
        <f t="shared" si="28"/>
        <v>0</v>
      </c>
      <c r="AO31" s="313">
        <v>0</v>
      </c>
      <c r="AP31" s="313">
        <f t="shared" si="29"/>
        <v>0</v>
      </c>
      <c r="AQ31" s="313">
        <v>0</v>
      </c>
      <c r="AR31" s="313">
        <f t="shared" si="30"/>
        <v>0</v>
      </c>
      <c r="AS31" s="313">
        <v>0</v>
      </c>
      <c r="AT31" s="313">
        <f t="shared" si="31"/>
        <v>0</v>
      </c>
      <c r="AU31" s="313">
        <v>0</v>
      </c>
      <c r="AV31" s="313">
        <f t="shared" si="32"/>
        <v>0</v>
      </c>
      <c r="AW31" s="313">
        <v>0</v>
      </c>
      <c r="AX31" s="313">
        <f t="shared" si="33"/>
        <v>0</v>
      </c>
      <c r="AY31" s="313">
        <v>0</v>
      </c>
      <c r="AZ31" s="313">
        <f t="shared" si="34"/>
        <v>0</v>
      </c>
      <c r="BA31" s="313">
        <v>0</v>
      </c>
      <c r="BB31" s="313">
        <f t="shared" si="35"/>
        <v>0</v>
      </c>
      <c r="BC31" s="313">
        <v>0</v>
      </c>
      <c r="BD31" s="313">
        <f t="shared" si="36"/>
        <v>0</v>
      </c>
      <c r="BE31" s="313">
        <v>0</v>
      </c>
      <c r="BF31" s="313">
        <f t="shared" si="37"/>
        <v>0</v>
      </c>
      <c r="BG31" s="313">
        <v>0</v>
      </c>
      <c r="BH31" s="313">
        <f t="shared" si="38"/>
        <v>0</v>
      </c>
      <c r="BI31" s="338">
        <f t="shared" si="39"/>
        <v>0</v>
      </c>
      <c r="BJ31" s="338">
        <f t="shared" si="39"/>
        <v>0</v>
      </c>
      <c r="BK31" s="336" t="s">
        <v>209</v>
      </c>
      <c r="BM31" s="340">
        <v>0</v>
      </c>
      <c r="BN31" s="340">
        <f t="shared" si="40"/>
        <v>0</v>
      </c>
      <c r="BO31" s="340">
        <v>0</v>
      </c>
      <c r="BP31" s="340">
        <v>0</v>
      </c>
      <c r="BQ31" s="340">
        <f t="shared" si="41"/>
        <v>0</v>
      </c>
      <c r="BR31" s="340">
        <v>0</v>
      </c>
      <c r="BS31" s="340">
        <v>0</v>
      </c>
      <c r="BT31" s="340">
        <f>BR31+BS31</f>
        <v>0</v>
      </c>
      <c r="BU31" s="341">
        <f t="shared" si="2"/>
        <v>0</v>
      </c>
    </row>
    <row r="32" spans="1:73" x14ac:dyDescent="0.25">
      <c r="A32" s="327" t="s">
        <v>709</v>
      </c>
      <c r="B32" s="342" t="s">
        <v>435</v>
      </c>
      <c r="C32" s="336" t="s">
        <v>456</v>
      </c>
      <c r="D32" s="343" t="s">
        <v>304</v>
      </c>
      <c r="E32" s="322">
        <f t="shared" si="9"/>
        <v>0</v>
      </c>
      <c r="F32" s="325">
        <f t="shared" si="10"/>
        <v>0</v>
      </c>
      <c r="G32" s="313">
        <f t="shared" si="11"/>
        <v>0</v>
      </c>
      <c r="H32" s="313">
        <f t="shared" si="12"/>
        <v>0</v>
      </c>
      <c r="I32" s="325"/>
      <c r="J32" s="325"/>
      <c r="K32" s="325"/>
      <c r="L32" s="325"/>
      <c r="M32" s="325"/>
      <c r="N32" s="325"/>
      <c r="O32" s="325"/>
      <c r="P32" s="325"/>
      <c r="Q32" s="347">
        <f t="shared" si="13"/>
        <v>0</v>
      </c>
      <c r="R32" s="347">
        <f t="shared" si="14"/>
        <v>0</v>
      </c>
      <c r="S32" s="347">
        <f t="shared" si="15"/>
        <v>0</v>
      </c>
      <c r="T32" s="347">
        <f t="shared" si="16"/>
        <v>0</v>
      </c>
      <c r="U32" s="325">
        <f t="shared" si="17"/>
        <v>0</v>
      </c>
      <c r="V32" s="325">
        <f t="shared" si="18"/>
        <v>0</v>
      </c>
      <c r="W32" s="325">
        <f t="shared" si="19"/>
        <v>0</v>
      </c>
      <c r="X32" s="325">
        <f t="shared" si="20"/>
        <v>0</v>
      </c>
      <c r="Y32" s="313">
        <v>0</v>
      </c>
      <c r="Z32" s="313">
        <f t="shared" si="21"/>
        <v>0</v>
      </c>
      <c r="AA32" s="313">
        <v>0</v>
      </c>
      <c r="AB32" s="313">
        <f t="shared" si="22"/>
        <v>0</v>
      </c>
      <c r="AC32" s="313">
        <v>0</v>
      </c>
      <c r="AD32" s="313">
        <f t="shared" si="23"/>
        <v>0</v>
      </c>
      <c r="AE32" s="313">
        <v>0</v>
      </c>
      <c r="AF32" s="313">
        <f t="shared" si="24"/>
        <v>0</v>
      </c>
      <c r="AG32" s="313">
        <v>0</v>
      </c>
      <c r="AH32" s="313">
        <f t="shared" si="25"/>
        <v>0</v>
      </c>
      <c r="AI32" s="313">
        <v>0</v>
      </c>
      <c r="AJ32" s="313">
        <f t="shared" si="26"/>
        <v>0</v>
      </c>
      <c r="AK32" s="313">
        <v>0</v>
      </c>
      <c r="AL32" s="313">
        <f t="shared" si="27"/>
        <v>0</v>
      </c>
      <c r="AM32" s="313">
        <v>0</v>
      </c>
      <c r="AN32" s="313">
        <f t="shared" si="28"/>
        <v>0</v>
      </c>
      <c r="AO32" s="313">
        <v>0</v>
      </c>
      <c r="AP32" s="313">
        <f t="shared" si="29"/>
        <v>0</v>
      </c>
      <c r="AQ32" s="313">
        <v>0</v>
      </c>
      <c r="AR32" s="313">
        <f t="shared" si="30"/>
        <v>0</v>
      </c>
      <c r="AS32" s="313">
        <v>0</v>
      </c>
      <c r="AT32" s="313">
        <f t="shared" si="31"/>
        <v>0</v>
      </c>
      <c r="AU32" s="313">
        <v>0</v>
      </c>
      <c r="AV32" s="313">
        <f t="shared" si="32"/>
        <v>0</v>
      </c>
      <c r="AW32" s="313">
        <v>0</v>
      </c>
      <c r="AX32" s="313">
        <f t="shared" si="33"/>
        <v>0</v>
      </c>
      <c r="AY32" s="313">
        <v>0</v>
      </c>
      <c r="AZ32" s="313">
        <f t="shared" si="34"/>
        <v>0</v>
      </c>
      <c r="BA32" s="313">
        <v>0</v>
      </c>
      <c r="BB32" s="313">
        <f t="shared" si="35"/>
        <v>0</v>
      </c>
      <c r="BC32" s="313">
        <v>0</v>
      </c>
      <c r="BD32" s="313">
        <f t="shared" si="36"/>
        <v>0</v>
      </c>
      <c r="BE32" s="313">
        <v>0</v>
      </c>
      <c r="BF32" s="313">
        <f t="shared" si="37"/>
        <v>0</v>
      </c>
      <c r="BG32" s="313">
        <v>0</v>
      </c>
      <c r="BH32" s="313">
        <f t="shared" si="38"/>
        <v>0</v>
      </c>
      <c r="BI32" s="338">
        <f t="shared" si="39"/>
        <v>0</v>
      </c>
      <c r="BJ32" s="338">
        <f t="shared" si="39"/>
        <v>0</v>
      </c>
      <c r="BK32" s="336" t="s">
        <v>209</v>
      </c>
      <c r="BM32" s="338">
        <f>SUM(BM28:BM31)</f>
        <v>0</v>
      </c>
      <c r="BN32" s="340">
        <f t="shared" si="40"/>
        <v>0</v>
      </c>
      <c r="BO32" s="338">
        <f>SUM(BO28:BO31)</f>
        <v>0</v>
      </c>
      <c r="BP32" s="338">
        <f>SUM(BP28:BP31)</f>
        <v>0</v>
      </c>
      <c r="BQ32" s="340">
        <f t="shared" si="41"/>
        <v>0</v>
      </c>
      <c r="BR32" s="338">
        <f>SUM(BR28:BR31)</f>
        <v>0</v>
      </c>
      <c r="BS32" s="338">
        <f>SUM(BS28:BS31)</f>
        <v>0</v>
      </c>
      <c r="BT32" s="338">
        <f>SUM(BT28:BT31)</f>
        <v>0</v>
      </c>
      <c r="BU32" s="341">
        <f t="shared" si="2"/>
        <v>0</v>
      </c>
    </row>
    <row r="33" spans="1:73" s="317" customFormat="1" x14ac:dyDescent="0.25">
      <c r="A33" s="348"/>
      <c r="B33" s="335" t="s">
        <v>436</v>
      </c>
      <c r="C33" s="336" t="s">
        <v>111</v>
      </c>
      <c r="D33" s="343" t="s">
        <v>111</v>
      </c>
      <c r="E33" s="332">
        <f t="shared" ref="E33:AJ33" si="45">SUM(E27:E32)</f>
        <v>1182</v>
      </c>
      <c r="F33" s="332">
        <f t="shared" si="45"/>
        <v>5910000</v>
      </c>
      <c r="G33" s="332">
        <f t="shared" si="45"/>
        <v>1182000</v>
      </c>
      <c r="H33" s="332">
        <f t="shared" si="45"/>
        <v>4728000</v>
      </c>
      <c r="I33" s="332">
        <f t="shared" si="45"/>
        <v>0</v>
      </c>
      <c r="J33" s="332">
        <f t="shared" si="45"/>
        <v>0</v>
      </c>
      <c r="K33" s="332">
        <f t="shared" si="45"/>
        <v>0</v>
      </c>
      <c r="L33" s="332">
        <f t="shared" si="45"/>
        <v>0</v>
      </c>
      <c r="M33" s="332">
        <f t="shared" si="45"/>
        <v>0</v>
      </c>
      <c r="N33" s="332">
        <f t="shared" si="45"/>
        <v>0</v>
      </c>
      <c r="O33" s="332">
        <f t="shared" si="45"/>
        <v>0</v>
      </c>
      <c r="P33" s="332">
        <f t="shared" si="45"/>
        <v>0</v>
      </c>
      <c r="Q33" s="332">
        <f t="shared" si="45"/>
        <v>591</v>
      </c>
      <c r="R33" s="332">
        <f t="shared" si="45"/>
        <v>472.8</v>
      </c>
      <c r="S33" s="332">
        <f t="shared" si="45"/>
        <v>118.2</v>
      </c>
      <c r="T33" s="332">
        <f t="shared" si="45"/>
        <v>0</v>
      </c>
      <c r="U33" s="332">
        <f t="shared" si="45"/>
        <v>2955000</v>
      </c>
      <c r="V33" s="332">
        <f t="shared" si="45"/>
        <v>2364000</v>
      </c>
      <c r="W33" s="332">
        <f t="shared" si="45"/>
        <v>591000</v>
      </c>
      <c r="X33" s="332">
        <f t="shared" si="45"/>
        <v>0</v>
      </c>
      <c r="Y33" s="313">
        <f t="shared" si="45"/>
        <v>66</v>
      </c>
      <c r="Z33" s="313">
        <f t="shared" si="45"/>
        <v>330000</v>
      </c>
      <c r="AA33" s="313">
        <f t="shared" si="45"/>
        <v>34</v>
      </c>
      <c r="AB33" s="313">
        <f t="shared" si="45"/>
        <v>170000</v>
      </c>
      <c r="AC33" s="313">
        <f t="shared" si="45"/>
        <v>92</v>
      </c>
      <c r="AD33" s="313">
        <f t="shared" si="45"/>
        <v>460000</v>
      </c>
      <c r="AE33" s="313">
        <f t="shared" si="45"/>
        <v>102</v>
      </c>
      <c r="AF33" s="313">
        <f t="shared" si="45"/>
        <v>510000</v>
      </c>
      <c r="AG33" s="313">
        <f t="shared" si="45"/>
        <v>26</v>
      </c>
      <c r="AH33" s="313">
        <f t="shared" si="45"/>
        <v>130000</v>
      </c>
      <c r="AI33" s="313">
        <f t="shared" si="45"/>
        <v>80</v>
      </c>
      <c r="AJ33" s="313">
        <f t="shared" si="45"/>
        <v>400000</v>
      </c>
      <c r="AK33" s="313">
        <f t="shared" ref="AK33:BP33" si="46">SUM(AK27:AK32)</f>
        <v>76</v>
      </c>
      <c r="AL33" s="313">
        <f t="shared" si="46"/>
        <v>380000</v>
      </c>
      <c r="AM33" s="313">
        <f t="shared" si="46"/>
        <v>26</v>
      </c>
      <c r="AN33" s="313">
        <f t="shared" si="46"/>
        <v>130000</v>
      </c>
      <c r="AO33" s="313">
        <f t="shared" si="46"/>
        <v>58</v>
      </c>
      <c r="AP33" s="313">
        <f t="shared" si="46"/>
        <v>290000</v>
      </c>
      <c r="AQ33" s="313">
        <f t="shared" si="46"/>
        <v>74</v>
      </c>
      <c r="AR33" s="313">
        <f t="shared" si="46"/>
        <v>370000</v>
      </c>
      <c r="AS33" s="313">
        <f t="shared" si="46"/>
        <v>92</v>
      </c>
      <c r="AT33" s="313">
        <f t="shared" si="46"/>
        <v>460000</v>
      </c>
      <c r="AU33" s="313">
        <f t="shared" si="46"/>
        <v>48</v>
      </c>
      <c r="AV33" s="313">
        <f t="shared" si="46"/>
        <v>240000</v>
      </c>
      <c r="AW33" s="313">
        <f t="shared" si="46"/>
        <v>62</v>
      </c>
      <c r="AX33" s="313">
        <f t="shared" si="46"/>
        <v>310000</v>
      </c>
      <c r="AY33" s="313">
        <f t="shared" si="46"/>
        <v>72</v>
      </c>
      <c r="AZ33" s="313">
        <f t="shared" si="46"/>
        <v>360000</v>
      </c>
      <c r="BA33" s="313">
        <f t="shared" si="46"/>
        <v>114</v>
      </c>
      <c r="BB33" s="313">
        <f t="shared" si="46"/>
        <v>570000</v>
      </c>
      <c r="BC33" s="313">
        <f t="shared" si="46"/>
        <v>24</v>
      </c>
      <c r="BD33" s="313">
        <f t="shared" si="46"/>
        <v>120000</v>
      </c>
      <c r="BE33" s="313">
        <f t="shared" si="46"/>
        <v>136</v>
      </c>
      <c r="BF33" s="313">
        <f t="shared" si="46"/>
        <v>680000</v>
      </c>
      <c r="BG33" s="313">
        <f t="shared" si="46"/>
        <v>0</v>
      </c>
      <c r="BH33" s="313">
        <f t="shared" si="46"/>
        <v>0</v>
      </c>
      <c r="BI33" s="313">
        <f t="shared" si="46"/>
        <v>1182</v>
      </c>
      <c r="BJ33" s="313">
        <f t="shared" si="46"/>
        <v>5910000</v>
      </c>
      <c r="BK33" s="313">
        <f t="shared" si="46"/>
        <v>0</v>
      </c>
      <c r="BL33" s="313">
        <f t="shared" si="46"/>
        <v>0</v>
      </c>
      <c r="BM33" s="313">
        <f t="shared" si="46"/>
        <v>0</v>
      </c>
      <c r="BN33" s="313">
        <f t="shared" si="46"/>
        <v>5910000</v>
      </c>
      <c r="BO33" s="313">
        <f t="shared" si="46"/>
        <v>0</v>
      </c>
      <c r="BP33" s="313">
        <f t="shared" si="46"/>
        <v>0</v>
      </c>
      <c r="BQ33" s="313">
        <f t="shared" ref="BQ33:BU33" si="47">SUM(BQ27:BQ32)</f>
        <v>5910000</v>
      </c>
      <c r="BR33" s="313">
        <f t="shared" si="47"/>
        <v>0</v>
      </c>
      <c r="BS33" s="313">
        <f t="shared" si="47"/>
        <v>0</v>
      </c>
      <c r="BT33" s="313">
        <f t="shared" si="47"/>
        <v>0</v>
      </c>
      <c r="BU33" s="313">
        <f t="shared" si="47"/>
        <v>5910000</v>
      </c>
    </row>
    <row r="34" spans="1:73" x14ac:dyDescent="0.25">
      <c r="A34" s="327"/>
      <c r="B34" s="335" t="s">
        <v>437</v>
      </c>
      <c r="C34" s="336"/>
      <c r="D34" s="336"/>
      <c r="E34" s="322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5"/>
      <c r="R34" s="315"/>
      <c r="S34" s="315"/>
      <c r="T34" s="315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3"/>
      <c r="AQ34" s="313"/>
      <c r="AR34" s="313"/>
      <c r="AS34" s="313"/>
      <c r="AT34" s="313"/>
      <c r="AU34" s="313"/>
      <c r="AV34" s="313"/>
      <c r="AW34" s="313"/>
      <c r="AX34" s="313"/>
      <c r="AY34" s="313"/>
      <c r="AZ34" s="313"/>
      <c r="BA34" s="313"/>
      <c r="BB34" s="313"/>
      <c r="BC34" s="313"/>
      <c r="BD34" s="313"/>
      <c r="BE34" s="313"/>
      <c r="BF34" s="313"/>
      <c r="BG34" s="313"/>
      <c r="BH34" s="313"/>
      <c r="BI34" s="338"/>
      <c r="BJ34" s="339"/>
      <c r="BK34" s="336"/>
      <c r="BM34" s="340"/>
      <c r="BN34" s="340"/>
      <c r="BO34" s="340"/>
      <c r="BP34" s="340"/>
      <c r="BQ34" s="340"/>
      <c r="BR34" s="340"/>
      <c r="BS34" s="340"/>
      <c r="BT34" s="340"/>
      <c r="BU34" s="341">
        <f t="shared" si="2"/>
        <v>0</v>
      </c>
    </row>
    <row r="35" spans="1:73" x14ac:dyDescent="0.25">
      <c r="A35" s="327" t="s">
        <v>710</v>
      </c>
      <c r="B35" s="342" t="s">
        <v>942</v>
      </c>
      <c r="C35" s="336" t="s">
        <v>67</v>
      </c>
      <c r="D35" s="343">
        <v>150</v>
      </c>
      <c r="E35" s="322">
        <f>BI35</f>
        <v>0</v>
      </c>
      <c r="F35" s="313">
        <f>E35*D35</f>
        <v>0</v>
      </c>
      <c r="G35" s="313">
        <f>F35*0.2</f>
        <v>0</v>
      </c>
      <c r="H35" s="313">
        <f>F35*0.8</f>
        <v>0</v>
      </c>
      <c r="I35" s="313"/>
      <c r="J35" s="313"/>
      <c r="K35" s="313"/>
      <c r="L35" s="313"/>
      <c r="M35" s="313"/>
      <c r="N35" s="313"/>
      <c r="O35" s="313"/>
      <c r="P35" s="313"/>
      <c r="Q35" s="315">
        <f>E35*0.25</f>
        <v>0</v>
      </c>
      <c r="R35" s="315">
        <f>E35*0.25</f>
        <v>0</v>
      </c>
      <c r="S35" s="315">
        <f>E35*0.25</f>
        <v>0</v>
      </c>
      <c r="T35" s="315">
        <f>E35*0.25</f>
        <v>0</v>
      </c>
      <c r="U35" s="313">
        <f>Q35*D35</f>
        <v>0</v>
      </c>
      <c r="V35" s="313">
        <f>R35*D35</f>
        <v>0</v>
      </c>
      <c r="W35" s="313">
        <f>S35*D35</f>
        <v>0</v>
      </c>
      <c r="X35" s="313">
        <f>T35*D35</f>
        <v>0</v>
      </c>
      <c r="Y35" s="313">
        <v>0</v>
      </c>
      <c r="Z35" s="313">
        <f>Y35*D35</f>
        <v>0</v>
      </c>
      <c r="AA35" s="313">
        <v>0</v>
      </c>
      <c r="AB35" s="313">
        <f>AA35*D35</f>
        <v>0</v>
      </c>
      <c r="AC35" s="313">
        <v>0</v>
      </c>
      <c r="AD35" s="313">
        <f>AC35*D35</f>
        <v>0</v>
      </c>
      <c r="AE35" s="313">
        <v>0</v>
      </c>
      <c r="AF35" s="313">
        <f>AE35*D35</f>
        <v>0</v>
      </c>
      <c r="AG35" s="313">
        <v>0</v>
      </c>
      <c r="AH35" s="313">
        <f>AG35*D35</f>
        <v>0</v>
      </c>
      <c r="AI35" s="313">
        <v>0</v>
      </c>
      <c r="AJ35" s="313">
        <f>D35*AI35</f>
        <v>0</v>
      </c>
      <c r="AK35" s="313">
        <v>0</v>
      </c>
      <c r="AL35" s="313">
        <f>D35*AK35</f>
        <v>0</v>
      </c>
      <c r="AM35" s="313">
        <v>0</v>
      </c>
      <c r="AN35" s="313">
        <f>D35*AM35</f>
        <v>0</v>
      </c>
      <c r="AO35" s="313">
        <v>0</v>
      </c>
      <c r="AP35" s="313">
        <f>AO35*D35</f>
        <v>0</v>
      </c>
      <c r="AQ35" s="313">
        <v>0</v>
      </c>
      <c r="AR35" s="313">
        <f>AQ35*D35</f>
        <v>0</v>
      </c>
      <c r="AS35" s="313">
        <v>0</v>
      </c>
      <c r="AT35" s="313">
        <f>AS35*D35</f>
        <v>0</v>
      </c>
      <c r="AU35" s="313">
        <v>0</v>
      </c>
      <c r="AV35" s="313">
        <f>AU35*D35</f>
        <v>0</v>
      </c>
      <c r="AW35" s="313">
        <v>0</v>
      </c>
      <c r="AX35" s="313">
        <f>AW35*D35</f>
        <v>0</v>
      </c>
      <c r="AY35" s="313">
        <v>0</v>
      </c>
      <c r="AZ35" s="313">
        <f>AY35*D35</f>
        <v>0</v>
      </c>
      <c r="BA35" s="313">
        <v>0</v>
      </c>
      <c r="BB35" s="313">
        <f>D35*BA35</f>
        <v>0</v>
      </c>
      <c r="BC35" s="313">
        <v>0</v>
      </c>
      <c r="BD35" s="313">
        <f>BC35*D35</f>
        <v>0</v>
      </c>
      <c r="BE35" s="313">
        <v>0</v>
      </c>
      <c r="BF35" s="313">
        <f>BE35*D35</f>
        <v>0</v>
      </c>
      <c r="BG35" s="313">
        <v>0</v>
      </c>
      <c r="BH35" s="313">
        <f>BG35*D35</f>
        <v>0</v>
      </c>
      <c r="BI35" s="338">
        <f>BG35+BE35+BC35+BA35+AY35+AW35+AU35+AS35+AQ35+AO35+AM35+AK35+AI35+AG35+AE35+AC35+AA35+Y35</f>
        <v>0</v>
      </c>
      <c r="BJ35" s="338">
        <f>BH35+BF35+BD35+BB35+AZ35+AX35+AV35+AT35+AR35+AP35+AN35+AL35+AJ35+AH35+AF35+AD35+AB35+Z35</f>
        <v>0</v>
      </c>
      <c r="BK35" s="336" t="s">
        <v>209</v>
      </c>
      <c r="BM35" s="340"/>
      <c r="BN35" s="340">
        <f>BJ35</f>
        <v>0</v>
      </c>
      <c r="BO35" s="340"/>
      <c r="BP35" s="340"/>
      <c r="BQ35" s="340">
        <f>BM35+BN35+BO35+BP35</f>
        <v>0</v>
      </c>
      <c r="BR35" s="340"/>
      <c r="BS35" s="340"/>
      <c r="BT35" s="340"/>
      <c r="BU35" s="341">
        <f t="shared" si="2"/>
        <v>0</v>
      </c>
    </row>
    <row r="36" spans="1:73" x14ac:dyDescent="0.25">
      <c r="A36" s="327"/>
      <c r="B36" s="335" t="s">
        <v>438</v>
      </c>
      <c r="C36" s="336" t="s">
        <v>111</v>
      </c>
      <c r="D36" s="343" t="s">
        <v>111</v>
      </c>
      <c r="E36" s="322">
        <f>E35</f>
        <v>0</v>
      </c>
      <c r="F36" s="322">
        <f t="shared" ref="F36:X36" si="48">F35</f>
        <v>0</v>
      </c>
      <c r="G36" s="322">
        <f t="shared" si="48"/>
        <v>0</v>
      </c>
      <c r="H36" s="322">
        <f t="shared" si="48"/>
        <v>0</v>
      </c>
      <c r="I36" s="322">
        <f t="shared" si="48"/>
        <v>0</v>
      </c>
      <c r="J36" s="322">
        <f t="shared" si="48"/>
        <v>0</v>
      </c>
      <c r="K36" s="322">
        <f t="shared" si="48"/>
        <v>0</v>
      </c>
      <c r="L36" s="322">
        <f t="shared" si="48"/>
        <v>0</v>
      </c>
      <c r="M36" s="322">
        <f t="shared" si="48"/>
        <v>0</v>
      </c>
      <c r="N36" s="322">
        <f t="shared" si="48"/>
        <v>0</v>
      </c>
      <c r="O36" s="322">
        <f t="shared" si="48"/>
        <v>0</v>
      </c>
      <c r="P36" s="322">
        <f t="shared" si="48"/>
        <v>0</v>
      </c>
      <c r="Q36" s="322">
        <f t="shared" si="48"/>
        <v>0</v>
      </c>
      <c r="R36" s="322">
        <f t="shared" si="48"/>
        <v>0</v>
      </c>
      <c r="S36" s="322">
        <f t="shared" si="48"/>
        <v>0</v>
      </c>
      <c r="T36" s="322">
        <f t="shared" si="48"/>
        <v>0</v>
      </c>
      <c r="U36" s="322">
        <f t="shared" si="48"/>
        <v>0</v>
      </c>
      <c r="V36" s="322">
        <f t="shared" si="48"/>
        <v>0</v>
      </c>
      <c r="W36" s="322">
        <f t="shared" si="48"/>
        <v>0</v>
      </c>
      <c r="X36" s="322">
        <f t="shared" si="48"/>
        <v>0</v>
      </c>
      <c r="Y36" s="313">
        <f>SUM(Y35)</f>
        <v>0</v>
      </c>
      <c r="Z36" s="313">
        <f t="shared" ref="Z36:BU36" si="49">SUM(Z35)</f>
        <v>0</v>
      </c>
      <c r="AA36" s="313">
        <f t="shared" si="49"/>
        <v>0</v>
      </c>
      <c r="AB36" s="313">
        <f t="shared" si="49"/>
        <v>0</v>
      </c>
      <c r="AC36" s="313">
        <f t="shared" si="49"/>
        <v>0</v>
      </c>
      <c r="AD36" s="313">
        <f t="shared" si="49"/>
        <v>0</v>
      </c>
      <c r="AE36" s="313">
        <f t="shared" si="49"/>
        <v>0</v>
      </c>
      <c r="AF36" s="313">
        <f t="shared" si="49"/>
        <v>0</v>
      </c>
      <c r="AG36" s="313">
        <f t="shared" si="49"/>
        <v>0</v>
      </c>
      <c r="AH36" s="313">
        <f t="shared" si="49"/>
        <v>0</v>
      </c>
      <c r="AI36" s="313">
        <f t="shared" si="49"/>
        <v>0</v>
      </c>
      <c r="AJ36" s="313">
        <f t="shared" si="49"/>
        <v>0</v>
      </c>
      <c r="AK36" s="313">
        <f t="shared" si="49"/>
        <v>0</v>
      </c>
      <c r="AL36" s="313">
        <f t="shared" si="49"/>
        <v>0</v>
      </c>
      <c r="AM36" s="313">
        <f t="shared" si="49"/>
        <v>0</v>
      </c>
      <c r="AN36" s="313">
        <f t="shared" si="49"/>
        <v>0</v>
      </c>
      <c r="AO36" s="313">
        <f t="shared" si="49"/>
        <v>0</v>
      </c>
      <c r="AP36" s="313">
        <f t="shared" si="49"/>
        <v>0</v>
      </c>
      <c r="AQ36" s="313">
        <f t="shared" si="49"/>
        <v>0</v>
      </c>
      <c r="AR36" s="313">
        <f t="shared" si="49"/>
        <v>0</v>
      </c>
      <c r="AS36" s="313">
        <f t="shared" si="49"/>
        <v>0</v>
      </c>
      <c r="AT36" s="313">
        <f t="shared" si="49"/>
        <v>0</v>
      </c>
      <c r="AU36" s="313">
        <f t="shared" si="49"/>
        <v>0</v>
      </c>
      <c r="AV36" s="313">
        <f t="shared" si="49"/>
        <v>0</v>
      </c>
      <c r="AW36" s="313">
        <f t="shared" si="49"/>
        <v>0</v>
      </c>
      <c r="AX36" s="313">
        <f t="shared" si="49"/>
        <v>0</v>
      </c>
      <c r="AY36" s="313">
        <f t="shared" si="49"/>
        <v>0</v>
      </c>
      <c r="AZ36" s="313">
        <f t="shared" si="49"/>
        <v>0</v>
      </c>
      <c r="BA36" s="313">
        <f t="shared" si="49"/>
        <v>0</v>
      </c>
      <c r="BB36" s="313">
        <f t="shared" si="49"/>
        <v>0</v>
      </c>
      <c r="BC36" s="313">
        <f t="shared" si="49"/>
        <v>0</v>
      </c>
      <c r="BD36" s="313">
        <f t="shared" si="49"/>
        <v>0</v>
      </c>
      <c r="BE36" s="313">
        <f t="shared" si="49"/>
        <v>0</v>
      </c>
      <c r="BF36" s="313">
        <f t="shared" si="49"/>
        <v>0</v>
      </c>
      <c r="BG36" s="313">
        <f t="shared" si="49"/>
        <v>0</v>
      </c>
      <c r="BH36" s="313">
        <f t="shared" si="49"/>
        <v>0</v>
      </c>
      <c r="BI36" s="313">
        <f t="shared" si="49"/>
        <v>0</v>
      </c>
      <c r="BJ36" s="313">
        <f t="shared" si="49"/>
        <v>0</v>
      </c>
      <c r="BK36" s="313">
        <f t="shared" si="49"/>
        <v>0</v>
      </c>
      <c r="BL36" s="313">
        <f t="shared" si="49"/>
        <v>0</v>
      </c>
      <c r="BM36" s="313">
        <f t="shared" si="49"/>
        <v>0</v>
      </c>
      <c r="BN36" s="313">
        <f t="shared" si="49"/>
        <v>0</v>
      </c>
      <c r="BO36" s="313">
        <f t="shared" si="49"/>
        <v>0</v>
      </c>
      <c r="BP36" s="313">
        <f t="shared" si="49"/>
        <v>0</v>
      </c>
      <c r="BQ36" s="313">
        <f t="shared" si="49"/>
        <v>0</v>
      </c>
      <c r="BR36" s="313">
        <f t="shared" si="49"/>
        <v>0</v>
      </c>
      <c r="BS36" s="313">
        <f t="shared" si="49"/>
        <v>0</v>
      </c>
      <c r="BT36" s="313">
        <f t="shared" si="49"/>
        <v>0</v>
      </c>
      <c r="BU36" s="313">
        <f t="shared" si="49"/>
        <v>0</v>
      </c>
    </row>
    <row r="37" spans="1:73" x14ac:dyDescent="0.25">
      <c r="A37" s="327"/>
      <c r="B37" s="335" t="s">
        <v>633</v>
      </c>
      <c r="C37" s="336"/>
      <c r="D37" s="336"/>
      <c r="E37" s="322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5"/>
      <c r="R37" s="315"/>
      <c r="S37" s="315"/>
      <c r="T37" s="315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313"/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3"/>
      <c r="AX37" s="313"/>
      <c r="AY37" s="313"/>
      <c r="AZ37" s="313"/>
      <c r="BA37" s="313"/>
      <c r="BB37" s="313"/>
      <c r="BC37" s="313"/>
      <c r="BD37" s="313"/>
      <c r="BE37" s="313"/>
      <c r="BF37" s="313"/>
      <c r="BG37" s="313"/>
      <c r="BH37" s="313"/>
      <c r="BI37" s="338"/>
      <c r="BJ37" s="339"/>
      <c r="BK37" s="336"/>
      <c r="BM37" s="340"/>
      <c r="BN37" s="340"/>
      <c r="BO37" s="340"/>
      <c r="BP37" s="340"/>
      <c r="BQ37" s="340"/>
      <c r="BR37" s="340"/>
      <c r="BS37" s="340"/>
      <c r="BT37" s="340"/>
      <c r="BU37" s="341">
        <f t="shared" si="2"/>
        <v>0</v>
      </c>
    </row>
    <row r="38" spans="1:73" x14ac:dyDescent="0.25">
      <c r="A38" s="327"/>
      <c r="B38" s="335" t="s">
        <v>439</v>
      </c>
      <c r="C38" s="336"/>
      <c r="D38" s="336"/>
      <c r="E38" s="322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5"/>
      <c r="R38" s="315"/>
      <c r="S38" s="351"/>
      <c r="T38" s="351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  <c r="AN38" s="313"/>
      <c r="AO38" s="313"/>
      <c r="AP38" s="313"/>
      <c r="AQ38" s="313"/>
      <c r="AR38" s="313"/>
      <c r="AS38" s="313"/>
      <c r="AT38" s="313"/>
      <c r="AU38" s="313"/>
      <c r="AV38" s="313"/>
      <c r="AW38" s="313"/>
      <c r="AX38" s="313"/>
      <c r="AY38" s="313"/>
      <c r="AZ38" s="313"/>
      <c r="BA38" s="313"/>
      <c r="BB38" s="313"/>
      <c r="BC38" s="313"/>
      <c r="BD38" s="313"/>
      <c r="BE38" s="313"/>
      <c r="BF38" s="313"/>
      <c r="BG38" s="313"/>
      <c r="BH38" s="313"/>
      <c r="BI38" s="338"/>
      <c r="BJ38" s="339"/>
      <c r="BK38" s="336"/>
      <c r="BM38" s="340"/>
      <c r="BN38" s="340">
        <f>F38</f>
        <v>0</v>
      </c>
      <c r="BO38" s="340"/>
      <c r="BP38" s="340"/>
      <c r="BQ38" s="340">
        <f t="shared" ref="BQ38:BQ44" si="50">BM38+BN38+BO38+BP38</f>
        <v>0</v>
      </c>
      <c r="BR38" s="340"/>
      <c r="BS38" s="340"/>
      <c r="BT38" s="340"/>
      <c r="BU38" s="341">
        <f t="shared" si="2"/>
        <v>0</v>
      </c>
    </row>
    <row r="39" spans="1:73" x14ac:dyDescent="0.25">
      <c r="A39" s="327" t="s">
        <v>711</v>
      </c>
      <c r="B39" s="342" t="s">
        <v>440</v>
      </c>
      <c r="C39" s="336" t="s">
        <v>70</v>
      </c>
      <c r="D39" s="343">
        <v>500</v>
      </c>
      <c r="E39" s="322">
        <f>BI39</f>
        <v>0</v>
      </c>
      <c r="F39" s="313">
        <f>E39*D39</f>
        <v>0</v>
      </c>
      <c r="G39" s="313">
        <f>F39*0.2</f>
        <v>0</v>
      </c>
      <c r="H39" s="313">
        <f>F39*0.8</f>
        <v>0</v>
      </c>
      <c r="I39" s="313"/>
      <c r="J39" s="313"/>
      <c r="K39" s="313"/>
      <c r="L39" s="313"/>
      <c r="M39" s="313"/>
      <c r="N39" s="313"/>
      <c r="O39" s="313"/>
      <c r="P39" s="313"/>
      <c r="Q39" s="315">
        <f>E39*0.25</f>
        <v>0</v>
      </c>
      <c r="R39" s="315">
        <f>E39*0.25</f>
        <v>0</v>
      </c>
      <c r="S39" s="315">
        <f>E39*0.25</f>
        <v>0</v>
      </c>
      <c r="T39" s="315">
        <f>E39*0.25</f>
        <v>0</v>
      </c>
      <c r="U39" s="313">
        <f>Q39*D39</f>
        <v>0</v>
      </c>
      <c r="V39" s="313">
        <f>R39*D39</f>
        <v>0</v>
      </c>
      <c r="W39" s="313">
        <f>S39*D39</f>
        <v>0</v>
      </c>
      <c r="X39" s="313">
        <f>T39*D39</f>
        <v>0</v>
      </c>
      <c r="Y39" s="313">
        <v>0</v>
      </c>
      <c r="Z39" s="313">
        <f>Y39*D39</f>
        <v>0</v>
      </c>
      <c r="AA39" s="313">
        <v>0</v>
      </c>
      <c r="AB39" s="313">
        <f>AA39*D39</f>
        <v>0</v>
      </c>
      <c r="AC39" s="313">
        <v>0</v>
      </c>
      <c r="AD39" s="313">
        <f>AC39*D39</f>
        <v>0</v>
      </c>
      <c r="AE39" s="313">
        <v>0</v>
      </c>
      <c r="AF39" s="313">
        <f>AE39*D39</f>
        <v>0</v>
      </c>
      <c r="AG39" s="313">
        <v>0</v>
      </c>
      <c r="AH39" s="313">
        <f>AG39*D39</f>
        <v>0</v>
      </c>
      <c r="AI39" s="313">
        <v>0</v>
      </c>
      <c r="AJ39" s="313">
        <f>D39*AI39</f>
        <v>0</v>
      </c>
      <c r="AK39" s="313">
        <v>0</v>
      </c>
      <c r="AL39" s="313">
        <f>D39*AK39</f>
        <v>0</v>
      </c>
      <c r="AM39" s="313">
        <v>0</v>
      </c>
      <c r="AN39" s="313">
        <f>D39*AM39</f>
        <v>0</v>
      </c>
      <c r="AO39" s="313">
        <v>0</v>
      </c>
      <c r="AP39" s="313">
        <f>AO39*D39</f>
        <v>0</v>
      </c>
      <c r="AQ39" s="313">
        <v>0</v>
      </c>
      <c r="AR39" s="313">
        <f>AQ39*D39</f>
        <v>0</v>
      </c>
      <c r="AS39" s="313">
        <v>0</v>
      </c>
      <c r="AT39" s="313">
        <f>AS39*D39</f>
        <v>0</v>
      </c>
      <c r="AU39" s="313">
        <v>0</v>
      </c>
      <c r="AV39" s="313">
        <f>AU39*D39</f>
        <v>0</v>
      </c>
      <c r="AW39" s="313">
        <v>0</v>
      </c>
      <c r="AX39" s="313">
        <f>AW39*D39</f>
        <v>0</v>
      </c>
      <c r="AY39" s="313">
        <v>0</v>
      </c>
      <c r="AZ39" s="313">
        <f>AY39*D39</f>
        <v>0</v>
      </c>
      <c r="BA39" s="313">
        <v>0</v>
      </c>
      <c r="BB39" s="313">
        <f>D39*BA39</f>
        <v>0</v>
      </c>
      <c r="BC39" s="313">
        <v>0</v>
      </c>
      <c r="BD39" s="313">
        <f>BC39*D39</f>
        <v>0</v>
      </c>
      <c r="BE39" s="313">
        <v>0</v>
      </c>
      <c r="BF39" s="313">
        <f>BE39*D39</f>
        <v>0</v>
      </c>
      <c r="BG39" s="313">
        <v>0</v>
      </c>
      <c r="BH39" s="313">
        <f>BG39*D39</f>
        <v>0</v>
      </c>
      <c r="BI39" s="338">
        <f t="shared" ref="BI39:BJ42" si="51">BG39+BE39+BC39+BA39+AY39+AW39+AU39+AS39+AQ39+AO39+AM39+AK39+AI39+AG39+AE39+AC39+AA39+Y39</f>
        <v>0</v>
      </c>
      <c r="BJ39" s="338">
        <f t="shared" si="51"/>
        <v>0</v>
      </c>
      <c r="BK39" s="336" t="s">
        <v>209</v>
      </c>
      <c r="BM39" s="340"/>
      <c r="BN39" s="340">
        <f>BJ39</f>
        <v>0</v>
      </c>
      <c r="BO39" s="340"/>
      <c r="BP39" s="340"/>
      <c r="BQ39" s="340">
        <f t="shared" si="50"/>
        <v>0</v>
      </c>
      <c r="BR39" s="340"/>
      <c r="BS39" s="340"/>
      <c r="BT39" s="340"/>
      <c r="BU39" s="341">
        <f t="shared" si="2"/>
        <v>0</v>
      </c>
    </row>
    <row r="40" spans="1:73" x14ac:dyDescent="0.25">
      <c r="A40" s="327" t="s">
        <v>712</v>
      </c>
      <c r="B40" s="342" t="s">
        <v>589</v>
      </c>
      <c r="C40" s="336" t="s">
        <v>70</v>
      </c>
      <c r="D40" s="343">
        <v>0</v>
      </c>
      <c r="E40" s="322">
        <f>BI40</f>
        <v>0</v>
      </c>
      <c r="F40" s="313">
        <f>E40*D40</f>
        <v>0</v>
      </c>
      <c r="G40" s="313">
        <f>F40*0.2</f>
        <v>0</v>
      </c>
      <c r="H40" s="313">
        <f>F40*0.8</f>
        <v>0</v>
      </c>
      <c r="I40" s="313"/>
      <c r="J40" s="313"/>
      <c r="K40" s="313"/>
      <c r="L40" s="313"/>
      <c r="M40" s="313"/>
      <c r="N40" s="313"/>
      <c r="O40" s="313"/>
      <c r="P40" s="313"/>
      <c r="Q40" s="315">
        <f>E40*0.25</f>
        <v>0</v>
      </c>
      <c r="R40" s="315">
        <f>E40*0.25</f>
        <v>0</v>
      </c>
      <c r="S40" s="315">
        <f>E40*0.25</f>
        <v>0</v>
      </c>
      <c r="T40" s="315">
        <f>E40*0.25</f>
        <v>0</v>
      </c>
      <c r="U40" s="313">
        <f>Q40*D40</f>
        <v>0</v>
      </c>
      <c r="V40" s="313">
        <f>R40*D40</f>
        <v>0</v>
      </c>
      <c r="W40" s="313">
        <f>S40*D40</f>
        <v>0</v>
      </c>
      <c r="X40" s="313">
        <f>T40*D40</f>
        <v>0</v>
      </c>
      <c r="Y40" s="313">
        <v>0</v>
      </c>
      <c r="Z40" s="313">
        <f>Y40*D40</f>
        <v>0</v>
      </c>
      <c r="AA40" s="313">
        <v>0</v>
      </c>
      <c r="AB40" s="313">
        <f>AA40*D40</f>
        <v>0</v>
      </c>
      <c r="AC40" s="313">
        <v>0</v>
      </c>
      <c r="AD40" s="313">
        <f>AC40*D40</f>
        <v>0</v>
      </c>
      <c r="AE40" s="313">
        <v>0</v>
      </c>
      <c r="AF40" s="313">
        <f>AE40*D40</f>
        <v>0</v>
      </c>
      <c r="AG40" s="313">
        <v>0</v>
      </c>
      <c r="AH40" s="313">
        <f>AG40*D40</f>
        <v>0</v>
      </c>
      <c r="AI40" s="313">
        <v>0</v>
      </c>
      <c r="AJ40" s="313">
        <f>D40*AI40</f>
        <v>0</v>
      </c>
      <c r="AK40" s="313">
        <v>0</v>
      </c>
      <c r="AL40" s="313">
        <f>D40*AK40</f>
        <v>0</v>
      </c>
      <c r="AM40" s="313">
        <v>0</v>
      </c>
      <c r="AN40" s="313">
        <f>D40*AM40</f>
        <v>0</v>
      </c>
      <c r="AO40" s="313">
        <v>0</v>
      </c>
      <c r="AP40" s="313">
        <f>AO40*D40</f>
        <v>0</v>
      </c>
      <c r="AQ40" s="313">
        <v>0</v>
      </c>
      <c r="AR40" s="313">
        <f>AQ40*D40</f>
        <v>0</v>
      </c>
      <c r="AS40" s="313">
        <v>0</v>
      </c>
      <c r="AT40" s="313">
        <f>AS40*D40</f>
        <v>0</v>
      </c>
      <c r="AU40" s="313">
        <v>0</v>
      </c>
      <c r="AV40" s="313">
        <f>AU40*D40</f>
        <v>0</v>
      </c>
      <c r="AW40" s="313">
        <v>0</v>
      </c>
      <c r="AX40" s="313">
        <f>AW40*D40</f>
        <v>0</v>
      </c>
      <c r="AY40" s="313">
        <v>0</v>
      </c>
      <c r="AZ40" s="313">
        <f>AY40*D40</f>
        <v>0</v>
      </c>
      <c r="BA40" s="313">
        <v>0</v>
      </c>
      <c r="BB40" s="313">
        <f>D40*BA40</f>
        <v>0</v>
      </c>
      <c r="BC40" s="313">
        <v>0</v>
      </c>
      <c r="BD40" s="313">
        <f>BC40*D40</f>
        <v>0</v>
      </c>
      <c r="BE40" s="313">
        <v>0</v>
      </c>
      <c r="BF40" s="313">
        <f>BE40*D40</f>
        <v>0</v>
      </c>
      <c r="BG40" s="313">
        <v>0</v>
      </c>
      <c r="BH40" s="313">
        <f>BG40*D40</f>
        <v>0</v>
      </c>
      <c r="BI40" s="338">
        <f t="shared" si="51"/>
        <v>0</v>
      </c>
      <c r="BJ40" s="338">
        <f t="shared" si="51"/>
        <v>0</v>
      </c>
      <c r="BK40" s="336" t="s">
        <v>209</v>
      </c>
      <c r="BM40" s="340"/>
      <c r="BN40" s="340">
        <f>BJ40</f>
        <v>0</v>
      </c>
      <c r="BO40" s="340"/>
      <c r="BP40" s="340"/>
      <c r="BQ40" s="340">
        <f t="shared" si="50"/>
        <v>0</v>
      </c>
      <c r="BR40" s="340"/>
      <c r="BS40" s="340"/>
      <c r="BT40" s="340"/>
      <c r="BU40" s="341">
        <f t="shared" si="2"/>
        <v>0</v>
      </c>
    </row>
    <row r="41" spans="1:73" s="317" customFormat="1" ht="31.5" x14ac:dyDescent="0.25">
      <c r="A41" s="327" t="s">
        <v>713</v>
      </c>
      <c r="B41" s="344" t="s">
        <v>441</v>
      </c>
      <c r="C41" s="336" t="s">
        <v>70</v>
      </c>
      <c r="D41" s="343">
        <v>0</v>
      </c>
      <c r="E41" s="332">
        <f>BI41</f>
        <v>0</v>
      </c>
      <c r="F41" s="313">
        <f>E41*D41</f>
        <v>0</v>
      </c>
      <c r="G41" s="313">
        <f>F41*0.2</f>
        <v>0</v>
      </c>
      <c r="H41" s="313">
        <f>F41*0.8</f>
        <v>0</v>
      </c>
      <c r="I41" s="313"/>
      <c r="J41" s="313"/>
      <c r="K41" s="313"/>
      <c r="L41" s="313"/>
      <c r="M41" s="313"/>
      <c r="N41" s="313"/>
      <c r="O41" s="313"/>
      <c r="P41" s="313"/>
      <c r="Q41" s="352">
        <f>E41*0.25</f>
        <v>0</v>
      </c>
      <c r="R41" s="352">
        <f>E41*0.25</f>
        <v>0</v>
      </c>
      <c r="S41" s="352">
        <f>E41*0.25</f>
        <v>0</v>
      </c>
      <c r="T41" s="352">
        <f>E41*0.25</f>
        <v>0</v>
      </c>
      <c r="U41" s="313">
        <f>Q41*D41</f>
        <v>0</v>
      </c>
      <c r="V41" s="313">
        <f>R41*D41</f>
        <v>0</v>
      </c>
      <c r="W41" s="313">
        <f>S41*D41</f>
        <v>0</v>
      </c>
      <c r="X41" s="313">
        <f>T41*D41</f>
        <v>0</v>
      </c>
      <c r="Y41" s="313">
        <v>0</v>
      </c>
      <c r="Z41" s="313">
        <f>Y41*D41</f>
        <v>0</v>
      </c>
      <c r="AA41" s="313">
        <v>0</v>
      </c>
      <c r="AB41" s="313">
        <f>AA41*D41</f>
        <v>0</v>
      </c>
      <c r="AC41" s="313">
        <v>0</v>
      </c>
      <c r="AD41" s="313">
        <f>AC41*D41</f>
        <v>0</v>
      </c>
      <c r="AE41" s="313">
        <v>0</v>
      </c>
      <c r="AF41" s="313">
        <f>AE41*D41</f>
        <v>0</v>
      </c>
      <c r="AG41" s="313">
        <v>0</v>
      </c>
      <c r="AH41" s="313">
        <f>AG41*D41</f>
        <v>0</v>
      </c>
      <c r="AI41" s="313">
        <v>0</v>
      </c>
      <c r="AJ41" s="313">
        <f>D41*AI41</f>
        <v>0</v>
      </c>
      <c r="AK41" s="313">
        <v>0</v>
      </c>
      <c r="AL41" s="313">
        <f>D41*AK41</f>
        <v>0</v>
      </c>
      <c r="AM41" s="313">
        <v>0</v>
      </c>
      <c r="AN41" s="313">
        <f>D41*AM41</f>
        <v>0</v>
      </c>
      <c r="AO41" s="313">
        <v>0</v>
      </c>
      <c r="AP41" s="313">
        <f>AO41*D41</f>
        <v>0</v>
      </c>
      <c r="AQ41" s="313">
        <v>0</v>
      </c>
      <c r="AR41" s="313">
        <f>AQ41*D41</f>
        <v>0</v>
      </c>
      <c r="AS41" s="313">
        <v>0</v>
      </c>
      <c r="AT41" s="313">
        <f>AS41*D41</f>
        <v>0</v>
      </c>
      <c r="AU41" s="313">
        <v>0</v>
      </c>
      <c r="AV41" s="313">
        <f>AU41*D41</f>
        <v>0</v>
      </c>
      <c r="AW41" s="313">
        <v>0</v>
      </c>
      <c r="AX41" s="313">
        <f>AW41*D41</f>
        <v>0</v>
      </c>
      <c r="AY41" s="313">
        <v>0</v>
      </c>
      <c r="AZ41" s="313">
        <f>AY41*D41</f>
        <v>0</v>
      </c>
      <c r="BA41" s="313">
        <v>0</v>
      </c>
      <c r="BB41" s="313">
        <f>D41*BA41</f>
        <v>0</v>
      </c>
      <c r="BC41" s="313">
        <v>0</v>
      </c>
      <c r="BD41" s="313">
        <f>BC41*D41</f>
        <v>0</v>
      </c>
      <c r="BE41" s="313">
        <v>0</v>
      </c>
      <c r="BF41" s="313">
        <f>BE41*D41</f>
        <v>0</v>
      </c>
      <c r="BG41" s="313">
        <v>0</v>
      </c>
      <c r="BH41" s="313">
        <f>BG41*D41</f>
        <v>0</v>
      </c>
      <c r="BI41" s="338">
        <f t="shared" si="51"/>
        <v>0</v>
      </c>
      <c r="BJ41" s="338">
        <f t="shared" si="51"/>
        <v>0</v>
      </c>
      <c r="BK41" s="336" t="s">
        <v>209</v>
      </c>
      <c r="BM41" s="353"/>
      <c r="BN41" s="340">
        <f>BJ41</f>
        <v>0</v>
      </c>
      <c r="BO41" s="353"/>
      <c r="BP41" s="353"/>
      <c r="BQ41" s="340">
        <f t="shared" si="50"/>
        <v>0</v>
      </c>
      <c r="BR41" s="353"/>
      <c r="BS41" s="353"/>
      <c r="BT41" s="353"/>
      <c r="BU41" s="341">
        <f t="shared" si="2"/>
        <v>0</v>
      </c>
    </row>
    <row r="42" spans="1:73" x14ac:dyDescent="0.25">
      <c r="A42" s="327" t="s">
        <v>714</v>
      </c>
      <c r="B42" s="342" t="s">
        <v>442</v>
      </c>
      <c r="C42" s="336" t="s">
        <v>457</v>
      </c>
      <c r="D42" s="343" t="s">
        <v>343</v>
      </c>
      <c r="E42" s="322">
        <f>BI42</f>
        <v>0</v>
      </c>
      <c r="F42" s="313">
        <f>E42*D42</f>
        <v>0</v>
      </c>
      <c r="G42" s="313">
        <f>F42*0.2</f>
        <v>0</v>
      </c>
      <c r="H42" s="313">
        <f>F42*0.8</f>
        <v>0</v>
      </c>
      <c r="I42" s="313"/>
      <c r="J42" s="313"/>
      <c r="K42" s="313"/>
      <c r="L42" s="313"/>
      <c r="M42" s="313"/>
      <c r="N42" s="313"/>
      <c r="O42" s="313"/>
      <c r="P42" s="313"/>
      <c r="Q42" s="352">
        <f>E42*0.25</f>
        <v>0</v>
      </c>
      <c r="R42" s="352">
        <f>E42*0.25</f>
        <v>0</v>
      </c>
      <c r="S42" s="352">
        <f>E42*0.25</f>
        <v>0</v>
      </c>
      <c r="T42" s="352">
        <f>E42*0.25</f>
        <v>0</v>
      </c>
      <c r="U42" s="313">
        <f>Q42*D42</f>
        <v>0</v>
      </c>
      <c r="V42" s="313">
        <f>R42*D42</f>
        <v>0</v>
      </c>
      <c r="W42" s="313">
        <f>S42*D42</f>
        <v>0</v>
      </c>
      <c r="X42" s="313">
        <f>T42*D42</f>
        <v>0</v>
      </c>
      <c r="Y42" s="313">
        <v>0</v>
      </c>
      <c r="Z42" s="313">
        <f>Y42*D42</f>
        <v>0</v>
      </c>
      <c r="AA42" s="313">
        <v>0</v>
      </c>
      <c r="AB42" s="313">
        <f>AA42*D42</f>
        <v>0</v>
      </c>
      <c r="AC42" s="313">
        <v>0</v>
      </c>
      <c r="AD42" s="313">
        <f>AC42*D42</f>
        <v>0</v>
      </c>
      <c r="AE42" s="313">
        <v>0</v>
      </c>
      <c r="AF42" s="313">
        <f>AE42*D42</f>
        <v>0</v>
      </c>
      <c r="AG42" s="313">
        <v>0</v>
      </c>
      <c r="AH42" s="313">
        <f>AG42*D42</f>
        <v>0</v>
      </c>
      <c r="AI42" s="313">
        <v>0</v>
      </c>
      <c r="AJ42" s="313">
        <f>D42*AI42</f>
        <v>0</v>
      </c>
      <c r="AK42" s="313">
        <v>0</v>
      </c>
      <c r="AL42" s="313">
        <f>D42*AK42</f>
        <v>0</v>
      </c>
      <c r="AM42" s="313">
        <v>0</v>
      </c>
      <c r="AN42" s="313">
        <f>D42*AM42</f>
        <v>0</v>
      </c>
      <c r="AO42" s="313">
        <v>0</v>
      </c>
      <c r="AP42" s="313">
        <f>AO42*D42</f>
        <v>0</v>
      </c>
      <c r="AQ42" s="313">
        <v>0</v>
      </c>
      <c r="AR42" s="313">
        <f>AQ42*D42</f>
        <v>0</v>
      </c>
      <c r="AS42" s="313">
        <v>0</v>
      </c>
      <c r="AT42" s="313">
        <f>AS42*D42</f>
        <v>0</v>
      </c>
      <c r="AU42" s="313">
        <v>0</v>
      </c>
      <c r="AV42" s="313">
        <f>AU42*D42</f>
        <v>0</v>
      </c>
      <c r="AW42" s="313">
        <v>0</v>
      </c>
      <c r="AX42" s="313">
        <f>AW42*D42</f>
        <v>0</v>
      </c>
      <c r="AY42" s="313">
        <v>0</v>
      </c>
      <c r="AZ42" s="313">
        <f>AY42*D42</f>
        <v>0</v>
      </c>
      <c r="BA42" s="313">
        <v>0</v>
      </c>
      <c r="BB42" s="313">
        <f>D42*BA42</f>
        <v>0</v>
      </c>
      <c r="BC42" s="313">
        <v>0</v>
      </c>
      <c r="BD42" s="313">
        <f>BC42*D42</f>
        <v>0</v>
      </c>
      <c r="BE42" s="313">
        <v>0</v>
      </c>
      <c r="BF42" s="313">
        <f>BE42*D42</f>
        <v>0</v>
      </c>
      <c r="BG42" s="313">
        <v>0</v>
      </c>
      <c r="BH42" s="313">
        <f>BG42*D42</f>
        <v>0</v>
      </c>
      <c r="BI42" s="338">
        <f t="shared" si="51"/>
        <v>0</v>
      </c>
      <c r="BJ42" s="338">
        <f t="shared" si="51"/>
        <v>0</v>
      </c>
      <c r="BK42" s="336" t="s">
        <v>209</v>
      </c>
      <c r="BM42" s="340"/>
      <c r="BN42" s="340">
        <f>BJ42</f>
        <v>0</v>
      </c>
      <c r="BO42" s="340"/>
      <c r="BP42" s="340"/>
      <c r="BQ42" s="340">
        <f t="shared" si="50"/>
        <v>0</v>
      </c>
      <c r="BR42" s="340"/>
      <c r="BS42" s="340"/>
      <c r="BT42" s="340"/>
      <c r="BU42" s="341">
        <f t="shared" si="2"/>
        <v>0</v>
      </c>
    </row>
    <row r="43" spans="1:73" s="317" customFormat="1" x14ac:dyDescent="0.25">
      <c r="A43" s="348"/>
      <c r="B43" s="335" t="s">
        <v>443</v>
      </c>
      <c r="C43" s="346" t="s">
        <v>111</v>
      </c>
      <c r="D43" s="354" t="s">
        <v>111</v>
      </c>
      <c r="E43" s="332">
        <f>SUM(E39:E42)</f>
        <v>0</v>
      </c>
      <c r="F43" s="332">
        <f t="shared" ref="F43:X43" si="52">SUM(F39:F42)</f>
        <v>0</v>
      </c>
      <c r="G43" s="332">
        <f t="shared" si="52"/>
        <v>0</v>
      </c>
      <c r="H43" s="332">
        <f t="shared" si="52"/>
        <v>0</v>
      </c>
      <c r="I43" s="332">
        <f t="shared" si="52"/>
        <v>0</v>
      </c>
      <c r="J43" s="332">
        <f t="shared" si="52"/>
        <v>0</v>
      </c>
      <c r="K43" s="332">
        <f t="shared" si="52"/>
        <v>0</v>
      </c>
      <c r="L43" s="332">
        <f t="shared" si="52"/>
        <v>0</v>
      </c>
      <c r="M43" s="332">
        <f t="shared" si="52"/>
        <v>0</v>
      </c>
      <c r="N43" s="332">
        <f t="shared" si="52"/>
        <v>0</v>
      </c>
      <c r="O43" s="332">
        <f t="shared" si="52"/>
        <v>0</v>
      </c>
      <c r="P43" s="332">
        <f t="shared" si="52"/>
        <v>0</v>
      </c>
      <c r="Q43" s="332">
        <f t="shared" si="52"/>
        <v>0</v>
      </c>
      <c r="R43" s="332">
        <f t="shared" si="52"/>
        <v>0</v>
      </c>
      <c r="S43" s="332">
        <f t="shared" si="52"/>
        <v>0</v>
      </c>
      <c r="T43" s="332">
        <f t="shared" si="52"/>
        <v>0</v>
      </c>
      <c r="U43" s="332">
        <f t="shared" si="52"/>
        <v>0</v>
      </c>
      <c r="V43" s="332">
        <f t="shared" si="52"/>
        <v>0</v>
      </c>
      <c r="W43" s="332">
        <f t="shared" si="52"/>
        <v>0</v>
      </c>
      <c r="X43" s="332">
        <f t="shared" si="52"/>
        <v>0</v>
      </c>
      <c r="Y43" s="337">
        <f>SUM(Y38:Y42)</f>
        <v>0</v>
      </c>
      <c r="Z43" s="337">
        <f t="shared" ref="Z43:BU43" si="53">SUM(Z38:Z42)</f>
        <v>0</v>
      </c>
      <c r="AA43" s="337">
        <f t="shared" si="53"/>
        <v>0</v>
      </c>
      <c r="AB43" s="337">
        <f t="shared" si="53"/>
        <v>0</v>
      </c>
      <c r="AC43" s="337">
        <f t="shared" si="53"/>
        <v>0</v>
      </c>
      <c r="AD43" s="337">
        <f t="shared" si="53"/>
        <v>0</v>
      </c>
      <c r="AE43" s="337">
        <f t="shared" si="53"/>
        <v>0</v>
      </c>
      <c r="AF43" s="337">
        <f t="shared" si="53"/>
        <v>0</v>
      </c>
      <c r="AG43" s="337">
        <f t="shared" si="53"/>
        <v>0</v>
      </c>
      <c r="AH43" s="337">
        <f t="shared" si="53"/>
        <v>0</v>
      </c>
      <c r="AI43" s="337">
        <f t="shared" si="53"/>
        <v>0</v>
      </c>
      <c r="AJ43" s="337">
        <f t="shared" si="53"/>
        <v>0</v>
      </c>
      <c r="AK43" s="337">
        <f t="shared" si="53"/>
        <v>0</v>
      </c>
      <c r="AL43" s="337">
        <f t="shared" si="53"/>
        <v>0</v>
      </c>
      <c r="AM43" s="337">
        <f t="shared" si="53"/>
        <v>0</v>
      </c>
      <c r="AN43" s="337">
        <f t="shared" si="53"/>
        <v>0</v>
      </c>
      <c r="AO43" s="337">
        <f t="shared" si="53"/>
        <v>0</v>
      </c>
      <c r="AP43" s="337">
        <f t="shared" si="53"/>
        <v>0</v>
      </c>
      <c r="AQ43" s="337">
        <f t="shared" si="53"/>
        <v>0</v>
      </c>
      <c r="AR43" s="337">
        <f t="shared" si="53"/>
        <v>0</v>
      </c>
      <c r="AS43" s="337">
        <f t="shared" si="53"/>
        <v>0</v>
      </c>
      <c r="AT43" s="337">
        <f t="shared" si="53"/>
        <v>0</v>
      </c>
      <c r="AU43" s="337">
        <f t="shared" si="53"/>
        <v>0</v>
      </c>
      <c r="AV43" s="337">
        <f t="shared" si="53"/>
        <v>0</v>
      </c>
      <c r="AW43" s="337">
        <f t="shared" si="53"/>
        <v>0</v>
      </c>
      <c r="AX43" s="337">
        <f t="shared" si="53"/>
        <v>0</v>
      </c>
      <c r="AY43" s="337">
        <f t="shared" si="53"/>
        <v>0</v>
      </c>
      <c r="AZ43" s="337">
        <f t="shared" si="53"/>
        <v>0</v>
      </c>
      <c r="BA43" s="337">
        <v>1</v>
      </c>
      <c r="BB43" s="337">
        <f t="shared" si="53"/>
        <v>0</v>
      </c>
      <c r="BC43" s="337">
        <f t="shared" si="53"/>
        <v>0</v>
      </c>
      <c r="BD43" s="337">
        <f t="shared" si="53"/>
        <v>0</v>
      </c>
      <c r="BE43" s="337">
        <f t="shared" si="53"/>
        <v>0</v>
      </c>
      <c r="BF43" s="337">
        <f t="shared" si="53"/>
        <v>0</v>
      </c>
      <c r="BG43" s="337">
        <f t="shared" si="53"/>
        <v>0</v>
      </c>
      <c r="BH43" s="337">
        <f t="shared" si="53"/>
        <v>0</v>
      </c>
      <c r="BI43" s="337">
        <f t="shared" si="53"/>
        <v>0</v>
      </c>
      <c r="BJ43" s="337">
        <f t="shared" si="53"/>
        <v>0</v>
      </c>
      <c r="BK43" s="337">
        <f t="shared" si="53"/>
        <v>0</v>
      </c>
      <c r="BL43" s="337">
        <f t="shared" si="53"/>
        <v>0</v>
      </c>
      <c r="BM43" s="337">
        <f t="shared" si="53"/>
        <v>0</v>
      </c>
      <c r="BN43" s="337">
        <f t="shared" si="53"/>
        <v>0</v>
      </c>
      <c r="BO43" s="337">
        <f t="shared" si="53"/>
        <v>0</v>
      </c>
      <c r="BP43" s="337">
        <f t="shared" si="53"/>
        <v>0</v>
      </c>
      <c r="BQ43" s="337">
        <f t="shared" si="53"/>
        <v>0</v>
      </c>
      <c r="BR43" s="337">
        <f t="shared" si="53"/>
        <v>0</v>
      </c>
      <c r="BS43" s="337">
        <f t="shared" si="53"/>
        <v>0</v>
      </c>
      <c r="BT43" s="337">
        <f t="shared" si="53"/>
        <v>0</v>
      </c>
      <c r="BU43" s="337">
        <f t="shared" si="53"/>
        <v>0</v>
      </c>
    </row>
    <row r="44" spans="1:73" x14ac:dyDescent="0.25">
      <c r="A44" s="327"/>
      <c r="B44" s="335" t="s">
        <v>1249</v>
      </c>
      <c r="C44" s="336"/>
      <c r="D44" s="336"/>
      <c r="E44" s="322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52"/>
      <c r="R44" s="352"/>
      <c r="S44" s="352"/>
      <c r="T44" s="352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  <c r="AL44" s="313"/>
      <c r="AM44" s="313"/>
      <c r="AN44" s="313"/>
      <c r="AO44" s="313"/>
      <c r="AP44" s="313"/>
      <c r="AQ44" s="313"/>
      <c r="AR44" s="313"/>
      <c r="AS44" s="313"/>
      <c r="AT44" s="313"/>
      <c r="AU44" s="313"/>
      <c r="AV44" s="313"/>
      <c r="AW44" s="313"/>
      <c r="AX44" s="313"/>
      <c r="AY44" s="313"/>
      <c r="AZ44" s="313"/>
      <c r="BA44" s="313"/>
      <c r="BB44" s="313"/>
      <c r="BC44" s="313"/>
      <c r="BD44" s="313"/>
      <c r="BE44" s="313"/>
      <c r="BF44" s="313"/>
      <c r="BG44" s="313"/>
      <c r="BH44" s="313"/>
      <c r="BI44" s="338"/>
      <c r="BJ44" s="339"/>
      <c r="BK44" s="336"/>
      <c r="BM44" s="340"/>
      <c r="BN44" s="340">
        <f>F44</f>
        <v>0</v>
      </c>
      <c r="BO44" s="340"/>
      <c r="BP44" s="340"/>
      <c r="BQ44" s="340">
        <f t="shared" si="50"/>
        <v>0</v>
      </c>
      <c r="BR44" s="340"/>
      <c r="BS44" s="340"/>
      <c r="BT44" s="340"/>
      <c r="BU44" s="341">
        <f t="shared" si="2"/>
        <v>0</v>
      </c>
    </row>
    <row r="45" spans="1:73" s="317" customFormat="1" x14ac:dyDescent="0.25">
      <c r="A45" s="327" t="s">
        <v>715</v>
      </c>
      <c r="B45" s="342" t="s">
        <v>442</v>
      </c>
      <c r="C45" s="336" t="s">
        <v>16</v>
      </c>
      <c r="D45" s="343" t="s">
        <v>343</v>
      </c>
      <c r="E45" s="332">
        <f t="shared" ref="E45:F52" si="54">BI45</f>
        <v>0</v>
      </c>
      <c r="F45" s="325">
        <f t="shared" ref="F45:F51" si="55">E45*D45</f>
        <v>0</v>
      </c>
      <c r="G45" s="313">
        <f t="shared" ref="G45:G52" si="56">F45*0.2</f>
        <v>0</v>
      </c>
      <c r="H45" s="313">
        <f t="shared" ref="H45:H52" si="57">F45*0.8</f>
        <v>0</v>
      </c>
      <c r="I45" s="325"/>
      <c r="J45" s="325"/>
      <c r="K45" s="325"/>
      <c r="L45" s="325"/>
      <c r="M45" s="325"/>
      <c r="N45" s="325"/>
      <c r="O45" s="325"/>
      <c r="P45" s="325"/>
      <c r="Q45" s="347">
        <f t="shared" ref="Q45:Q52" si="58">E45*0.25</f>
        <v>0</v>
      </c>
      <c r="R45" s="347">
        <f t="shared" ref="R45:R52" si="59">E45*0.25</f>
        <v>0</v>
      </c>
      <c r="S45" s="347">
        <f t="shared" ref="S45:S52" si="60">E45*0.25</f>
        <v>0</v>
      </c>
      <c r="T45" s="347">
        <f t="shared" ref="T45:T52" si="61">E45*0.25</f>
        <v>0</v>
      </c>
      <c r="U45" s="325">
        <f t="shared" ref="U45:U51" si="62">Q45*D45</f>
        <v>0</v>
      </c>
      <c r="V45" s="325">
        <f t="shared" ref="V45:V51" si="63">R45*D45</f>
        <v>0</v>
      </c>
      <c r="W45" s="325">
        <f t="shared" ref="W45:W51" si="64">S45*D45</f>
        <v>0</v>
      </c>
      <c r="X45" s="325">
        <f t="shared" ref="X45:X51" si="65">T45*D45</f>
        <v>0</v>
      </c>
      <c r="Y45" s="313">
        <v>0</v>
      </c>
      <c r="Z45" s="313">
        <f t="shared" ref="Z45:Z52" si="66">Y45*D45</f>
        <v>0</v>
      </c>
      <c r="AA45" s="313">
        <v>0</v>
      </c>
      <c r="AB45" s="313">
        <f t="shared" ref="AB45:AB52" si="67">AA45*D45</f>
        <v>0</v>
      </c>
      <c r="AC45" s="313">
        <v>0</v>
      </c>
      <c r="AD45" s="313">
        <f t="shared" ref="AD45:AD52" si="68">AC45*D45</f>
        <v>0</v>
      </c>
      <c r="AE45" s="313">
        <v>0</v>
      </c>
      <c r="AF45" s="313">
        <f t="shared" ref="AF45:AF52" si="69">AE45*D45</f>
        <v>0</v>
      </c>
      <c r="AG45" s="313">
        <v>0</v>
      </c>
      <c r="AH45" s="313">
        <f t="shared" ref="AH45:AH52" si="70">AG45*D45</f>
        <v>0</v>
      </c>
      <c r="AI45" s="313">
        <v>0</v>
      </c>
      <c r="AJ45" s="313">
        <f t="shared" ref="AJ45:AJ52" si="71">D45*AI45</f>
        <v>0</v>
      </c>
      <c r="AK45" s="313">
        <v>0</v>
      </c>
      <c r="AL45" s="313">
        <f t="shared" ref="AL45:AL50" si="72">D45*AK45</f>
        <v>0</v>
      </c>
      <c r="AM45" s="313">
        <v>0</v>
      </c>
      <c r="AN45" s="313">
        <f t="shared" ref="AN45:AN52" si="73">D45*AM45</f>
        <v>0</v>
      </c>
      <c r="AO45" s="313">
        <v>0</v>
      </c>
      <c r="AP45" s="313">
        <f t="shared" ref="AP45:AP52" si="74">AO45*D45</f>
        <v>0</v>
      </c>
      <c r="AQ45" s="313">
        <v>0</v>
      </c>
      <c r="AR45" s="313">
        <f t="shared" ref="AR45:AR52" si="75">AQ45*D45</f>
        <v>0</v>
      </c>
      <c r="AS45" s="313">
        <v>0</v>
      </c>
      <c r="AT45" s="313">
        <f t="shared" ref="AT45:AT52" si="76">AS45*D45</f>
        <v>0</v>
      </c>
      <c r="AU45" s="313">
        <v>0</v>
      </c>
      <c r="AV45" s="313">
        <f>AU45*D45</f>
        <v>0</v>
      </c>
      <c r="AW45" s="313">
        <v>0</v>
      </c>
      <c r="AX45" s="313">
        <f>AW45*D45</f>
        <v>0</v>
      </c>
      <c r="AY45" s="313">
        <v>0</v>
      </c>
      <c r="AZ45" s="313">
        <f t="shared" ref="AZ45:AZ52" si="77">AY45*D45</f>
        <v>0</v>
      </c>
      <c r="BA45" s="313">
        <v>0</v>
      </c>
      <c r="BB45" s="313">
        <f t="shared" ref="BB45:BB52" si="78">D45*BA45</f>
        <v>0</v>
      </c>
      <c r="BC45" s="313">
        <v>0</v>
      </c>
      <c r="BD45" s="313">
        <f t="shared" ref="BD45:BD52" si="79">BC45*D45</f>
        <v>0</v>
      </c>
      <c r="BE45" s="313">
        <v>0</v>
      </c>
      <c r="BF45" s="313">
        <f t="shared" ref="BF45:BF52" si="80">BE45*D45</f>
        <v>0</v>
      </c>
      <c r="BG45" s="313">
        <v>0</v>
      </c>
      <c r="BH45" s="313">
        <f t="shared" ref="BH45:BH52" si="81">BG45*D45</f>
        <v>0</v>
      </c>
      <c r="BI45" s="338">
        <f t="shared" ref="BI45:BI47" si="82">BG45+BE45+BC45+BA45+AY45+AW45+AU45+AS45+AQ45+AO45+AM45+AK45+AI45+AG45+AE45+AC45+AA45+Y45</f>
        <v>0</v>
      </c>
      <c r="BJ45" s="338">
        <f t="shared" ref="BJ45:BJ47" si="83">BH45+BF45+BD45+BB45+AZ45+AX45+AV45+AT45+AR45+AP45+AN45+AL45+AJ45+AH45+AF45+AD45+AB45+Z45</f>
        <v>0</v>
      </c>
      <c r="BK45" s="336" t="s">
        <v>209</v>
      </c>
      <c r="BM45" s="325"/>
      <c r="BN45" s="340">
        <f t="shared" ref="BN45:BN52" si="84">BJ45</f>
        <v>0</v>
      </c>
      <c r="BO45" s="340"/>
      <c r="BP45" s="340"/>
      <c r="BQ45" s="340">
        <f t="shared" ref="BQ45:BQ52" si="85">BM45+BN45+BO45+BP45</f>
        <v>0</v>
      </c>
      <c r="BR45" s="340"/>
      <c r="BS45" s="340"/>
      <c r="BT45" s="340"/>
      <c r="BU45" s="341">
        <f t="shared" ref="BU45:BU52" si="86">BQ45+BT45</f>
        <v>0</v>
      </c>
    </row>
    <row r="46" spans="1:73" x14ac:dyDescent="0.25">
      <c r="A46" s="327" t="s">
        <v>716</v>
      </c>
      <c r="B46" s="342" t="s">
        <v>495</v>
      </c>
      <c r="C46" s="336" t="s">
        <v>496</v>
      </c>
      <c r="D46" s="343">
        <v>0</v>
      </c>
      <c r="E46" s="322">
        <f t="shared" si="54"/>
        <v>0</v>
      </c>
      <c r="F46" s="313">
        <f t="shared" si="55"/>
        <v>0</v>
      </c>
      <c r="G46" s="313">
        <f t="shared" si="56"/>
        <v>0</v>
      </c>
      <c r="H46" s="313">
        <f t="shared" si="57"/>
        <v>0</v>
      </c>
      <c r="I46" s="313"/>
      <c r="J46" s="313"/>
      <c r="K46" s="313"/>
      <c r="L46" s="313"/>
      <c r="M46" s="313"/>
      <c r="N46" s="313"/>
      <c r="O46" s="313"/>
      <c r="P46" s="313"/>
      <c r="Q46" s="352">
        <f t="shared" si="58"/>
        <v>0</v>
      </c>
      <c r="R46" s="352">
        <f t="shared" si="59"/>
        <v>0</v>
      </c>
      <c r="S46" s="352">
        <f t="shared" si="60"/>
        <v>0</v>
      </c>
      <c r="T46" s="352">
        <f t="shared" si="61"/>
        <v>0</v>
      </c>
      <c r="U46" s="338">
        <f t="shared" si="62"/>
        <v>0</v>
      </c>
      <c r="V46" s="338">
        <f t="shared" si="63"/>
        <v>0</v>
      </c>
      <c r="W46" s="338">
        <f t="shared" si="64"/>
        <v>0</v>
      </c>
      <c r="X46" s="338">
        <f t="shared" si="65"/>
        <v>0</v>
      </c>
      <c r="Y46" s="313">
        <v>0</v>
      </c>
      <c r="Z46" s="313">
        <f t="shared" si="66"/>
        <v>0</v>
      </c>
      <c r="AA46" s="313">
        <v>0</v>
      </c>
      <c r="AB46" s="313">
        <f t="shared" si="67"/>
        <v>0</v>
      </c>
      <c r="AC46" s="313">
        <v>0</v>
      </c>
      <c r="AD46" s="313">
        <f t="shared" si="68"/>
        <v>0</v>
      </c>
      <c r="AE46" s="313">
        <v>0</v>
      </c>
      <c r="AF46" s="313">
        <f t="shared" si="69"/>
        <v>0</v>
      </c>
      <c r="AG46" s="313">
        <v>0</v>
      </c>
      <c r="AH46" s="313">
        <f t="shared" si="70"/>
        <v>0</v>
      </c>
      <c r="AI46" s="313">
        <v>0</v>
      </c>
      <c r="AJ46" s="313">
        <f t="shared" si="71"/>
        <v>0</v>
      </c>
      <c r="AK46" s="313">
        <v>0</v>
      </c>
      <c r="AL46" s="313">
        <f t="shared" si="72"/>
        <v>0</v>
      </c>
      <c r="AM46" s="313">
        <v>0</v>
      </c>
      <c r="AN46" s="313">
        <f t="shared" si="73"/>
        <v>0</v>
      </c>
      <c r="AO46" s="313">
        <v>0</v>
      </c>
      <c r="AP46" s="313">
        <f t="shared" si="74"/>
        <v>0</v>
      </c>
      <c r="AQ46" s="313">
        <v>0</v>
      </c>
      <c r="AR46" s="313">
        <f t="shared" si="75"/>
        <v>0</v>
      </c>
      <c r="AS46" s="313">
        <v>0</v>
      </c>
      <c r="AT46" s="313">
        <f t="shared" si="76"/>
        <v>0</v>
      </c>
      <c r="AU46" s="313">
        <v>0</v>
      </c>
      <c r="AV46" s="313">
        <f t="shared" ref="AV46:AV52" si="87">AU46*D46</f>
        <v>0</v>
      </c>
      <c r="AW46" s="313">
        <v>0</v>
      </c>
      <c r="AX46" s="313">
        <f t="shared" ref="AX46:AX52" si="88">AW46*D46</f>
        <v>0</v>
      </c>
      <c r="AY46" s="313">
        <v>0</v>
      </c>
      <c r="AZ46" s="313">
        <f t="shared" si="77"/>
        <v>0</v>
      </c>
      <c r="BA46" s="313">
        <v>0</v>
      </c>
      <c r="BB46" s="313">
        <f t="shared" si="78"/>
        <v>0</v>
      </c>
      <c r="BC46" s="313">
        <v>0</v>
      </c>
      <c r="BD46" s="313">
        <f t="shared" si="79"/>
        <v>0</v>
      </c>
      <c r="BE46" s="313">
        <v>0</v>
      </c>
      <c r="BF46" s="313">
        <f t="shared" si="80"/>
        <v>0</v>
      </c>
      <c r="BG46" s="313">
        <v>0</v>
      </c>
      <c r="BH46" s="313">
        <f t="shared" si="81"/>
        <v>0</v>
      </c>
      <c r="BI46" s="338">
        <f t="shared" si="82"/>
        <v>0</v>
      </c>
      <c r="BJ46" s="338">
        <f t="shared" si="83"/>
        <v>0</v>
      </c>
      <c r="BK46" s="336" t="s">
        <v>209</v>
      </c>
      <c r="BM46" s="340"/>
      <c r="BN46" s="340">
        <f t="shared" si="84"/>
        <v>0</v>
      </c>
      <c r="BO46" s="340"/>
      <c r="BP46" s="340"/>
      <c r="BQ46" s="340">
        <f t="shared" si="85"/>
        <v>0</v>
      </c>
      <c r="BR46" s="340"/>
      <c r="BS46" s="340"/>
      <c r="BT46" s="340"/>
      <c r="BU46" s="341">
        <f t="shared" si="86"/>
        <v>0</v>
      </c>
    </row>
    <row r="47" spans="1:73" ht="31.5" x14ac:dyDescent="0.25">
      <c r="A47" s="327" t="s">
        <v>717</v>
      </c>
      <c r="B47" s="344" t="s">
        <v>1234</v>
      </c>
      <c r="C47" s="336"/>
      <c r="D47" s="343">
        <v>150</v>
      </c>
      <c r="E47" s="322">
        <f t="shared" si="54"/>
        <v>4950</v>
      </c>
      <c r="F47" s="313">
        <f t="shared" si="55"/>
        <v>742500</v>
      </c>
      <c r="G47" s="313">
        <f>F47*0.2</f>
        <v>148500</v>
      </c>
      <c r="H47" s="313">
        <f>F47*0.8</f>
        <v>594000</v>
      </c>
      <c r="I47" s="313"/>
      <c r="J47" s="313"/>
      <c r="K47" s="313"/>
      <c r="L47" s="313"/>
      <c r="M47" s="313"/>
      <c r="N47" s="313"/>
      <c r="O47" s="313"/>
      <c r="P47" s="313"/>
      <c r="Q47" s="352">
        <f>E47*0.4</f>
        <v>1980</v>
      </c>
      <c r="R47" s="352">
        <f>E47*0.3</f>
        <v>1485</v>
      </c>
      <c r="S47" s="352">
        <f>E47*0.2</f>
        <v>990</v>
      </c>
      <c r="T47" s="352">
        <f>E47*0.1</f>
        <v>495</v>
      </c>
      <c r="U47" s="313">
        <f t="shared" si="62"/>
        <v>297000</v>
      </c>
      <c r="V47" s="313">
        <f t="shared" si="63"/>
        <v>222750</v>
      </c>
      <c r="W47" s="313">
        <f t="shared" si="64"/>
        <v>148500</v>
      </c>
      <c r="X47" s="313">
        <f t="shared" si="65"/>
        <v>74250</v>
      </c>
      <c r="Y47" s="313">
        <v>300</v>
      </c>
      <c r="Z47" s="313">
        <f t="shared" si="66"/>
        <v>45000</v>
      </c>
      <c r="AA47" s="313">
        <v>200</v>
      </c>
      <c r="AB47" s="313">
        <f t="shared" si="67"/>
        <v>30000</v>
      </c>
      <c r="AC47" s="313">
        <v>300</v>
      </c>
      <c r="AD47" s="313">
        <f t="shared" si="68"/>
        <v>45000</v>
      </c>
      <c r="AE47" s="313">
        <v>400</v>
      </c>
      <c r="AF47" s="313">
        <f t="shared" si="69"/>
        <v>60000</v>
      </c>
      <c r="AG47" s="313">
        <v>150</v>
      </c>
      <c r="AH47" s="313">
        <f t="shared" si="70"/>
        <v>22500</v>
      </c>
      <c r="AI47" s="313">
        <v>300</v>
      </c>
      <c r="AJ47" s="313">
        <f t="shared" si="71"/>
        <v>45000</v>
      </c>
      <c r="AK47" s="313">
        <v>320</v>
      </c>
      <c r="AL47" s="313">
        <f t="shared" si="72"/>
        <v>48000</v>
      </c>
      <c r="AM47" s="313">
        <v>340</v>
      </c>
      <c r="AN47" s="313">
        <f t="shared" si="73"/>
        <v>51000</v>
      </c>
      <c r="AO47" s="313">
        <v>100</v>
      </c>
      <c r="AP47" s="313">
        <f t="shared" si="74"/>
        <v>15000</v>
      </c>
      <c r="AQ47" s="313">
        <v>350</v>
      </c>
      <c r="AR47" s="313">
        <f t="shared" si="75"/>
        <v>52500</v>
      </c>
      <c r="AS47" s="313">
        <v>300</v>
      </c>
      <c r="AT47" s="313">
        <f t="shared" si="76"/>
        <v>45000</v>
      </c>
      <c r="AU47" s="313">
        <v>300</v>
      </c>
      <c r="AV47" s="313">
        <f t="shared" si="87"/>
        <v>45000</v>
      </c>
      <c r="AW47" s="313">
        <v>300</v>
      </c>
      <c r="AX47" s="313">
        <f t="shared" si="88"/>
        <v>45000</v>
      </c>
      <c r="AY47" s="313">
        <v>350</v>
      </c>
      <c r="AZ47" s="313">
        <f t="shared" si="77"/>
        <v>52500</v>
      </c>
      <c r="BA47" s="313">
        <v>300</v>
      </c>
      <c r="BB47" s="313">
        <f t="shared" si="78"/>
        <v>45000</v>
      </c>
      <c r="BC47" s="313">
        <v>340</v>
      </c>
      <c r="BD47" s="313">
        <f t="shared" si="79"/>
        <v>51000</v>
      </c>
      <c r="BE47" s="313">
        <v>300</v>
      </c>
      <c r="BF47" s="313">
        <f t="shared" si="80"/>
        <v>45000</v>
      </c>
      <c r="BG47" s="313">
        <v>0</v>
      </c>
      <c r="BH47" s="313">
        <f t="shared" si="81"/>
        <v>0</v>
      </c>
      <c r="BI47" s="338">
        <f t="shared" si="82"/>
        <v>4950</v>
      </c>
      <c r="BJ47" s="338">
        <f t="shared" si="83"/>
        <v>742500</v>
      </c>
      <c r="BK47" s="336"/>
      <c r="BM47" s="340">
        <v>0</v>
      </c>
      <c r="BN47" s="340">
        <f t="shared" si="84"/>
        <v>742500</v>
      </c>
      <c r="BO47" s="340"/>
      <c r="BP47" s="340"/>
      <c r="BQ47" s="340">
        <f t="shared" si="85"/>
        <v>742500</v>
      </c>
      <c r="BR47" s="340"/>
      <c r="BS47" s="340"/>
      <c r="BT47" s="340"/>
      <c r="BU47" s="341">
        <f t="shared" si="86"/>
        <v>742500</v>
      </c>
    </row>
    <row r="48" spans="1:73" x14ac:dyDescent="0.25">
      <c r="A48" s="327" t="s">
        <v>718</v>
      </c>
      <c r="B48" s="344" t="s">
        <v>1235</v>
      </c>
      <c r="C48" s="336" t="s">
        <v>16</v>
      </c>
      <c r="D48" s="343">
        <v>5000</v>
      </c>
      <c r="E48" s="322">
        <f t="shared" si="54"/>
        <v>89</v>
      </c>
      <c r="F48" s="313">
        <f t="shared" si="55"/>
        <v>445000</v>
      </c>
      <c r="G48" s="313">
        <f>F48*0.2</f>
        <v>89000</v>
      </c>
      <c r="H48" s="313">
        <f>F48*0.8</f>
        <v>356000</v>
      </c>
      <c r="I48" s="313"/>
      <c r="J48" s="313"/>
      <c r="K48" s="313"/>
      <c r="L48" s="313"/>
      <c r="M48" s="313"/>
      <c r="N48" s="313"/>
      <c r="O48" s="313"/>
      <c r="P48" s="313"/>
      <c r="Q48" s="352"/>
      <c r="R48" s="352"/>
      <c r="S48" s="352"/>
      <c r="T48" s="352"/>
      <c r="U48" s="338">
        <f>F48*0.25</f>
        <v>111250</v>
      </c>
      <c r="V48" s="338">
        <f>F48*0.25</f>
        <v>111250</v>
      </c>
      <c r="W48" s="338">
        <f>F48*0.25</f>
        <v>111250</v>
      </c>
      <c r="X48" s="338">
        <f>F48*0.25</f>
        <v>111250</v>
      </c>
      <c r="Y48" s="313">
        <v>5</v>
      </c>
      <c r="Z48" s="313">
        <f t="shared" si="66"/>
        <v>25000</v>
      </c>
      <c r="AA48" s="313">
        <v>5</v>
      </c>
      <c r="AB48" s="313">
        <f t="shared" si="67"/>
        <v>25000</v>
      </c>
      <c r="AC48" s="313">
        <v>5</v>
      </c>
      <c r="AD48" s="313">
        <f t="shared" si="68"/>
        <v>25000</v>
      </c>
      <c r="AE48" s="313">
        <v>6</v>
      </c>
      <c r="AF48" s="313">
        <f t="shared" si="69"/>
        <v>30000</v>
      </c>
      <c r="AG48" s="313">
        <v>5</v>
      </c>
      <c r="AH48" s="313">
        <f t="shared" si="70"/>
        <v>25000</v>
      </c>
      <c r="AI48" s="313">
        <v>5</v>
      </c>
      <c r="AJ48" s="313">
        <f t="shared" si="71"/>
        <v>25000</v>
      </c>
      <c r="AK48" s="313">
        <v>5</v>
      </c>
      <c r="AL48" s="313">
        <f t="shared" si="72"/>
        <v>25000</v>
      </c>
      <c r="AM48" s="313">
        <v>5</v>
      </c>
      <c r="AN48" s="313">
        <f t="shared" si="73"/>
        <v>25000</v>
      </c>
      <c r="AO48" s="313">
        <v>5</v>
      </c>
      <c r="AP48" s="313">
        <f t="shared" si="74"/>
        <v>25000</v>
      </c>
      <c r="AQ48" s="313">
        <v>5</v>
      </c>
      <c r="AR48" s="313">
        <f t="shared" si="75"/>
        <v>25000</v>
      </c>
      <c r="AS48" s="313">
        <v>5</v>
      </c>
      <c r="AT48" s="313">
        <f t="shared" si="76"/>
        <v>25000</v>
      </c>
      <c r="AU48" s="313">
        <v>5</v>
      </c>
      <c r="AV48" s="313">
        <f t="shared" si="87"/>
        <v>25000</v>
      </c>
      <c r="AW48" s="313">
        <v>5</v>
      </c>
      <c r="AX48" s="313">
        <f t="shared" si="88"/>
        <v>25000</v>
      </c>
      <c r="AY48" s="313">
        <v>5</v>
      </c>
      <c r="AZ48" s="313">
        <f t="shared" si="77"/>
        <v>25000</v>
      </c>
      <c r="BA48" s="313">
        <v>5</v>
      </c>
      <c r="BB48" s="313">
        <f t="shared" si="78"/>
        <v>25000</v>
      </c>
      <c r="BC48" s="313">
        <v>8</v>
      </c>
      <c r="BD48" s="313">
        <f t="shared" si="79"/>
        <v>40000</v>
      </c>
      <c r="BE48" s="313">
        <v>5</v>
      </c>
      <c r="BF48" s="313">
        <f t="shared" si="80"/>
        <v>25000</v>
      </c>
      <c r="BG48" s="313"/>
      <c r="BH48" s="313"/>
      <c r="BI48" s="338">
        <f t="shared" ref="BI48:BI53" si="89">BG48+BE48+BC48+BA48+AY48+AW48+AU48+AS48+AQ48+AO48+AM48+AK48+AI48+AG48+AE48+AC48+AA48+Y48</f>
        <v>89</v>
      </c>
      <c r="BJ48" s="338">
        <f t="shared" ref="BJ48:BJ55" si="90">BH48+BF48+BD48+BB48+AZ48+AX48+AV48+AT48+AR48+AP48+AN48+AL48+AJ48+AH48+AF48+AD48+AB48+Z48</f>
        <v>445000</v>
      </c>
      <c r="BK48" s="336"/>
      <c r="BM48" s="340"/>
      <c r="BN48" s="340">
        <f t="shared" si="84"/>
        <v>445000</v>
      </c>
      <c r="BO48" s="340"/>
      <c r="BP48" s="340"/>
      <c r="BQ48" s="340">
        <f t="shared" si="85"/>
        <v>445000</v>
      </c>
      <c r="BR48" s="340"/>
      <c r="BS48" s="340"/>
      <c r="BT48" s="340"/>
      <c r="BU48" s="341">
        <f t="shared" si="86"/>
        <v>445000</v>
      </c>
    </row>
    <row r="49" spans="1:73" x14ac:dyDescent="0.25">
      <c r="A49" s="327" t="s">
        <v>719</v>
      </c>
      <c r="B49" s="342" t="s">
        <v>444</v>
      </c>
      <c r="C49" s="336" t="s">
        <v>496</v>
      </c>
      <c r="D49" s="343">
        <v>150</v>
      </c>
      <c r="E49" s="322">
        <f t="shared" si="54"/>
        <v>0</v>
      </c>
      <c r="F49" s="313">
        <f t="shared" si="55"/>
        <v>0</v>
      </c>
      <c r="G49" s="313">
        <f t="shared" si="56"/>
        <v>0</v>
      </c>
      <c r="H49" s="313">
        <f t="shared" si="57"/>
        <v>0</v>
      </c>
      <c r="I49" s="313"/>
      <c r="J49" s="313"/>
      <c r="K49" s="313"/>
      <c r="L49" s="313"/>
      <c r="M49" s="313"/>
      <c r="N49" s="313"/>
      <c r="O49" s="313"/>
      <c r="P49" s="313"/>
      <c r="Q49" s="352">
        <f t="shared" si="58"/>
        <v>0</v>
      </c>
      <c r="R49" s="352">
        <f t="shared" si="59"/>
        <v>0</v>
      </c>
      <c r="S49" s="355">
        <f t="shared" si="60"/>
        <v>0</v>
      </c>
      <c r="T49" s="355">
        <f t="shared" si="61"/>
        <v>0</v>
      </c>
      <c r="U49" s="313">
        <f t="shared" si="62"/>
        <v>0</v>
      </c>
      <c r="V49" s="313">
        <f t="shared" si="63"/>
        <v>0</v>
      </c>
      <c r="W49" s="313">
        <f t="shared" si="64"/>
        <v>0</v>
      </c>
      <c r="X49" s="313">
        <f t="shared" si="65"/>
        <v>0</v>
      </c>
      <c r="Y49" s="313">
        <v>0</v>
      </c>
      <c r="Z49" s="313">
        <f t="shared" si="66"/>
        <v>0</v>
      </c>
      <c r="AA49" s="313">
        <v>0</v>
      </c>
      <c r="AB49" s="313">
        <f t="shared" si="67"/>
        <v>0</v>
      </c>
      <c r="AC49" s="313">
        <v>0</v>
      </c>
      <c r="AD49" s="313">
        <f t="shared" si="68"/>
        <v>0</v>
      </c>
      <c r="AE49" s="313">
        <v>0</v>
      </c>
      <c r="AF49" s="313">
        <f t="shared" si="69"/>
        <v>0</v>
      </c>
      <c r="AG49" s="313">
        <v>0</v>
      </c>
      <c r="AH49" s="313">
        <f t="shared" si="70"/>
        <v>0</v>
      </c>
      <c r="AI49" s="313">
        <v>0</v>
      </c>
      <c r="AJ49" s="313">
        <f t="shared" si="71"/>
        <v>0</v>
      </c>
      <c r="AK49" s="313">
        <v>0</v>
      </c>
      <c r="AL49" s="313">
        <f t="shared" si="72"/>
        <v>0</v>
      </c>
      <c r="AM49" s="313">
        <v>0</v>
      </c>
      <c r="AN49" s="313">
        <f t="shared" si="73"/>
        <v>0</v>
      </c>
      <c r="AO49" s="313">
        <v>0</v>
      </c>
      <c r="AP49" s="313">
        <f t="shared" si="74"/>
        <v>0</v>
      </c>
      <c r="AQ49" s="313">
        <v>0</v>
      </c>
      <c r="AR49" s="313">
        <f t="shared" si="75"/>
        <v>0</v>
      </c>
      <c r="AS49" s="313">
        <v>0</v>
      </c>
      <c r="AT49" s="313">
        <f t="shared" si="76"/>
        <v>0</v>
      </c>
      <c r="AU49" s="313">
        <v>0</v>
      </c>
      <c r="AV49" s="313">
        <f t="shared" si="87"/>
        <v>0</v>
      </c>
      <c r="AW49" s="313">
        <v>0</v>
      </c>
      <c r="AX49" s="313">
        <f t="shared" si="88"/>
        <v>0</v>
      </c>
      <c r="AY49" s="313">
        <v>0</v>
      </c>
      <c r="AZ49" s="313">
        <f t="shared" si="77"/>
        <v>0</v>
      </c>
      <c r="BA49" s="313">
        <v>0</v>
      </c>
      <c r="BB49" s="313">
        <f t="shared" si="78"/>
        <v>0</v>
      </c>
      <c r="BC49" s="313">
        <v>0</v>
      </c>
      <c r="BD49" s="313">
        <f t="shared" si="79"/>
        <v>0</v>
      </c>
      <c r="BE49" s="313">
        <v>0</v>
      </c>
      <c r="BF49" s="313">
        <f t="shared" si="80"/>
        <v>0</v>
      </c>
      <c r="BG49" s="313">
        <v>0</v>
      </c>
      <c r="BH49" s="313">
        <f t="shared" si="81"/>
        <v>0</v>
      </c>
      <c r="BI49" s="338">
        <f t="shared" si="89"/>
        <v>0</v>
      </c>
      <c r="BJ49" s="338">
        <f t="shared" si="90"/>
        <v>0</v>
      </c>
      <c r="BK49" s="336" t="s">
        <v>209</v>
      </c>
      <c r="BM49" s="340">
        <v>0</v>
      </c>
      <c r="BN49" s="340">
        <f t="shared" si="84"/>
        <v>0</v>
      </c>
      <c r="BO49" s="340"/>
      <c r="BP49" s="340"/>
      <c r="BQ49" s="340">
        <f t="shared" si="85"/>
        <v>0</v>
      </c>
      <c r="BR49" s="340"/>
      <c r="BS49" s="340"/>
      <c r="BT49" s="340"/>
      <c r="BU49" s="341">
        <f t="shared" si="86"/>
        <v>0</v>
      </c>
    </row>
    <row r="50" spans="1:73" ht="26.25" customHeight="1" x14ac:dyDescent="0.25">
      <c r="A50" s="327" t="s">
        <v>720</v>
      </c>
      <c r="B50" s="342" t="s">
        <v>445</v>
      </c>
      <c r="C50" s="336" t="s">
        <v>16</v>
      </c>
      <c r="D50" s="343">
        <v>0</v>
      </c>
      <c r="E50" s="322">
        <f t="shared" si="54"/>
        <v>0</v>
      </c>
      <c r="F50" s="313">
        <f t="shared" si="55"/>
        <v>0</v>
      </c>
      <c r="G50" s="313">
        <f t="shared" si="56"/>
        <v>0</v>
      </c>
      <c r="H50" s="313">
        <f t="shared" si="57"/>
        <v>0</v>
      </c>
      <c r="I50" s="313"/>
      <c r="J50" s="313"/>
      <c r="K50" s="313"/>
      <c r="L50" s="313"/>
      <c r="M50" s="313"/>
      <c r="N50" s="313"/>
      <c r="O50" s="313"/>
      <c r="P50" s="313"/>
      <c r="Q50" s="352">
        <f t="shared" si="58"/>
        <v>0</v>
      </c>
      <c r="R50" s="352">
        <f t="shared" si="59"/>
        <v>0</v>
      </c>
      <c r="S50" s="355">
        <f t="shared" si="60"/>
        <v>0</v>
      </c>
      <c r="T50" s="355">
        <f t="shared" si="61"/>
        <v>0</v>
      </c>
      <c r="U50" s="313">
        <f t="shared" si="62"/>
        <v>0</v>
      </c>
      <c r="V50" s="313">
        <f t="shared" si="63"/>
        <v>0</v>
      </c>
      <c r="W50" s="313">
        <f t="shared" si="64"/>
        <v>0</v>
      </c>
      <c r="X50" s="313">
        <f t="shared" si="65"/>
        <v>0</v>
      </c>
      <c r="Y50" s="313">
        <v>0</v>
      </c>
      <c r="Z50" s="313">
        <f t="shared" si="66"/>
        <v>0</v>
      </c>
      <c r="AA50" s="313">
        <v>0</v>
      </c>
      <c r="AB50" s="313">
        <f t="shared" si="67"/>
        <v>0</v>
      </c>
      <c r="AC50" s="313">
        <v>0</v>
      </c>
      <c r="AD50" s="313">
        <f t="shared" si="68"/>
        <v>0</v>
      </c>
      <c r="AE50" s="313">
        <v>0</v>
      </c>
      <c r="AF50" s="313">
        <f t="shared" si="69"/>
        <v>0</v>
      </c>
      <c r="AG50" s="313">
        <v>0</v>
      </c>
      <c r="AH50" s="313">
        <f t="shared" si="70"/>
        <v>0</v>
      </c>
      <c r="AI50" s="313">
        <v>0</v>
      </c>
      <c r="AJ50" s="313">
        <f t="shared" si="71"/>
        <v>0</v>
      </c>
      <c r="AK50" s="313">
        <v>0</v>
      </c>
      <c r="AL50" s="313">
        <f t="shared" si="72"/>
        <v>0</v>
      </c>
      <c r="AM50" s="313">
        <v>0</v>
      </c>
      <c r="AN50" s="313">
        <f t="shared" si="73"/>
        <v>0</v>
      </c>
      <c r="AO50" s="313">
        <v>0</v>
      </c>
      <c r="AP50" s="313">
        <f t="shared" si="74"/>
        <v>0</v>
      </c>
      <c r="AQ50" s="313">
        <v>0</v>
      </c>
      <c r="AR50" s="313">
        <f t="shared" si="75"/>
        <v>0</v>
      </c>
      <c r="AS50" s="313">
        <v>0</v>
      </c>
      <c r="AT50" s="313">
        <f t="shared" si="76"/>
        <v>0</v>
      </c>
      <c r="AU50" s="313">
        <v>0</v>
      </c>
      <c r="AV50" s="313">
        <f t="shared" si="87"/>
        <v>0</v>
      </c>
      <c r="AW50" s="313">
        <v>0</v>
      </c>
      <c r="AX50" s="313">
        <f t="shared" si="88"/>
        <v>0</v>
      </c>
      <c r="AY50" s="313">
        <v>0</v>
      </c>
      <c r="AZ50" s="313">
        <f t="shared" si="77"/>
        <v>0</v>
      </c>
      <c r="BA50" s="313">
        <v>0</v>
      </c>
      <c r="BB50" s="313">
        <f t="shared" si="78"/>
        <v>0</v>
      </c>
      <c r="BC50" s="313">
        <v>0</v>
      </c>
      <c r="BD50" s="313">
        <f t="shared" si="79"/>
        <v>0</v>
      </c>
      <c r="BE50" s="313">
        <v>0</v>
      </c>
      <c r="BF50" s="313">
        <f t="shared" si="80"/>
        <v>0</v>
      </c>
      <c r="BG50" s="313">
        <v>0</v>
      </c>
      <c r="BH50" s="313">
        <f t="shared" si="81"/>
        <v>0</v>
      </c>
      <c r="BI50" s="338">
        <f t="shared" si="89"/>
        <v>0</v>
      </c>
      <c r="BJ50" s="338">
        <f t="shared" si="90"/>
        <v>0</v>
      </c>
      <c r="BK50" s="336" t="s">
        <v>209</v>
      </c>
      <c r="BM50" s="340">
        <v>0</v>
      </c>
      <c r="BN50" s="340">
        <f t="shared" si="84"/>
        <v>0</v>
      </c>
      <c r="BO50" s="340"/>
      <c r="BP50" s="340"/>
      <c r="BQ50" s="340">
        <f t="shared" si="85"/>
        <v>0</v>
      </c>
      <c r="BR50" s="340"/>
      <c r="BS50" s="340"/>
      <c r="BT50" s="340"/>
      <c r="BU50" s="341">
        <f t="shared" si="86"/>
        <v>0</v>
      </c>
    </row>
    <row r="51" spans="1:73" x14ac:dyDescent="0.25">
      <c r="A51" s="327" t="s">
        <v>721</v>
      </c>
      <c r="B51" s="344" t="s">
        <v>1236</v>
      </c>
      <c r="C51" s="336" t="s">
        <v>496</v>
      </c>
      <c r="D51" s="343">
        <v>1000</v>
      </c>
      <c r="E51" s="322">
        <f t="shared" si="54"/>
        <v>1840</v>
      </c>
      <c r="F51" s="313">
        <f t="shared" si="55"/>
        <v>1840000</v>
      </c>
      <c r="G51" s="313">
        <f t="shared" si="56"/>
        <v>368000</v>
      </c>
      <c r="H51" s="313">
        <f t="shared" si="57"/>
        <v>1472000</v>
      </c>
      <c r="I51" s="313"/>
      <c r="J51" s="313"/>
      <c r="K51" s="313"/>
      <c r="L51" s="313"/>
      <c r="M51" s="313"/>
      <c r="N51" s="313"/>
      <c r="O51" s="313"/>
      <c r="P51" s="313"/>
      <c r="Q51" s="355">
        <f>E51*0.3</f>
        <v>552</v>
      </c>
      <c r="R51" s="355">
        <f>E51*0.4</f>
        <v>736</v>
      </c>
      <c r="S51" s="355">
        <f>E51*0.2</f>
        <v>368</v>
      </c>
      <c r="T51" s="355">
        <f>E51*0.1</f>
        <v>184</v>
      </c>
      <c r="U51" s="313">
        <f t="shared" si="62"/>
        <v>552000</v>
      </c>
      <c r="V51" s="313">
        <f t="shared" si="63"/>
        <v>736000</v>
      </c>
      <c r="W51" s="313">
        <f t="shared" si="64"/>
        <v>368000</v>
      </c>
      <c r="X51" s="313">
        <f t="shared" si="65"/>
        <v>184000</v>
      </c>
      <c r="Y51" s="313">
        <f>10*4*2</f>
        <v>80</v>
      </c>
      <c r="Z51" s="313">
        <f t="shared" si="66"/>
        <v>80000</v>
      </c>
      <c r="AA51" s="313">
        <f>10*3*2</f>
        <v>60</v>
      </c>
      <c r="AB51" s="313">
        <f>AA51*D51</f>
        <v>60000</v>
      </c>
      <c r="AC51" s="313">
        <f>10*5*2</f>
        <v>100</v>
      </c>
      <c r="AD51" s="313">
        <f t="shared" si="68"/>
        <v>100000</v>
      </c>
      <c r="AE51" s="313">
        <f>10*5*2</f>
        <v>100</v>
      </c>
      <c r="AF51" s="313">
        <f t="shared" si="69"/>
        <v>100000</v>
      </c>
      <c r="AG51" s="313">
        <f>10*2*2</f>
        <v>40</v>
      </c>
      <c r="AH51" s="313">
        <f t="shared" si="70"/>
        <v>40000</v>
      </c>
      <c r="AI51" s="313">
        <f>10*5*2</f>
        <v>100</v>
      </c>
      <c r="AJ51" s="313">
        <f>D51*AI51</f>
        <v>100000</v>
      </c>
      <c r="AK51" s="313">
        <f>10*5*2</f>
        <v>100</v>
      </c>
      <c r="AL51" s="313">
        <f>D51*AK51</f>
        <v>100000</v>
      </c>
      <c r="AM51" s="313">
        <f>10*8*2</f>
        <v>160</v>
      </c>
      <c r="AN51" s="313">
        <f>D51*AM51</f>
        <v>160000</v>
      </c>
      <c r="AO51" s="313">
        <f>10*2*2</f>
        <v>40</v>
      </c>
      <c r="AP51" s="313">
        <f t="shared" si="74"/>
        <v>40000</v>
      </c>
      <c r="AQ51" s="313">
        <f>10*3*2</f>
        <v>60</v>
      </c>
      <c r="AR51" s="313">
        <f t="shared" si="75"/>
        <v>60000</v>
      </c>
      <c r="AS51" s="313">
        <f>10*6*2</f>
        <v>120</v>
      </c>
      <c r="AT51" s="313">
        <f t="shared" si="76"/>
        <v>120000</v>
      </c>
      <c r="AU51" s="313">
        <f>10*5*2</f>
        <v>100</v>
      </c>
      <c r="AV51" s="313">
        <f>AU51*D51</f>
        <v>100000</v>
      </c>
      <c r="AW51" s="313">
        <f>10*9*2</f>
        <v>180</v>
      </c>
      <c r="AX51" s="313">
        <f>AW51*D51</f>
        <v>180000</v>
      </c>
      <c r="AY51" s="313">
        <f>10*9*2</f>
        <v>180</v>
      </c>
      <c r="AZ51" s="313">
        <f t="shared" si="77"/>
        <v>180000</v>
      </c>
      <c r="BA51" s="313">
        <f>10*3*2</f>
        <v>60</v>
      </c>
      <c r="BB51" s="313">
        <f>D51*BA51</f>
        <v>60000</v>
      </c>
      <c r="BC51" s="313">
        <f>10*12*2</f>
        <v>240</v>
      </c>
      <c r="BD51" s="313">
        <f t="shared" si="79"/>
        <v>240000</v>
      </c>
      <c r="BE51" s="313">
        <f>10*6*2</f>
        <v>120</v>
      </c>
      <c r="BF51" s="313">
        <f t="shared" si="80"/>
        <v>120000</v>
      </c>
      <c r="BG51" s="313">
        <v>0</v>
      </c>
      <c r="BH51" s="313">
        <f t="shared" si="81"/>
        <v>0</v>
      </c>
      <c r="BI51" s="338">
        <f t="shared" si="89"/>
        <v>1840</v>
      </c>
      <c r="BJ51" s="338">
        <f t="shared" si="90"/>
        <v>1840000</v>
      </c>
      <c r="BK51" s="336" t="s">
        <v>209</v>
      </c>
      <c r="BM51" s="340">
        <v>0</v>
      </c>
      <c r="BN51" s="340">
        <f t="shared" si="84"/>
        <v>1840000</v>
      </c>
      <c r="BO51" s="340"/>
      <c r="BP51" s="340"/>
      <c r="BQ51" s="340">
        <f t="shared" si="85"/>
        <v>1840000</v>
      </c>
      <c r="BR51" s="340"/>
      <c r="BS51" s="340"/>
      <c r="BT51" s="340"/>
      <c r="BU51" s="341">
        <f t="shared" si="86"/>
        <v>1840000</v>
      </c>
    </row>
    <row r="52" spans="1:73" s="5" customFormat="1" ht="31.5" x14ac:dyDescent="0.25">
      <c r="A52" s="43" t="s">
        <v>722</v>
      </c>
      <c r="B52" s="707" t="s">
        <v>607</v>
      </c>
      <c r="C52" s="708" t="s">
        <v>496</v>
      </c>
      <c r="D52" s="709">
        <v>0</v>
      </c>
      <c r="E52" s="186">
        <f t="shared" si="54"/>
        <v>0</v>
      </c>
      <c r="F52" s="186">
        <f t="shared" si="54"/>
        <v>0</v>
      </c>
      <c r="G52" s="710">
        <f t="shared" si="56"/>
        <v>0</v>
      </c>
      <c r="H52" s="710">
        <f t="shared" si="57"/>
        <v>0</v>
      </c>
      <c r="I52" s="711"/>
      <c r="J52" s="711"/>
      <c r="K52" s="711"/>
      <c r="L52" s="711"/>
      <c r="M52" s="711"/>
      <c r="N52" s="711"/>
      <c r="O52" s="711"/>
      <c r="P52" s="711"/>
      <c r="Q52" s="265">
        <f t="shared" si="58"/>
        <v>0</v>
      </c>
      <c r="R52" s="265">
        <f t="shared" si="59"/>
        <v>0</v>
      </c>
      <c r="S52" s="265">
        <f t="shared" si="60"/>
        <v>0</v>
      </c>
      <c r="T52" s="265">
        <f t="shared" si="61"/>
        <v>0</v>
      </c>
      <c r="U52" s="711">
        <f>F52*0.25</f>
        <v>0</v>
      </c>
      <c r="V52" s="711">
        <f>F52*0.25</f>
        <v>0</v>
      </c>
      <c r="W52" s="711">
        <f>F52*0.25</f>
        <v>0</v>
      </c>
      <c r="X52" s="711">
        <f>F52*0.25</f>
        <v>0</v>
      </c>
      <c r="Y52" s="710">
        <v>0</v>
      </c>
      <c r="Z52" s="710">
        <f t="shared" si="66"/>
        <v>0</v>
      </c>
      <c r="AA52" s="710">
        <v>0</v>
      </c>
      <c r="AB52" s="710">
        <f t="shared" si="67"/>
        <v>0</v>
      </c>
      <c r="AC52" s="710">
        <v>0</v>
      </c>
      <c r="AD52" s="710">
        <f t="shared" si="68"/>
        <v>0</v>
      </c>
      <c r="AE52" s="710">
        <v>0</v>
      </c>
      <c r="AF52" s="710">
        <f t="shared" si="69"/>
        <v>0</v>
      </c>
      <c r="AG52" s="710">
        <v>0</v>
      </c>
      <c r="AH52" s="710">
        <f t="shared" si="70"/>
        <v>0</v>
      </c>
      <c r="AI52" s="710">
        <v>0</v>
      </c>
      <c r="AJ52" s="710">
        <f t="shared" si="71"/>
        <v>0</v>
      </c>
      <c r="AK52" s="710">
        <v>0</v>
      </c>
      <c r="AL52" s="710">
        <v>0</v>
      </c>
      <c r="AM52" s="710">
        <v>0</v>
      </c>
      <c r="AN52" s="710">
        <f t="shared" si="73"/>
        <v>0</v>
      </c>
      <c r="AO52" s="710">
        <v>0</v>
      </c>
      <c r="AP52" s="710">
        <f t="shared" si="74"/>
        <v>0</v>
      </c>
      <c r="AQ52" s="710">
        <v>0</v>
      </c>
      <c r="AR52" s="710">
        <f t="shared" si="75"/>
        <v>0</v>
      </c>
      <c r="AS52" s="710">
        <v>0</v>
      </c>
      <c r="AT52" s="710">
        <f t="shared" si="76"/>
        <v>0</v>
      </c>
      <c r="AU52" s="710">
        <v>0</v>
      </c>
      <c r="AV52" s="710">
        <f t="shared" si="87"/>
        <v>0</v>
      </c>
      <c r="AW52" s="710">
        <v>0</v>
      </c>
      <c r="AX52" s="710">
        <f t="shared" si="88"/>
        <v>0</v>
      </c>
      <c r="AY52" s="710">
        <v>0</v>
      </c>
      <c r="AZ52" s="710">
        <f t="shared" si="77"/>
        <v>0</v>
      </c>
      <c r="BA52" s="710">
        <v>0</v>
      </c>
      <c r="BB52" s="710">
        <f t="shared" si="78"/>
        <v>0</v>
      </c>
      <c r="BC52" s="710">
        <v>0</v>
      </c>
      <c r="BD52" s="710">
        <f t="shared" si="79"/>
        <v>0</v>
      </c>
      <c r="BE52" s="710">
        <v>0</v>
      </c>
      <c r="BF52" s="710">
        <f t="shared" si="80"/>
        <v>0</v>
      </c>
      <c r="BG52" s="710">
        <v>0</v>
      </c>
      <c r="BH52" s="710">
        <f t="shared" si="81"/>
        <v>0</v>
      </c>
      <c r="BI52" s="265">
        <f t="shared" si="89"/>
        <v>0</v>
      </c>
      <c r="BJ52" s="265">
        <f t="shared" si="90"/>
        <v>0</v>
      </c>
      <c r="BK52" s="708" t="s">
        <v>209</v>
      </c>
      <c r="BM52" s="711">
        <f>SUM(BM47:BM51)</f>
        <v>0</v>
      </c>
      <c r="BN52" s="712">
        <f t="shared" si="84"/>
        <v>0</v>
      </c>
      <c r="BO52" s="712"/>
      <c r="BP52" s="712"/>
      <c r="BQ52" s="712">
        <f t="shared" si="85"/>
        <v>0</v>
      </c>
      <c r="BR52" s="712"/>
      <c r="BS52" s="712"/>
      <c r="BT52" s="712"/>
      <c r="BU52" s="713">
        <f t="shared" si="86"/>
        <v>0</v>
      </c>
    </row>
    <row r="53" spans="1:73" x14ac:dyDescent="0.25">
      <c r="A53" s="327"/>
      <c r="B53" s="335" t="s">
        <v>446</v>
      </c>
      <c r="C53" s="336" t="s">
        <v>111</v>
      </c>
      <c r="D53" s="343" t="s">
        <v>111</v>
      </c>
      <c r="E53" s="322">
        <f t="shared" ref="E53:AJ53" si="91">SUM(E45:E52)</f>
        <v>6879</v>
      </c>
      <c r="F53" s="322">
        <f t="shared" si="91"/>
        <v>3027500</v>
      </c>
      <c r="G53" s="322">
        <f t="shared" si="91"/>
        <v>605500</v>
      </c>
      <c r="H53" s="322">
        <f t="shared" si="91"/>
        <v>2422000</v>
      </c>
      <c r="I53" s="322">
        <f t="shared" si="91"/>
        <v>0</v>
      </c>
      <c r="J53" s="322">
        <f t="shared" si="91"/>
        <v>0</v>
      </c>
      <c r="K53" s="322">
        <f t="shared" si="91"/>
        <v>0</v>
      </c>
      <c r="L53" s="322">
        <f t="shared" si="91"/>
        <v>0</v>
      </c>
      <c r="M53" s="322">
        <f t="shared" si="91"/>
        <v>0</v>
      </c>
      <c r="N53" s="322">
        <f t="shared" si="91"/>
        <v>0</v>
      </c>
      <c r="O53" s="322">
        <f t="shared" si="91"/>
        <v>0</v>
      </c>
      <c r="P53" s="322">
        <f t="shared" si="91"/>
        <v>0</v>
      </c>
      <c r="Q53" s="322">
        <f t="shared" si="91"/>
        <v>2532</v>
      </c>
      <c r="R53" s="322">
        <f t="shared" si="91"/>
        <v>2221</v>
      </c>
      <c r="S53" s="322">
        <f t="shared" si="91"/>
        <v>1358</v>
      </c>
      <c r="T53" s="322">
        <f t="shared" si="91"/>
        <v>679</v>
      </c>
      <c r="U53" s="322">
        <f t="shared" si="91"/>
        <v>960250</v>
      </c>
      <c r="V53" s="322">
        <f t="shared" si="91"/>
        <v>1070000</v>
      </c>
      <c r="W53" s="322">
        <f t="shared" si="91"/>
        <v>627750</v>
      </c>
      <c r="X53" s="322">
        <f t="shared" si="91"/>
        <v>369500</v>
      </c>
      <c r="Y53" s="313">
        <f t="shared" si="91"/>
        <v>385</v>
      </c>
      <c r="Z53" s="313">
        <f t="shared" si="91"/>
        <v>150000</v>
      </c>
      <c r="AA53" s="313">
        <f t="shared" si="91"/>
        <v>265</v>
      </c>
      <c r="AB53" s="313">
        <f t="shared" si="91"/>
        <v>115000</v>
      </c>
      <c r="AC53" s="313">
        <f t="shared" si="91"/>
        <v>405</v>
      </c>
      <c r="AD53" s="313">
        <f t="shared" si="91"/>
        <v>170000</v>
      </c>
      <c r="AE53" s="313">
        <f t="shared" si="91"/>
        <v>506</v>
      </c>
      <c r="AF53" s="313">
        <f t="shared" si="91"/>
        <v>190000</v>
      </c>
      <c r="AG53" s="313">
        <f t="shared" si="91"/>
        <v>195</v>
      </c>
      <c r="AH53" s="313">
        <f t="shared" si="91"/>
        <v>87500</v>
      </c>
      <c r="AI53" s="313">
        <f t="shared" si="91"/>
        <v>405</v>
      </c>
      <c r="AJ53" s="313">
        <f t="shared" si="91"/>
        <v>170000</v>
      </c>
      <c r="AK53" s="313">
        <f t="shared" ref="AK53:BH53" si="92">SUM(AK45:AK52)</f>
        <v>425</v>
      </c>
      <c r="AL53" s="313">
        <f t="shared" si="92"/>
        <v>173000</v>
      </c>
      <c r="AM53" s="313">
        <f t="shared" si="92"/>
        <v>505</v>
      </c>
      <c r="AN53" s="313">
        <f t="shared" si="92"/>
        <v>236000</v>
      </c>
      <c r="AO53" s="313">
        <f t="shared" si="92"/>
        <v>145</v>
      </c>
      <c r="AP53" s="313">
        <f t="shared" si="92"/>
        <v>80000</v>
      </c>
      <c r="AQ53" s="313">
        <f t="shared" si="92"/>
        <v>415</v>
      </c>
      <c r="AR53" s="313">
        <f t="shared" si="92"/>
        <v>137500</v>
      </c>
      <c r="AS53" s="313">
        <f t="shared" si="92"/>
        <v>425</v>
      </c>
      <c r="AT53" s="313">
        <f t="shared" si="92"/>
        <v>190000</v>
      </c>
      <c r="AU53" s="313">
        <f t="shared" si="92"/>
        <v>405</v>
      </c>
      <c r="AV53" s="313">
        <f t="shared" si="92"/>
        <v>170000</v>
      </c>
      <c r="AW53" s="313">
        <f t="shared" si="92"/>
        <v>485</v>
      </c>
      <c r="AX53" s="313">
        <f t="shared" si="92"/>
        <v>250000</v>
      </c>
      <c r="AY53" s="313">
        <f t="shared" si="92"/>
        <v>535</v>
      </c>
      <c r="AZ53" s="313">
        <f t="shared" si="92"/>
        <v>257500</v>
      </c>
      <c r="BA53" s="313">
        <f t="shared" si="92"/>
        <v>365</v>
      </c>
      <c r="BB53" s="313">
        <f t="shared" si="92"/>
        <v>130000</v>
      </c>
      <c r="BC53" s="313">
        <f t="shared" si="92"/>
        <v>588</v>
      </c>
      <c r="BD53" s="313">
        <f t="shared" si="92"/>
        <v>331000</v>
      </c>
      <c r="BE53" s="313">
        <f t="shared" si="92"/>
        <v>425</v>
      </c>
      <c r="BF53" s="313">
        <f t="shared" si="92"/>
        <v>190000</v>
      </c>
      <c r="BG53" s="313">
        <f t="shared" si="92"/>
        <v>0</v>
      </c>
      <c r="BH53" s="313">
        <f t="shared" si="92"/>
        <v>0</v>
      </c>
      <c r="BI53" s="338">
        <f t="shared" si="89"/>
        <v>6879</v>
      </c>
      <c r="BJ53" s="338">
        <f t="shared" si="90"/>
        <v>3027500</v>
      </c>
      <c r="BK53" s="313">
        <f t="shared" ref="BK53:BU53" si="93">SUM(BK45:BK52)</f>
        <v>0</v>
      </c>
      <c r="BL53" s="313">
        <f t="shared" si="93"/>
        <v>0</v>
      </c>
      <c r="BM53" s="313">
        <f t="shared" si="93"/>
        <v>0</v>
      </c>
      <c r="BN53" s="313">
        <f t="shared" si="93"/>
        <v>3027500</v>
      </c>
      <c r="BO53" s="313">
        <f t="shared" si="93"/>
        <v>0</v>
      </c>
      <c r="BP53" s="313">
        <f t="shared" si="93"/>
        <v>0</v>
      </c>
      <c r="BQ53" s="313">
        <f t="shared" si="93"/>
        <v>3027500</v>
      </c>
      <c r="BR53" s="313">
        <f t="shared" si="93"/>
        <v>0</v>
      </c>
      <c r="BS53" s="313">
        <f t="shared" si="93"/>
        <v>0</v>
      </c>
      <c r="BT53" s="313">
        <f t="shared" si="93"/>
        <v>0</v>
      </c>
      <c r="BU53" s="313">
        <f t="shared" si="93"/>
        <v>3027500</v>
      </c>
    </row>
    <row r="54" spans="1:73" x14ac:dyDescent="0.25">
      <c r="A54" s="327"/>
      <c r="B54" s="335" t="s">
        <v>634</v>
      </c>
      <c r="C54" s="336"/>
      <c r="D54" s="336"/>
      <c r="E54" s="322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52"/>
      <c r="R54" s="352"/>
      <c r="S54" s="352"/>
      <c r="T54" s="352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313"/>
      <c r="AN54" s="313"/>
      <c r="AO54" s="313"/>
      <c r="AP54" s="313"/>
      <c r="AQ54" s="313"/>
      <c r="AR54" s="313"/>
      <c r="AS54" s="313"/>
      <c r="AT54" s="313"/>
      <c r="AU54" s="313"/>
      <c r="AV54" s="313"/>
      <c r="AW54" s="313"/>
      <c r="AX54" s="313"/>
      <c r="AY54" s="313"/>
      <c r="AZ54" s="313"/>
      <c r="BA54" s="313"/>
      <c r="BB54" s="313"/>
      <c r="BC54" s="313"/>
      <c r="BD54" s="313"/>
      <c r="BE54" s="313"/>
      <c r="BF54" s="313"/>
      <c r="BG54" s="313"/>
      <c r="BH54" s="313"/>
      <c r="BI54" s="338"/>
      <c r="BJ54" s="339"/>
      <c r="BK54" s="336"/>
      <c r="BM54" s="340">
        <v>0</v>
      </c>
      <c r="BN54" s="340">
        <f>F54</f>
        <v>0</v>
      </c>
      <c r="BO54" s="340">
        <v>0</v>
      </c>
      <c r="BP54" s="340">
        <v>0</v>
      </c>
      <c r="BQ54" s="340">
        <f>BM54+BN54+BO54+BP54</f>
        <v>0</v>
      </c>
      <c r="BR54" s="340">
        <v>0</v>
      </c>
      <c r="BS54" s="340">
        <v>0</v>
      </c>
      <c r="BT54" s="340">
        <f>BR54+BS54</f>
        <v>0</v>
      </c>
      <c r="BU54" s="341">
        <f t="shared" si="2"/>
        <v>0</v>
      </c>
    </row>
    <row r="55" spans="1:73" x14ac:dyDescent="0.25">
      <c r="A55" s="327" t="s">
        <v>723</v>
      </c>
      <c r="B55" s="342" t="s">
        <v>447</v>
      </c>
      <c r="C55" s="336" t="s">
        <v>16</v>
      </c>
      <c r="D55" s="343">
        <v>0</v>
      </c>
      <c r="E55" s="332">
        <f>BI55</f>
        <v>0</v>
      </c>
      <c r="F55" s="332">
        <f>BJ55</f>
        <v>0</v>
      </c>
      <c r="G55" s="313">
        <f>F55*0</f>
        <v>0</v>
      </c>
      <c r="H55" s="313">
        <f>F55*1</f>
        <v>0</v>
      </c>
      <c r="I55" s="313"/>
      <c r="J55" s="313"/>
      <c r="K55" s="313"/>
      <c r="L55" s="313"/>
      <c r="M55" s="313"/>
      <c r="N55" s="313"/>
      <c r="O55" s="313"/>
      <c r="P55" s="313"/>
      <c r="Q55" s="352">
        <v>0</v>
      </c>
      <c r="R55" s="352"/>
      <c r="S55" s="352">
        <v>0.75</v>
      </c>
      <c r="T55" s="352">
        <v>0.25</v>
      </c>
      <c r="U55" s="313">
        <f>Q55*F55</f>
        <v>0</v>
      </c>
      <c r="V55" s="313">
        <f>R55*D55</f>
        <v>0</v>
      </c>
      <c r="W55" s="313">
        <f>S55*F55</f>
        <v>0</v>
      </c>
      <c r="X55" s="313">
        <f>T55*F55</f>
        <v>0</v>
      </c>
      <c r="Y55" s="313">
        <v>0</v>
      </c>
      <c r="Z55" s="313">
        <f t="shared" ref="Z55" si="94">Y55*D55</f>
        <v>0</v>
      </c>
      <c r="AA55" s="313">
        <v>0</v>
      </c>
      <c r="AB55" s="313">
        <f t="shared" ref="AB55" si="95">AA55*D55</f>
        <v>0</v>
      </c>
      <c r="AC55" s="313">
        <v>0</v>
      </c>
      <c r="AD55" s="313">
        <f t="shared" ref="AD55" si="96">AC55*D55</f>
        <v>0</v>
      </c>
      <c r="AE55" s="313">
        <v>0</v>
      </c>
      <c r="AF55" s="313">
        <f t="shared" ref="AF55" si="97">AE55*D55</f>
        <v>0</v>
      </c>
      <c r="AG55" s="313">
        <v>0</v>
      </c>
      <c r="AH55" s="313">
        <f t="shared" ref="AH55" si="98">AG55*D55</f>
        <v>0</v>
      </c>
      <c r="AI55" s="313">
        <v>0</v>
      </c>
      <c r="AJ55" s="313">
        <f t="shared" ref="AJ55" si="99">D55*AI55</f>
        <v>0</v>
      </c>
      <c r="AK55" s="313">
        <v>0</v>
      </c>
      <c r="AL55" s="313">
        <f t="shared" ref="AL55" si="100">D55*AK55</f>
        <v>0</v>
      </c>
      <c r="AM55" s="313">
        <v>0</v>
      </c>
      <c r="AN55" s="313">
        <f t="shared" ref="AN55" si="101">D55*AM55</f>
        <v>0</v>
      </c>
      <c r="AO55" s="313">
        <v>0</v>
      </c>
      <c r="AP55" s="313">
        <f t="shared" ref="AP55" si="102">AO55*D55</f>
        <v>0</v>
      </c>
      <c r="AQ55" s="313">
        <v>0</v>
      </c>
      <c r="AR55" s="313">
        <f t="shared" ref="AR55" si="103">AQ55*D55</f>
        <v>0</v>
      </c>
      <c r="AS55" s="313">
        <v>0</v>
      </c>
      <c r="AT55" s="313">
        <f t="shared" ref="AT55" si="104">AS55*D55</f>
        <v>0</v>
      </c>
      <c r="AU55" s="313">
        <v>0</v>
      </c>
      <c r="AV55" s="313">
        <f t="shared" ref="AV55" si="105">AU55*D55</f>
        <v>0</v>
      </c>
      <c r="AW55" s="313">
        <v>0</v>
      </c>
      <c r="AX55" s="313">
        <f t="shared" ref="AX55" si="106">AW55*D55</f>
        <v>0</v>
      </c>
      <c r="AY55" s="313">
        <v>0</v>
      </c>
      <c r="AZ55" s="313">
        <f t="shared" ref="AZ55" si="107">AY55*D55</f>
        <v>0</v>
      </c>
      <c r="BA55" s="313">
        <v>0</v>
      </c>
      <c r="BB55" s="313">
        <f t="shared" ref="BB55" si="108">D55*BA55</f>
        <v>0</v>
      </c>
      <c r="BC55" s="313">
        <v>0</v>
      </c>
      <c r="BD55" s="313">
        <f>BC55*D55</f>
        <v>0</v>
      </c>
      <c r="BE55" s="313">
        <v>0</v>
      </c>
      <c r="BF55" s="313">
        <f t="shared" ref="BF55" si="109">BE55*D55</f>
        <v>0</v>
      </c>
      <c r="BG55" s="313">
        <v>0</v>
      </c>
      <c r="BH55" s="313">
        <f>BG55*D55</f>
        <v>0</v>
      </c>
      <c r="BI55" s="338">
        <f>BG55+BE55+BC55+BA55+AY55+AW55+AU55+AS55+AQ55+AO55+AM55+AK55+AI55+AG55+AE55+AC55+AA55+Y55</f>
        <v>0</v>
      </c>
      <c r="BJ55" s="338">
        <f t="shared" si="90"/>
        <v>0</v>
      </c>
      <c r="BK55" s="336" t="s">
        <v>210</v>
      </c>
      <c r="BM55" s="340">
        <v>0</v>
      </c>
      <c r="BN55" s="340"/>
      <c r="BO55" s="340"/>
      <c r="BP55" s="340">
        <f>F55</f>
        <v>0</v>
      </c>
      <c r="BQ55" s="340">
        <f>BM55+BN55+BO55+BP55</f>
        <v>0</v>
      </c>
      <c r="BR55" s="340"/>
      <c r="BS55" s="340"/>
      <c r="BT55" s="340"/>
      <c r="BU55" s="341">
        <f t="shared" si="2"/>
        <v>0</v>
      </c>
    </row>
    <row r="56" spans="1:73" x14ac:dyDescent="0.25">
      <c r="A56" s="327"/>
      <c r="B56" s="335" t="s">
        <v>960</v>
      </c>
      <c r="C56" s="336" t="s">
        <v>111</v>
      </c>
      <c r="D56" s="343" t="s">
        <v>111</v>
      </c>
      <c r="E56" s="322">
        <f>E55</f>
        <v>0</v>
      </c>
      <c r="F56" s="322">
        <f t="shared" ref="F56:X56" si="110">F55</f>
        <v>0</v>
      </c>
      <c r="G56" s="322">
        <f t="shared" si="110"/>
        <v>0</v>
      </c>
      <c r="H56" s="322">
        <f t="shared" si="110"/>
        <v>0</v>
      </c>
      <c r="I56" s="322">
        <f t="shared" si="110"/>
        <v>0</v>
      </c>
      <c r="J56" s="322">
        <f t="shared" si="110"/>
        <v>0</v>
      </c>
      <c r="K56" s="322">
        <f t="shared" si="110"/>
        <v>0</v>
      </c>
      <c r="L56" s="322">
        <f t="shared" si="110"/>
        <v>0</v>
      </c>
      <c r="M56" s="322">
        <f t="shared" si="110"/>
        <v>0</v>
      </c>
      <c r="N56" s="322">
        <f t="shared" si="110"/>
        <v>0</v>
      </c>
      <c r="O56" s="322">
        <f t="shared" si="110"/>
        <v>0</v>
      </c>
      <c r="P56" s="322">
        <f t="shared" si="110"/>
        <v>0</v>
      </c>
      <c r="Q56" s="322">
        <f t="shared" si="110"/>
        <v>0</v>
      </c>
      <c r="R56" s="322">
        <f t="shared" si="110"/>
        <v>0</v>
      </c>
      <c r="S56" s="322">
        <f t="shared" si="110"/>
        <v>0.75</v>
      </c>
      <c r="T56" s="322">
        <f t="shared" si="110"/>
        <v>0.25</v>
      </c>
      <c r="U56" s="322">
        <f t="shared" si="110"/>
        <v>0</v>
      </c>
      <c r="V56" s="322">
        <f t="shared" si="110"/>
        <v>0</v>
      </c>
      <c r="W56" s="322">
        <f t="shared" si="110"/>
        <v>0</v>
      </c>
      <c r="X56" s="322">
        <f t="shared" si="110"/>
        <v>0</v>
      </c>
      <c r="Y56" s="313">
        <v>0</v>
      </c>
      <c r="Z56" s="313">
        <f t="shared" ref="Z56:BU56" si="111">SUM(Z55)</f>
        <v>0</v>
      </c>
      <c r="AA56" s="313">
        <v>0</v>
      </c>
      <c r="AB56" s="313">
        <f t="shared" si="111"/>
        <v>0</v>
      </c>
      <c r="AC56" s="313">
        <v>0</v>
      </c>
      <c r="AD56" s="313">
        <f t="shared" si="111"/>
        <v>0</v>
      </c>
      <c r="AE56" s="313">
        <v>0</v>
      </c>
      <c r="AF56" s="313">
        <f t="shared" si="111"/>
        <v>0</v>
      </c>
      <c r="AG56" s="313">
        <f t="shared" si="111"/>
        <v>0</v>
      </c>
      <c r="AH56" s="313">
        <f t="shared" si="111"/>
        <v>0</v>
      </c>
      <c r="AI56" s="313">
        <v>0</v>
      </c>
      <c r="AJ56" s="313">
        <f t="shared" si="111"/>
        <v>0</v>
      </c>
      <c r="AK56" s="313">
        <v>0</v>
      </c>
      <c r="AL56" s="313">
        <f t="shared" si="111"/>
        <v>0</v>
      </c>
      <c r="AM56" s="313">
        <f t="shared" si="111"/>
        <v>0</v>
      </c>
      <c r="AN56" s="313">
        <f t="shared" si="111"/>
        <v>0</v>
      </c>
      <c r="AO56" s="313">
        <v>0</v>
      </c>
      <c r="AP56" s="313">
        <f t="shared" si="111"/>
        <v>0</v>
      </c>
      <c r="AQ56" s="313">
        <v>0</v>
      </c>
      <c r="AR56" s="313">
        <f t="shared" si="111"/>
        <v>0</v>
      </c>
      <c r="AS56" s="313">
        <f t="shared" si="111"/>
        <v>0</v>
      </c>
      <c r="AT56" s="313">
        <f t="shared" si="111"/>
        <v>0</v>
      </c>
      <c r="AU56" s="313">
        <v>0</v>
      </c>
      <c r="AV56" s="313">
        <f t="shared" si="111"/>
        <v>0</v>
      </c>
      <c r="AW56" s="313">
        <v>0</v>
      </c>
      <c r="AX56" s="313">
        <f t="shared" si="111"/>
        <v>0</v>
      </c>
      <c r="AY56" s="313">
        <v>0</v>
      </c>
      <c r="AZ56" s="313">
        <f t="shared" si="111"/>
        <v>0</v>
      </c>
      <c r="BA56" s="313">
        <v>0</v>
      </c>
      <c r="BB56" s="313">
        <f t="shared" si="111"/>
        <v>0</v>
      </c>
      <c r="BC56" s="313">
        <f t="shared" si="111"/>
        <v>0</v>
      </c>
      <c r="BD56" s="313">
        <f t="shared" si="111"/>
        <v>0</v>
      </c>
      <c r="BE56" s="313">
        <v>0</v>
      </c>
      <c r="BF56" s="313">
        <f t="shared" si="111"/>
        <v>0</v>
      </c>
      <c r="BG56" s="313">
        <f t="shared" si="111"/>
        <v>0</v>
      </c>
      <c r="BH56" s="313">
        <f t="shared" si="111"/>
        <v>0</v>
      </c>
      <c r="BI56" s="313">
        <f t="shared" si="111"/>
        <v>0</v>
      </c>
      <c r="BJ56" s="313">
        <f t="shared" si="111"/>
        <v>0</v>
      </c>
      <c r="BK56" s="313">
        <f t="shared" si="111"/>
        <v>0</v>
      </c>
      <c r="BL56" s="313">
        <f t="shared" si="111"/>
        <v>0</v>
      </c>
      <c r="BM56" s="313">
        <f t="shared" si="111"/>
        <v>0</v>
      </c>
      <c r="BN56" s="313">
        <f t="shared" si="111"/>
        <v>0</v>
      </c>
      <c r="BO56" s="313">
        <f t="shared" si="111"/>
        <v>0</v>
      </c>
      <c r="BP56" s="313">
        <f t="shared" si="111"/>
        <v>0</v>
      </c>
      <c r="BQ56" s="313">
        <f t="shared" si="111"/>
        <v>0</v>
      </c>
      <c r="BR56" s="313">
        <f t="shared" si="111"/>
        <v>0</v>
      </c>
      <c r="BS56" s="313">
        <f t="shared" si="111"/>
        <v>0</v>
      </c>
      <c r="BT56" s="313">
        <f t="shared" si="111"/>
        <v>0</v>
      </c>
      <c r="BU56" s="313">
        <f t="shared" si="111"/>
        <v>0</v>
      </c>
    </row>
    <row r="57" spans="1:73" x14ac:dyDescent="0.25">
      <c r="A57" s="327"/>
      <c r="B57" s="335" t="s">
        <v>448</v>
      </c>
      <c r="C57" s="336"/>
      <c r="D57" s="336"/>
      <c r="E57" s="322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52"/>
      <c r="R57" s="352"/>
      <c r="S57" s="352"/>
      <c r="T57" s="352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3"/>
      <c r="BA57" s="313"/>
      <c r="BB57" s="313"/>
      <c r="BC57" s="313"/>
      <c r="BD57" s="313"/>
      <c r="BE57" s="313"/>
      <c r="BF57" s="313"/>
      <c r="BG57" s="313"/>
      <c r="BH57" s="313"/>
      <c r="BI57" s="338"/>
      <c r="BJ57" s="339"/>
      <c r="BK57" s="336"/>
      <c r="BM57" s="340">
        <v>0</v>
      </c>
      <c r="BN57" s="340">
        <v>0</v>
      </c>
      <c r="BO57" s="340">
        <v>0</v>
      </c>
      <c r="BP57" s="340">
        <v>0</v>
      </c>
      <c r="BQ57" s="340">
        <f>BM57+BN57+BO57+BP57</f>
        <v>0</v>
      </c>
      <c r="BR57" s="340">
        <v>0</v>
      </c>
      <c r="BS57" s="340">
        <v>0</v>
      </c>
      <c r="BT57" s="340">
        <f>BR57+BS57</f>
        <v>0</v>
      </c>
      <c r="BU57" s="341">
        <f t="shared" si="2"/>
        <v>0</v>
      </c>
    </row>
    <row r="58" spans="1:73" x14ac:dyDescent="0.25">
      <c r="A58" s="327"/>
      <c r="B58" s="335" t="s">
        <v>449</v>
      </c>
      <c r="C58" s="336"/>
      <c r="D58" s="336"/>
      <c r="E58" s="322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52"/>
      <c r="R58" s="352"/>
      <c r="S58" s="352"/>
      <c r="T58" s="352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R58" s="313"/>
      <c r="AS58" s="313"/>
      <c r="AT58" s="313"/>
      <c r="AU58" s="313"/>
      <c r="AV58" s="313"/>
      <c r="AW58" s="313"/>
      <c r="AX58" s="313"/>
      <c r="AY58" s="313"/>
      <c r="AZ58" s="313"/>
      <c r="BA58" s="313"/>
      <c r="BB58" s="313"/>
      <c r="BC58" s="313"/>
      <c r="BD58" s="313"/>
      <c r="BE58" s="313"/>
      <c r="BF58" s="313"/>
      <c r="BG58" s="313"/>
      <c r="BH58" s="313"/>
      <c r="BI58" s="338"/>
      <c r="BJ58" s="339"/>
      <c r="BK58" s="336"/>
      <c r="BM58" s="340">
        <v>0</v>
      </c>
      <c r="BN58" s="340">
        <v>0</v>
      </c>
      <c r="BO58" s="340">
        <v>0</v>
      </c>
      <c r="BP58" s="340">
        <v>0</v>
      </c>
      <c r="BQ58" s="340">
        <f>BM58+BN58+BO58+BP58</f>
        <v>0</v>
      </c>
      <c r="BR58" s="340">
        <v>0</v>
      </c>
      <c r="BS58" s="340">
        <v>0</v>
      </c>
      <c r="BT58" s="340">
        <f>BR58+BS58</f>
        <v>0</v>
      </c>
      <c r="BU58" s="341">
        <f t="shared" si="2"/>
        <v>0</v>
      </c>
    </row>
    <row r="59" spans="1:73" x14ac:dyDescent="0.25">
      <c r="A59" s="327" t="s">
        <v>724</v>
      </c>
      <c r="B59" s="342" t="s">
        <v>450</v>
      </c>
      <c r="C59" s="336" t="s">
        <v>16</v>
      </c>
      <c r="D59" s="343" t="s">
        <v>459</v>
      </c>
      <c r="E59" s="322">
        <f>BI59</f>
        <v>0</v>
      </c>
      <c r="F59" s="322">
        <f>BJ59</f>
        <v>0</v>
      </c>
      <c r="G59" s="313">
        <f>F59*0.2</f>
        <v>0</v>
      </c>
      <c r="H59" s="313">
        <f>F59*0.8</f>
        <v>0</v>
      </c>
      <c r="I59" s="313"/>
      <c r="J59" s="313"/>
      <c r="K59" s="313"/>
      <c r="L59" s="313"/>
      <c r="M59" s="313"/>
      <c r="N59" s="313"/>
      <c r="O59" s="313"/>
      <c r="P59" s="313"/>
      <c r="Q59" s="352">
        <f>E59*0.25</f>
        <v>0</v>
      </c>
      <c r="R59" s="352">
        <f>E59*0.25</f>
        <v>0</v>
      </c>
      <c r="S59" s="352">
        <f>E59*0.25</f>
        <v>0</v>
      </c>
      <c r="T59" s="352">
        <f>E59*0.25</f>
        <v>0</v>
      </c>
      <c r="U59" s="313">
        <f>Q59*D59</f>
        <v>0</v>
      </c>
      <c r="V59" s="313">
        <f>R59*D59</f>
        <v>0</v>
      </c>
      <c r="W59" s="313">
        <f>S59*D59</f>
        <v>0</v>
      </c>
      <c r="X59" s="313">
        <f>T59*D59</f>
        <v>0</v>
      </c>
      <c r="Y59" s="313">
        <v>0</v>
      </c>
      <c r="Z59" s="313">
        <f>Y59*D59</f>
        <v>0</v>
      </c>
      <c r="AA59" s="313">
        <v>0</v>
      </c>
      <c r="AB59" s="313">
        <f>AA59*D59</f>
        <v>0</v>
      </c>
      <c r="AC59" s="313">
        <v>0</v>
      </c>
      <c r="AD59" s="313">
        <f>AC59*D59</f>
        <v>0</v>
      </c>
      <c r="AE59" s="313">
        <v>0</v>
      </c>
      <c r="AF59" s="313">
        <f>AE59*D59</f>
        <v>0</v>
      </c>
      <c r="AG59" s="313">
        <v>0</v>
      </c>
      <c r="AH59" s="313">
        <f>AG59*D59</f>
        <v>0</v>
      </c>
      <c r="AI59" s="313">
        <v>0</v>
      </c>
      <c r="AJ59" s="313">
        <f>D59*AI59</f>
        <v>0</v>
      </c>
      <c r="AK59" s="313">
        <v>0</v>
      </c>
      <c r="AL59" s="313">
        <f>D59*AK59</f>
        <v>0</v>
      </c>
      <c r="AM59" s="313">
        <v>0</v>
      </c>
      <c r="AN59" s="313">
        <f>D59*AM59</f>
        <v>0</v>
      </c>
      <c r="AO59" s="313">
        <v>0</v>
      </c>
      <c r="AP59" s="313">
        <f>AO59*D59</f>
        <v>0</v>
      </c>
      <c r="AQ59" s="313">
        <v>0</v>
      </c>
      <c r="AR59" s="313">
        <f t="shared" ref="AR59:AR61" si="112">AQ59*D59</f>
        <v>0</v>
      </c>
      <c r="AS59" s="313">
        <v>0</v>
      </c>
      <c r="AT59" s="313">
        <f>AS59*D59</f>
        <v>0</v>
      </c>
      <c r="AU59" s="313">
        <v>0</v>
      </c>
      <c r="AV59" s="313">
        <f>AU59*D59</f>
        <v>0</v>
      </c>
      <c r="AW59" s="313">
        <v>0</v>
      </c>
      <c r="AX59" s="313">
        <f>AW59*D59</f>
        <v>0</v>
      </c>
      <c r="AY59" s="313">
        <v>0</v>
      </c>
      <c r="AZ59" s="313">
        <f>AY59*D59</f>
        <v>0</v>
      </c>
      <c r="BA59" s="313">
        <v>0</v>
      </c>
      <c r="BB59" s="313">
        <f>D59*BA59</f>
        <v>0</v>
      </c>
      <c r="BC59" s="313">
        <v>0</v>
      </c>
      <c r="BD59" s="313">
        <f>BC59*D59</f>
        <v>0</v>
      </c>
      <c r="BE59" s="313">
        <v>0</v>
      </c>
      <c r="BF59" s="313">
        <f>BE59*D59</f>
        <v>0</v>
      </c>
      <c r="BG59" s="313"/>
      <c r="BH59" s="313">
        <f>BG59*D59</f>
        <v>0</v>
      </c>
      <c r="BI59" s="338">
        <f t="shared" ref="BI59:BJ61" si="113">BG59+BE59+BC59+BA59+AY59+AW59+AU59+AS59+AQ59+AO59+AM59+AK59+AI59+AG59+AE59+AC59+AA59+Y59</f>
        <v>0</v>
      </c>
      <c r="BJ59" s="338">
        <f t="shared" si="113"/>
        <v>0</v>
      </c>
      <c r="BK59" s="336" t="s">
        <v>209</v>
      </c>
      <c r="BM59" s="340">
        <v>0</v>
      </c>
      <c r="BN59" s="340">
        <v>0</v>
      </c>
      <c r="BO59" s="340">
        <f>F59</f>
        <v>0</v>
      </c>
      <c r="BP59" s="340">
        <v>0</v>
      </c>
      <c r="BQ59" s="340">
        <f>BM59+BN59+BO59+BP59</f>
        <v>0</v>
      </c>
      <c r="BR59" s="340">
        <v>0</v>
      </c>
      <c r="BS59" s="340">
        <v>0</v>
      </c>
      <c r="BT59" s="340">
        <f>BR59+BS59</f>
        <v>0</v>
      </c>
      <c r="BU59" s="341">
        <f t="shared" si="2"/>
        <v>0</v>
      </c>
    </row>
    <row r="60" spans="1:73" x14ac:dyDescent="0.25">
      <c r="A60" s="327" t="s">
        <v>725</v>
      </c>
      <c r="B60" s="342" t="s">
        <v>451</v>
      </c>
      <c r="C60" s="336" t="s">
        <v>69</v>
      </c>
      <c r="D60" s="343" t="s">
        <v>460</v>
      </c>
      <c r="E60" s="322">
        <f>BI60</f>
        <v>0</v>
      </c>
      <c r="F60" s="322">
        <f t="shared" ref="F60:F61" si="114">BJ60</f>
        <v>0</v>
      </c>
      <c r="G60" s="313">
        <f>F60*0.2</f>
        <v>0</v>
      </c>
      <c r="H60" s="313">
        <f>F60*0.8</f>
        <v>0</v>
      </c>
      <c r="I60" s="313"/>
      <c r="J60" s="313"/>
      <c r="K60" s="313"/>
      <c r="L60" s="313"/>
      <c r="M60" s="313"/>
      <c r="N60" s="313"/>
      <c r="O60" s="313"/>
      <c r="P60" s="313"/>
      <c r="Q60" s="352">
        <f>E60*0.25</f>
        <v>0</v>
      </c>
      <c r="R60" s="352">
        <f>E60*0.25</f>
        <v>0</v>
      </c>
      <c r="S60" s="352">
        <f>E60*0.25</f>
        <v>0</v>
      </c>
      <c r="T60" s="352">
        <f>E60*0.25</f>
        <v>0</v>
      </c>
      <c r="U60" s="313">
        <f>Q60*D60</f>
        <v>0</v>
      </c>
      <c r="V60" s="313">
        <f>R60*D60</f>
        <v>0</v>
      </c>
      <c r="W60" s="313">
        <f>S60*D60</f>
        <v>0</v>
      </c>
      <c r="X60" s="313">
        <f>T60*D60</f>
        <v>0</v>
      </c>
      <c r="Y60" s="313">
        <v>0</v>
      </c>
      <c r="Z60" s="313">
        <f>Y60*D60</f>
        <v>0</v>
      </c>
      <c r="AA60" s="313">
        <v>0</v>
      </c>
      <c r="AB60" s="313">
        <f>AA60*D60</f>
        <v>0</v>
      </c>
      <c r="AC60" s="313">
        <v>0</v>
      </c>
      <c r="AD60" s="313">
        <f>AC60*D60</f>
        <v>0</v>
      </c>
      <c r="AE60" s="313">
        <v>0</v>
      </c>
      <c r="AF60" s="313">
        <f>AE60*D60</f>
        <v>0</v>
      </c>
      <c r="AG60" s="313">
        <v>0</v>
      </c>
      <c r="AH60" s="313">
        <f>AG60*D60</f>
        <v>0</v>
      </c>
      <c r="AI60" s="313">
        <v>0</v>
      </c>
      <c r="AJ60" s="313">
        <f>D60*AI60</f>
        <v>0</v>
      </c>
      <c r="AK60" s="313">
        <v>0</v>
      </c>
      <c r="AL60" s="313">
        <f>D60*AK60</f>
        <v>0</v>
      </c>
      <c r="AM60" s="313">
        <v>0</v>
      </c>
      <c r="AN60" s="313">
        <f>D60*AM60</f>
        <v>0</v>
      </c>
      <c r="AO60" s="313">
        <v>0</v>
      </c>
      <c r="AP60" s="313">
        <f>AO60*D60</f>
        <v>0</v>
      </c>
      <c r="AQ60" s="313">
        <v>0</v>
      </c>
      <c r="AR60" s="313">
        <f t="shared" si="112"/>
        <v>0</v>
      </c>
      <c r="AS60" s="313">
        <v>0</v>
      </c>
      <c r="AT60" s="313">
        <f>AS60*D60</f>
        <v>0</v>
      </c>
      <c r="AU60" s="313">
        <v>0</v>
      </c>
      <c r="AV60" s="313">
        <f>AU60*D60</f>
        <v>0</v>
      </c>
      <c r="AW60" s="313">
        <v>0</v>
      </c>
      <c r="AX60" s="313">
        <f>AW60*D60</f>
        <v>0</v>
      </c>
      <c r="AY60" s="313">
        <v>0</v>
      </c>
      <c r="AZ60" s="313">
        <f>AY60*D60</f>
        <v>0</v>
      </c>
      <c r="BA60" s="313">
        <v>0</v>
      </c>
      <c r="BB60" s="313">
        <f>D60*BA60</f>
        <v>0</v>
      </c>
      <c r="BC60" s="313">
        <v>0</v>
      </c>
      <c r="BD60" s="313">
        <f>BC60*D60</f>
        <v>0</v>
      </c>
      <c r="BE60" s="313">
        <v>0</v>
      </c>
      <c r="BF60" s="313">
        <f>BE60*D60</f>
        <v>0</v>
      </c>
      <c r="BG60" s="313"/>
      <c r="BH60" s="313">
        <f>BG60*D60</f>
        <v>0</v>
      </c>
      <c r="BI60" s="338">
        <f t="shared" si="113"/>
        <v>0</v>
      </c>
      <c r="BJ60" s="338">
        <f t="shared" si="113"/>
        <v>0</v>
      </c>
      <c r="BK60" s="336" t="s">
        <v>209</v>
      </c>
      <c r="BM60" s="340">
        <v>0</v>
      </c>
      <c r="BN60" s="340">
        <v>0</v>
      </c>
      <c r="BO60" s="340">
        <f>F60</f>
        <v>0</v>
      </c>
      <c r="BP60" s="340">
        <v>0</v>
      </c>
      <c r="BQ60" s="340">
        <f>BM60+BN60+BO60+BP60</f>
        <v>0</v>
      </c>
      <c r="BR60" s="340">
        <v>0</v>
      </c>
      <c r="BS60" s="340">
        <v>0</v>
      </c>
      <c r="BT60" s="340">
        <f>BR60+BS60</f>
        <v>0</v>
      </c>
      <c r="BU60" s="341">
        <f t="shared" si="2"/>
        <v>0</v>
      </c>
    </row>
    <row r="61" spans="1:73" x14ac:dyDescent="0.25">
      <c r="A61" s="327" t="s">
        <v>726</v>
      </c>
      <c r="B61" s="342" t="s">
        <v>452</v>
      </c>
      <c r="C61" s="336" t="s">
        <v>69</v>
      </c>
      <c r="D61" s="343" t="s">
        <v>458</v>
      </c>
      <c r="E61" s="322">
        <f>BI61</f>
        <v>0</v>
      </c>
      <c r="F61" s="322">
        <f t="shared" si="114"/>
        <v>0</v>
      </c>
      <c r="G61" s="313">
        <f>F61*0.2</f>
        <v>0</v>
      </c>
      <c r="H61" s="313">
        <f>F61*0.8</f>
        <v>0</v>
      </c>
      <c r="I61" s="313"/>
      <c r="J61" s="313"/>
      <c r="K61" s="313"/>
      <c r="L61" s="313"/>
      <c r="M61" s="313"/>
      <c r="N61" s="313"/>
      <c r="O61" s="313"/>
      <c r="P61" s="313"/>
      <c r="Q61" s="352">
        <f>E61*0.25</f>
        <v>0</v>
      </c>
      <c r="R61" s="352">
        <f>E61*0.25</f>
        <v>0</v>
      </c>
      <c r="S61" s="352">
        <f>E61*0.25</f>
        <v>0</v>
      </c>
      <c r="T61" s="352">
        <f>E61*0.25</f>
        <v>0</v>
      </c>
      <c r="U61" s="313">
        <f>Q61*D61</f>
        <v>0</v>
      </c>
      <c r="V61" s="313">
        <f>R61*D61</f>
        <v>0</v>
      </c>
      <c r="W61" s="313">
        <f>S61*D61</f>
        <v>0</v>
      </c>
      <c r="X61" s="313">
        <f>T61*D61</f>
        <v>0</v>
      </c>
      <c r="Y61" s="313">
        <v>0</v>
      </c>
      <c r="Z61" s="313">
        <f>Y61*D61</f>
        <v>0</v>
      </c>
      <c r="AA61" s="313">
        <v>0</v>
      </c>
      <c r="AB61" s="313">
        <f>AA61*D61</f>
        <v>0</v>
      </c>
      <c r="AC61" s="313">
        <v>0</v>
      </c>
      <c r="AD61" s="313">
        <f>AC61*D61</f>
        <v>0</v>
      </c>
      <c r="AE61" s="313">
        <v>0</v>
      </c>
      <c r="AF61" s="313">
        <f>AE61*D61</f>
        <v>0</v>
      </c>
      <c r="AG61" s="313">
        <v>0</v>
      </c>
      <c r="AH61" s="313">
        <f>AG61*D61</f>
        <v>0</v>
      </c>
      <c r="AI61" s="313">
        <v>0</v>
      </c>
      <c r="AJ61" s="313">
        <f>D61*AI61</f>
        <v>0</v>
      </c>
      <c r="AK61" s="313">
        <v>0</v>
      </c>
      <c r="AL61" s="313">
        <f>D61*AK61</f>
        <v>0</v>
      </c>
      <c r="AM61" s="313">
        <v>0</v>
      </c>
      <c r="AN61" s="313">
        <f>D61*AM61</f>
        <v>0</v>
      </c>
      <c r="AO61" s="313">
        <v>0</v>
      </c>
      <c r="AP61" s="313">
        <f>AO61*D61</f>
        <v>0</v>
      </c>
      <c r="AQ61" s="313">
        <v>0</v>
      </c>
      <c r="AR61" s="313">
        <f t="shared" si="112"/>
        <v>0</v>
      </c>
      <c r="AS61" s="313">
        <v>0</v>
      </c>
      <c r="AT61" s="313">
        <f>AS61*D61</f>
        <v>0</v>
      </c>
      <c r="AU61" s="313">
        <v>0</v>
      </c>
      <c r="AV61" s="313">
        <f>AU61*D61</f>
        <v>0</v>
      </c>
      <c r="AW61" s="313">
        <v>0</v>
      </c>
      <c r="AX61" s="313">
        <f>AW61*D61</f>
        <v>0</v>
      </c>
      <c r="AY61" s="313">
        <v>0</v>
      </c>
      <c r="AZ61" s="313">
        <f>AY61*D61</f>
        <v>0</v>
      </c>
      <c r="BA61" s="313">
        <v>0</v>
      </c>
      <c r="BB61" s="313">
        <f>D61*BA61</f>
        <v>0</v>
      </c>
      <c r="BC61" s="313">
        <v>0</v>
      </c>
      <c r="BD61" s="313">
        <f>BC61*D61</f>
        <v>0</v>
      </c>
      <c r="BE61" s="313">
        <v>0</v>
      </c>
      <c r="BF61" s="313">
        <f>BE61*D61</f>
        <v>0</v>
      </c>
      <c r="BG61" s="313"/>
      <c r="BH61" s="313">
        <f>BG61*D61</f>
        <v>0</v>
      </c>
      <c r="BI61" s="338">
        <f t="shared" si="113"/>
        <v>0</v>
      </c>
      <c r="BJ61" s="338">
        <f t="shared" si="113"/>
        <v>0</v>
      </c>
      <c r="BK61" s="336" t="s">
        <v>209</v>
      </c>
      <c r="BM61" s="340">
        <v>0</v>
      </c>
      <c r="BN61" s="340">
        <v>0</v>
      </c>
      <c r="BO61" s="340">
        <f>F61</f>
        <v>0</v>
      </c>
      <c r="BP61" s="340">
        <v>0</v>
      </c>
      <c r="BQ61" s="340">
        <f>BM61+BN61+BO61+BP61</f>
        <v>0</v>
      </c>
      <c r="BR61" s="340">
        <v>0</v>
      </c>
      <c r="BS61" s="340">
        <v>0</v>
      </c>
      <c r="BT61" s="340">
        <f>BR61+BS61</f>
        <v>0</v>
      </c>
      <c r="BU61" s="341">
        <f t="shared" si="2"/>
        <v>0</v>
      </c>
    </row>
    <row r="62" spans="1:73" x14ac:dyDescent="0.25">
      <c r="A62" s="327"/>
      <c r="B62" s="335" t="s">
        <v>453</v>
      </c>
      <c r="C62" s="336" t="s">
        <v>111</v>
      </c>
      <c r="D62" s="343" t="s">
        <v>111</v>
      </c>
      <c r="E62" s="322">
        <f>SUM(E59:E61)</f>
        <v>0</v>
      </c>
      <c r="F62" s="322">
        <f t="shared" ref="F62:X62" si="115">SUM(F59:F61)</f>
        <v>0</v>
      </c>
      <c r="G62" s="322">
        <f t="shared" si="115"/>
        <v>0</v>
      </c>
      <c r="H62" s="322">
        <f t="shared" si="115"/>
        <v>0</v>
      </c>
      <c r="I62" s="322">
        <f t="shared" si="115"/>
        <v>0</v>
      </c>
      <c r="J62" s="322">
        <f t="shared" si="115"/>
        <v>0</v>
      </c>
      <c r="K62" s="322">
        <f t="shared" si="115"/>
        <v>0</v>
      </c>
      <c r="L62" s="322">
        <f t="shared" si="115"/>
        <v>0</v>
      </c>
      <c r="M62" s="322">
        <f t="shared" si="115"/>
        <v>0</v>
      </c>
      <c r="N62" s="322">
        <f t="shared" si="115"/>
        <v>0</v>
      </c>
      <c r="O62" s="322">
        <f t="shared" si="115"/>
        <v>0</v>
      </c>
      <c r="P62" s="322">
        <f t="shared" si="115"/>
        <v>0</v>
      </c>
      <c r="Q62" s="322">
        <f t="shared" si="115"/>
        <v>0</v>
      </c>
      <c r="R62" s="322">
        <f t="shared" si="115"/>
        <v>0</v>
      </c>
      <c r="S62" s="322">
        <f t="shared" si="115"/>
        <v>0</v>
      </c>
      <c r="T62" s="322">
        <f t="shared" si="115"/>
        <v>0</v>
      </c>
      <c r="U62" s="322">
        <f t="shared" si="115"/>
        <v>0</v>
      </c>
      <c r="V62" s="322">
        <f t="shared" si="115"/>
        <v>0</v>
      </c>
      <c r="W62" s="322">
        <f t="shared" si="115"/>
        <v>0</v>
      </c>
      <c r="X62" s="322">
        <f t="shared" si="115"/>
        <v>0</v>
      </c>
      <c r="Y62" s="313">
        <f>SUM(Y59:Y61)</f>
        <v>0</v>
      </c>
      <c r="Z62" s="313">
        <f t="shared" ref="Z62:BU62" si="116">SUM(Z59:Z61)</f>
        <v>0</v>
      </c>
      <c r="AA62" s="313">
        <f t="shared" si="116"/>
        <v>0</v>
      </c>
      <c r="AB62" s="313">
        <f t="shared" si="116"/>
        <v>0</v>
      </c>
      <c r="AC62" s="313">
        <f t="shared" si="116"/>
        <v>0</v>
      </c>
      <c r="AD62" s="313">
        <f t="shared" si="116"/>
        <v>0</v>
      </c>
      <c r="AE62" s="313">
        <f t="shared" si="116"/>
        <v>0</v>
      </c>
      <c r="AF62" s="313">
        <f t="shared" si="116"/>
        <v>0</v>
      </c>
      <c r="AG62" s="313">
        <f t="shared" si="116"/>
        <v>0</v>
      </c>
      <c r="AH62" s="313">
        <f t="shared" si="116"/>
        <v>0</v>
      </c>
      <c r="AI62" s="313">
        <f t="shared" si="116"/>
        <v>0</v>
      </c>
      <c r="AJ62" s="313">
        <f t="shared" si="116"/>
        <v>0</v>
      </c>
      <c r="AK62" s="313">
        <f t="shared" si="116"/>
        <v>0</v>
      </c>
      <c r="AL62" s="313">
        <f t="shared" si="116"/>
        <v>0</v>
      </c>
      <c r="AM62" s="313">
        <f t="shared" si="116"/>
        <v>0</v>
      </c>
      <c r="AN62" s="313">
        <f t="shared" si="116"/>
        <v>0</v>
      </c>
      <c r="AO62" s="313">
        <f t="shared" si="116"/>
        <v>0</v>
      </c>
      <c r="AP62" s="313">
        <f t="shared" si="116"/>
        <v>0</v>
      </c>
      <c r="AQ62" s="313">
        <f t="shared" si="116"/>
        <v>0</v>
      </c>
      <c r="AR62" s="313">
        <f t="shared" si="116"/>
        <v>0</v>
      </c>
      <c r="AS62" s="313">
        <f t="shared" si="116"/>
        <v>0</v>
      </c>
      <c r="AT62" s="313">
        <f t="shared" si="116"/>
        <v>0</v>
      </c>
      <c r="AU62" s="313">
        <f t="shared" si="116"/>
        <v>0</v>
      </c>
      <c r="AV62" s="313">
        <f t="shared" si="116"/>
        <v>0</v>
      </c>
      <c r="AW62" s="313">
        <f t="shared" si="116"/>
        <v>0</v>
      </c>
      <c r="AX62" s="313">
        <f t="shared" si="116"/>
        <v>0</v>
      </c>
      <c r="AY62" s="313">
        <f t="shared" si="116"/>
        <v>0</v>
      </c>
      <c r="AZ62" s="313">
        <f t="shared" si="116"/>
        <v>0</v>
      </c>
      <c r="BA62" s="313">
        <f t="shared" si="116"/>
        <v>0</v>
      </c>
      <c r="BB62" s="313">
        <f t="shared" si="116"/>
        <v>0</v>
      </c>
      <c r="BC62" s="313">
        <f t="shared" si="116"/>
        <v>0</v>
      </c>
      <c r="BD62" s="313">
        <f t="shared" si="116"/>
        <v>0</v>
      </c>
      <c r="BE62" s="313">
        <f t="shared" si="116"/>
        <v>0</v>
      </c>
      <c r="BF62" s="313">
        <f t="shared" si="116"/>
        <v>0</v>
      </c>
      <c r="BG62" s="313">
        <f t="shared" si="116"/>
        <v>0</v>
      </c>
      <c r="BH62" s="313">
        <f t="shared" si="116"/>
        <v>0</v>
      </c>
      <c r="BI62" s="313">
        <f t="shared" si="116"/>
        <v>0</v>
      </c>
      <c r="BJ62" s="313">
        <f t="shared" si="116"/>
        <v>0</v>
      </c>
      <c r="BK62" s="313">
        <f t="shared" si="116"/>
        <v>0</v>
      </c>
      <c r="BL62" s="313">
        <f t="shared" si="116"/>
        <v>0</v>
      </c>
      <c r="BM62" s="313">
        <f t="shared" si="116"/>
        <v>0</v>
      </c>
      <c r="BN62" s="313">
        <f t="shared" si="116"/>
        <v>0</v>
      </c>
      <c r="BO62" s="313">
        <f t="shared" si="116"/>
        <v>0</v>
      </c>
      <c r="BP62" s="313">
        <f t="shared" si="116"/>
        <v>0</v>
      </c>
      <c r="BQ62" s="313">
        <f t="shared" si="116"/>
        <v>0</v>
      </c>
      <c r="BR62" s="313">
        <f t="shared" si="116"/>
        <v>0</v>
      </c>
      <c r="BS62" s="313">
        <f t="shared" si="116"/>
        <v>0</v>
      </c>
      <c r="BT62" s="313">
        <f t="shared" si="116"/>
        <v>0</v>
      </c>
      <c r="BU62" s="313">
        <f t="shared" si="116"/>
        <v>0</v>
      </c>
    </row>
    <row r="63" spans="1:73" x14ac:dyDescent="0.25">
      <c r="A63" s="327"/>
      <c r="B63" s="335" t="s">
        <v>454</v>
      </c>
      <c r="C63" s="336"/>
      <c r="D63" s="336"/>
      <c r="E63" s="322"/>
      <c r="F63" s="325"/>
      <c r="G63" s="325"/>
      <c r="H63" s="325"/>
      <c r="I63" s="325"/>
      <c r="J63" s="325"/>
      <c r="K63" s="325"/>
      <c r="L63" s="325"/>
      <c r="M63" s="325"/>
      <c r="N63" s="325"/>
      <c r="O63" s="325"/>
      <c r="P63" s="325"/>
      <c r="Q63" s="347"/>
      <c r="R63" s="347"/>
      <c r="S63" s="347"/>
      <c r="T63" s="347"/>
      <c r="U63" s="325"/>
      <c r="V63" s="325"/>
      <c r="W63" s="325"/>
      <c r="X63" s="325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3"/>
      <c r="AT63" s="313"/>
      <c r="AU63" s="313"/>
      <c r="AV63" s="313"/>
      <c r="AW63" s="313"/>
      <c r="AX63" s="313"/>
      <c r="AY63" s="313"/>
      <c r="AZ63" s="313"/>
      <c r="BA63" s="313"/>
      <c r="BB63" s="313"/>
      <c r="BC63" s="313"/>
      <c r="BD63" s="313"/>
      <c r="BE63" s="313"/>
      <c r="BF63" s="313"/>
      <c r="BG63" s="313"/>
      <c r="BH63" s="313"/>
      <c r="BI63" s="338"/>
      <c r="BJ63" s="339"/>
      <c r="BK63" s="336"/>
      <c r="BM63" s="325"/>
      <c r="BN63" s="325"/>
      <c r="BO63" s="325"/>
      <c r="BP63" s="325"/>
      <c r="BQ63" s="325"/>
      <c r="BR63" s="325"/>
      <c r="BS63" s="325"/>
      <c r="BT63" s="325"/>
      <c r="BU63" s="349"/>
    </row>
    <row r="64" spans="1:73" s="317" customFormat="1" x14ac:dyDescent="0.25">
      <c r="A64" s="327" t="s">
        <v>727</v>
      </c>
      <c r="B64" s="342" t="s">
        <v>72</v>
      </c>
      <c r="C64" s="336" t="s">
        <v>70</v>
      </c>
      <c r="D64" s="343">
        <v>20000</v>
      </c>
      <c r="E64" s="332">
        <f>BI64</f>
        <v>425</v>
      </c>
      <c r="F64" s="356">
        <f>BJ64</f>
        <v>8200000</v>
      </c>
      <c r="G64" s="313">
        <f>F64*0</f>
        <v>0</v>
      </c>
      <c r="H64" s="313">
        <f>F64*1</f>
        <v>8200000</v>
      </c>
      <c r="I64" s="325"/>
      <c r="J64" s="325"/>
      <c r="K64" s="325"/>
      <c r="L64" s="325"/>
      <c r="M64" s="325"/>
      <c r="N64" s="325"/>
      <c r="O64" s="325"/>
      <c r="P64" s="325"/>
      <c r="Q64" s="352">
        <f>E64*0.25</f>
        <v>106.25</v>
      </c>
      <c r="R64" s="352">
        <f>E64*0.25</f>
        <v>106.25</v>
      </c>
      <c r="S64" s="352">
        <f>E64*0.25</f>
        <v>106.25</v>
      </c>
      <c r="T64" s="352">
        <f>E64*0.25</f>
        <v>106.25</v>
      </c>
      <c r="U64" s="325">
        <f>F64*0.25</f>
        <v>2050000</v>
      </c>
      <c r="V64" s="325">
        <f>F64*0.25</f>
        <v>2050000</v>
      </c>
      <c r="W64" s="325">
        <f>F64*0.25</f>
        <v>2050000</v>
      </c>
      <c r="X64" s="325">
        <f>F64*0.25</f>
        <v>2050000</v>
      </c>
      <c r="Y64" s="313">
        <v>30</v>
      </c>
      <c r="Z64" s="313">
        <f>Y64*D64</f>
        <v>600000</v>
      </c>
      <c r="AA64" s="313">
        <v>20</v>
      </c>
      <c r="AB64" s="313">
        <f>AA64*D64</f>
        <v>400000</v>
      </c>
      <c r="AC64" s="313">
        <v>30</v>
      </c>
      <c r="AD64" s="313">
        <f>AC64*D64</f>
        <v>600000</v>
      </c>
      <c r="AE64" s="313">
        <v>30</v>
      </c>
      <c r="AF64" s="313">
        <f>AE64*D64</f>
        <v>600000</v>
      </c>
      <c r="AG64" s="313">
        <v>20</v>
      </c>
      <c r="AH64" s="313">
        <f>AG64*D64</f>
        <v>400000</v>
      </c>
      <c r="AI64" s="313">
        <v>25</v>
      </c>
      <c r="AJ64" s="313">
        <f>D64*AI64</f>
        <v>500000</v>
      </c>
      <c r="AK64" s="313">
        <v>25</v>
      </c>
      <c r="AL64" s="313">
        <f>D64*AK64</f>
        <v>500000</v>
      </c>
      <c r="AM64" s="313">
        <v>20</v>
      </c>
      <c r="AN64" s="313">
        <f>D64*AM64</f>
        <v>400000</v>
      </c>
      <c r="AO64" s="313">
        <v>15</v>
      </c>
      <c r="AP64" s="313">
        <f>AO64*D64</f>
        <v>300000</v>
      </c>
      <c r="AQ64" s="313">
        <v>35</v>
      </c>
      <c r="AR64" s="313">
        <v>400000</v>
      </c>
      <c r="AS64" s="313">
        <v>25</v>
      </c>
      <c r="AT64" s="313">
        <f>AS64*D64</f>
        <v>500000</v>
      </c>
      <c r="AU64" s="313">
        <v>25</v>
      </c>
      <c r="AV64" s="313">
        <f>AU64*D64</f>
        <v>500000</v>
      </c>
      <c r="AW64" s="313">
        <v>25</v>
      </c>
      <c r="AX64" s="313">
        <f>AW64*D64</f>
        <v>500000</v>
      </c>
      <c r="AY64" s="313">
        <v>25</v>
      </c>
      <c r="AZ64" s="313">
        <f>AY64*D64</f>
        <v>500000</v>
      </c>
      <c r="BA64" s="313">
        <v>20</v>
      </c>
      <c r="BB64" s="313">
        <f>D64*BA64</f>
        <v>400000</v>
      </c>
      <c r="BC64" s="313">
        <v>30</v>
      </c>
      <c r="BD64" s="313">
        <f>BC64*D64</f>
        <v>600000</v>
      </c>
      <c r="BE64" s="313">
        <v>25</v>
      </c>
      <c r="BF64" s="313">
        <f>BE64*D64</f>
        <v>500000</v>
      </c>
      <c r="BG64" s="313">
        <v>0</v>
      </c>
      <c r="BH64" s="313">
        <f>BG64*D64</f>
        <v>0</v>
      </c>
      <c r="BI64" s="338">
        <f>BG64+BE64+BC64+BA64+AY64+AW64+AU64+AS64+AQ64+AO64+AM64+AK64+AI64+AG64+AE64+AC64+AA64+Y64</f>
        <v>425</v>
      </c>
      <c r="BJ64" s="338">
        <f>BH64+BF64+BD64+BB64+AZ64+AX64+AV64+AT64+AR64+AP64+AN64+AL64+AJ64+AH64+AF64+AD64+AB64+Z64</f>
        <v>8200000</v>
      </c>
      <c r="BK64" s="336" t="s">
        <v>210</v>
      </c>
      <c r="BL64" s="357"/>
      <c r="BM64" s="325">
        <f>BM63+BM52+BM45</f>
        <v>0</v>
      </c>
      <c r="BN64" s="340">
        <f>BJ64</f>
        <v>8200000</v>
      </c>
      <c r="BO64" s="340"/>
      <c r="BP64" s="340"/>
      <c r="BQ64" s="340">
        <f>BM64+BN64+BO64+BP64</f>
        <v>8200000</v>
      </c>
      <c r="BR64" s="340"/>
      <c r="BS64" s="340"/>
      <c r="BT64" s="340"/>
      <c r="BU64" s="341">
        <f>BQ64+BT64</f>
        <v>8200000</v>
      </c>
    </row>
    <row r="65" spans="1:73" s="317" customFormat="1" x14ac:dyDescent="0.25">
      <c r="A65" s="348"/>
      <c r="B65" s="335" t="s">
        <v>489</v>
      </c>
      <c r="C65" s="336"/>
      <c r="D65" s="343"/>
      <c r="E65" s="332"/>
      <c r="F65" s="325">
        <f>F64</f>
        <v>8200000</v>
      </c>
      <c r="G65" s="325">
        <f t="shared" ref="G65:BI65" si="117">G64</f>
        <v>0</v>
      </c>
      <c r="H65" s="325">
        <f t="shared" si="117"/>
        <v>8200000</v>
      </c>
      <c r="I65" s="325">
        <f t="shared" si="117"/>
        <v>0</v>
      </c>
      <c r="J65" s="325">
        <f t="shared" si="117"/>
        <v>0</v>
      </c>
      <c r="K65" s="325">
        <f t="shared" si="117"/>
        <v>0</v>
      </c>
      <c r="L65" s="325">
        <f t="shared" si="117"/>
        <v>0</v>
      </c>
      <c r="M65" s="325">
        <f t="shared" si="117"/>
        <v>0</v>
      </c>
      <c r="N65" s="325">
        <f t="shared" si="117"/>
        <v>0</v>
      </c>
      <c r="O65" s="325">
        <f t="shared" si="117"/>
        <v>0</v>
      </c>
      <c r="P65" s="325">
        <f t="shared" si="117"/>
        <v>0</v>
      </c>
      <c r="Q65" s="325">
        <f t="shared" si="117"/>
        <v>106.25</v>
      </c>
      <c r="R65" s="325">
        <f t="shared" si="117"/>
        <v>106.25</v>
      </c>
      <c r="S65" s="325">
        <f t="shared" si="117"/>
        <v>106.25</v>
      </c>
      <c r="T65" s="325">
        <f t="shared" si="117"/>
        <v>106.25</v>
      </c>
      <c r="U65" s="325">
        <f t="shared" si="117"/>
        <v>2050000</v>
      </c>
      <c r="V65" s="325">
        <f t="shared" si="117"/>
        <v>2050000</v>
      </c>
      <c r="W65" s="325">
        <f t="shared" si="117"/>
        <v>2050000</v>
      </c>
      <c r="X65" s="325">
        <f t="shared" si="117"/>
        <v>2050000</v>
      </c>
      <c r="Y65" s="325">
        <f t="shared" si="117"/>
        <v>30</v>
      </c>
      <c r="Z65" s="325">
        <f t="shared" si="117"/>
        <v>600000</v>
      </c>
      <c r="AA65" s="325">
        <f t="shared" si="117"/>
        <v>20</v>
      </c>
      <c r="AB65" s="325">
        <f t="shared" si="117"/>
        <v>400000</v>
      </c>
      <c r="AC65" s="325">
        <f t="shared" si="117"/>
        <v>30</v>
      </c>
      <c r="AD65" s="325">
        <f t="shared" si="117"/>
        <v>600000</v>
      </c>
      <c r="AE65" s="325">
        <f t="shared" si="117"/>
        <v>30</v>
      </c>
      <c r="AF65" s="325">
        <f t="shared" si="117"/>
        <v>600000</v>
      </c>
      <c r="AG65" s="325">
        <f t="shared" si="117"/>
        <v>20</v>
      </c>
      <c r="AH65" s="325">
        <f t="shared" si="117"/>
        <v>400000</v>
      </c>
      <c r="AI65" s="325">
        <f t="shared" si="117"/>
        <v>25</v>
      </c>
      <c r="AJ65" s="325">
        <f t="shared" si="117"/>
        <v>500000</v>
      </c>
      <c r="AK65" s="325">
        <f t="shared" si="117"/>
        <v>25</v>
      </c>
      <c r="AL65" s="325">
        <f t="shared" si="117"/>
        <v>500000</v>
      </c>
      <c r="AM65" s="325">
        <f t="shared" si="117"/>
        <v>20</v>
      </c>
      <c r="AN65" s="325">
        <f t="shared" si="117"/>
        <v>400000</v>
      </c>
      <c r="AO65" s="325">
        <f t="shared" si="117"/>
        <v>15</v>
      </c>
      <c r="AP65" s="325">
        <f t="shared" si="117"/>
        <v>300000</v>
      </c>
      <c r="AQ65" s="325">
        <f t="shared" si="117"/>
        <v>35</v>
      </c>
      <c r="AR65" s="325">
        <f t="shared" si="117"/>
        <v>400000</v>
      </c>
      <c r="AS65" s="325">
        <f t="shared" si="117"/>
        <v>25</v>
      </c>
      <c r="AT65" s="325">
        <f t="shared" si="117"/>
        <v>500000</v>
      </c>
      <c r="AU65" s="325">
        <f t="shared" si="117"/>
        <v>25</v>
      </c>
      <c r="AV65" s="325">
        <f t="shared" si="117"/>
        <v>500000</v>
      </c>
      <c r="AW65" s="325">
        <f t="shared" si="117"/>
        <v>25</v>
      </c>
      <c r="AX65" s="325">
        <f t="shared" si="117"/>
        <v>500000</v>
      </c>
      <c r="AY65" s="325">
        <f t="shared" si="117"/>
        <v>25</v>
      </c>
      <c r="AZ65" s="325">
        <f t="shared" si="117"/>
        <v>500000</v>
      </c>
      <c r="BA65" s="325">
        <f t="shared" si="117"/>
        <v>20</v>
      </c>
      <c r="BB65" s="325">
        <f t="shared" si="117"/>
        <v>400000</v>
      </c>
      <c r="BC65" s="325">
        <f t="shared" si="117"/>
        <v>30</v>
      </c>
      <c r="BD65" s="325">
        <f t="shared" si="117"/>
        <v>600000</v>
      </c>
      <c r="BE65" s="325">
        <f t="shared" si="117"/>
        <v>25</v>
      </c>
      <c r="BF65" s="325">
        <f t="shared" si="117"/>
        <v>500000</v>
      </c>
      <c r="BG65" s="325">
        <f t="shared" si="117"/>
        <v>0</v>
      </c>
      <c r="BH65" s="325">
        <f t="shared" si="117"/>
        <v>0</v>
      </c>
      <c r="BI65" s="325">
        <f t="shared" si="117"/>
        <v>425</v>
      </c>
      <c r="BJ65" s="313">
        <f t="shared" ref="BJ65:BU65" si="118">SUM(BJ64)</f>
        <v>8200000</v>
      </c>
      <c r="BK65" s="313">
        <f t="shared" si="118"/>
        <v>0</v>
      </c>
      <c r="BL65" s="313">
        <f t="shared" si="118"/>
        <v>0</v>
      </c>
      <c r="BM65" s="313">
        <f t="shared" si="118"/>
        <v>0</v>
      </c>
      <c r="BN65" s="313">
        <f t="shared" si="118"/>
        <v>8200000</v>
      </c>
      <c r="BO65" s="313">
        <f t="shared" si="118"/>
        <v>0</v>
      </c>
      <c r="BP65" s="313">
        <f t="shared" si="118"/>
        <v>0</v>
      </c>
      <c r="BQ65" s="313">
        <f t="shared" si="118"/>
        <v>8200000</v>
      </c>
      <c r="BR65" s="313">
        <f t="shared" si="118"/>
        <v>0</v>
      </c>
      <c r="BS65" s="313">
        <f t="shared" si="118"/>
        <v>0</v>
      </c>
      <c r="BT65" s="313">
        <f t="shared" si="118"/>
        <v>0</v>
      </c>
      <c r="BU65" s="313">
        <f t="shared" si="118"/>
        <v>8200000</v>
      </c>
    </row>
    <row r="66" spans="1:73" s="317" customFormat="1" x14ac:dyDescent="0.25">
      <c r="A66" s="348"/>
      <c r="B66" s="358" t="s">
        <v>17</v>
      </c>
      <c r="C66" s="346" t="s">
        <v>111</v>
      </c>
      <c r="D66" s="354" t="s">
        <v>111</v>
      </c>
      <c r="E66" s="325">
        <f t="shared" ref="E66:AJ66" si="119">E15+E17+E25+E33+E36+E43+E53+E56+E62+E65</f>
        <v>16643.5</v>
      </c>
      <c r="F66" s="325">
        <f t="shared" si="119"/>
        <v>19415825</v>
      </c>
      <c r="G66" s="325">
        <f t="shared" si="119"/>
        <v>2243165</v>
      </c>
      <c r="H66" s="325">
        <f t="shared" si="119"/>
        <v>17172660</v>
      </c>
      <c r="I66" s="325">
        <f t="shared" si="119"/>
        <v>0</v>
      </c>
      <c r="J66" s="325">
        <f t="shared" si="119"/>
        <v>0</v>
      </c>
      <c r="K66" s="325">
        <f t="shared" si="119"/>
        <v>0</v>
      </c>
      <c r="L66" s="325">
        <f t="shared" si="119"/>
        <v>0</v>
      </c>
      <c r="M66" s="325">
        <f t="shared" si="119"/>
        <v>0</v>
      </c>
      <c r="N66" s="325">
        <f t="shared" si="119"/>
        <v>0</v>
      </c>
      <c r="O66" s="325">
        <f t="shared" si="119"/>
        <v>0</v>
      </c>
      <c r="P66" s="325">
        <f t="shared" si="119"/>
        <v>0</v>
      </c>
      <c r="Q66" s="325">
        <f t="shared" si="119"/>
        <v>5123.125</v>
      </c>
      <c r="R66" s="325">
        <f t="shared" si="119"/>
        <v>4693.9250000000002</v>
      </c>
      <c r="S66" s="325">
        <f t="shared" si="119"/>
        <v>3477.0749999999998</v>
      </c>
      <c r="T66" s="325">
        <f t="shared" si="119"/>
        <v>2679.375</v>
      </c>
      <c r="U66" s="325">
        <f t="shared" si="119"/>
        <v>6534831.25</v>
      </c>
      <c r="V66" s="325">
        <f t="shared" si="119"/>
        <v>6053581.25</v>
      </c>
      <c r="W66" s="325">
        <f t="shared" si="119"/>
        <v>3838331.25</v>
      </c>
      <c r="X66" s="325">
        <f t="shared" si="119"/>
        <v>2989081.25</v>
      </c>
      <c r="Y66" s="325">
        <f t="shared" si="119"/>
        <v>1040</v>
      </c>
      <c r="Z66" s="325">
        <f t="shared" si="119"/>
        <v>1212300</v>
      </c>
      <c r="AA66" s="325">
        <f t="shared" si="119"/>
        <v>643</v>
      </c>
      <c r="AB66" s="325">
        <f t="shared" si="119"/>
        <v>783750</v>
      </c>
      <c r="AC66" s="325">
        <f t="shared" si="119"/>
        <v>1153</v>
      </c>
      <c r="AD66" s="325">
        <f t="shared" si="119"/>
        <v>1378300</v>
      </c>
      <c r="AE66" s="325">
        <f t="shared" si="119"/>
        <v>1219</v>
      </c>
      <c r="AF66" s="325">
        <f t="shared" si="119"/>
        <v>1429650</v>
      </c>
      <c r="AG66" s="325">
        <f t="shared" si="119"/>
        <v>523</v>
      </c>
      <c r="AH66" s="325">
        <f t="shared" si="119"/>
        <v>701450</v>
      </c>
      <c r="AI66" s="325">
        <f t="shared" si="119"/>
        <v>1137</v>
      </c>
      <c r="AJ66" s="325">
        <f t="shared" si="119"/>
        <v>1221000</v>
      </c>
      <c r="AK66" s="325">
        <f t="shared" ref="AK66:BP66" si="120">AK15+AK17+AK25+AK33+AK36+AK43+AK53+AK56+AK62+AK65</f>
        <v>920</v>
      </c>
      <c r="AL66" s="325">
        <f t="shared" si="120"/>
        <v>1153750</v>
      </c>
      <c r="AM66" s="325">
        <f t="shared" si="120"/>
        <v>1155</v>
      </c>
      <c r="AN66" s="325">
        <f t="shared" si="120"/>
        <v>1046850</v>
      </c>
      <c r="AO66" s="325">
        <f t="shared" si="120"/>
        <v>508</v>
      </c>
      <c r="AP66" s="325">
        <f t="shared" si="120"/>
        <v>754300</v>
      </c>
      <c r="AQ66" s="325">
        <f t="shared" si="120"/>
        <v>1035</v>
      </c>
      <c r="AR66" s="325">
        <f t="shared" si="120"/>
        <v>1023250</v>
      </c>
      <c r="AS66" s="325">
        <f t="shared" si="120"/>
        <v>1157</v>
      </c>
      <c r="AT66" s="325">
        <f t="shared" si="120"/>
        <v>1290700</v>
      </c>
      <c r="AU66" s="325">
        <f t="shared" si="120"/>
        <v>926</v>
      </c>
      <c r="AV66" s="325">
        <f t="shared" si="120"/>
        <v>1036700</v>
      </c>
      <c r="AW66" s="325">
        <f t="shared" si="120"/>
        <v>1059</v>
      </c>
      <c r="AX66" s="325">
        <f t="shared" si="120"/>
        <v>1175550</v>
      </c>
      <c r="AY66" s="325">
        <f t="shared" si="120"/>
        <v>1206</v>
      </c>
      <c r="AZ66" s="325">
        <f t="shared" si="120"/>
        <v>1242700</v>
      </c>
      <c r="BA66" s="325">
        <f t="shared" si="120"/>
        <v>1071.5</v>
      </c>
      <c r="BB66" s="325">
        <f t="shared" si="120"/>
        <v>1271575</v>
      </c>
      <c r="BC66" s="325">
        <f t="shared" si="120"/>
        <v>1178</v>
      </c>
      <c r="BD66" s="325">
        <f t="shared" si="120"/>
        <v>1180400</v>
      </c>
      <c r="BE66" s="325">
        <f t="shared" si="120"/>
        <v>1090</v>
      </c>
      <c r="BF66" s="325">
        <f t="shared" si="120"/>
        <v>1513600</v>
      </c>
      <c r="BG66" s="325">
        <f t="shared" si="120"/>
        <v>0</v>
      </c>
      <c r="BH66" s="325">
        <f t="shared" si="120"/>
        <v>0</v>
      </c>
      <c r="BI66" s="325">
        <f t="shared" si="120"/>
        <v>17068.5</v>
      </c>
      <c r="BJ66" s="325">
        <f t="shared" si="120"/>
        <v>19415825</v>
      </c>
      <c r="BK66" s="325">
        <f t="shared" si="120"/>
        <v>0</v>
      </c>
      <c r="BL66" s="325">
        <f t="shared" si="120"/>
        <v>0</v>
      </c>
      <c r="BM66" s="325">
        <f t="shared" si="120"/>
        <v>0</v>
      </c>
      <c r="BN66" s="325">
        <f t="shared" si="120"/>
        <v>19415825</v>
      </c>
      <c r="BO66" s="325">
        <f t="shared" si="120"/>
        <v>0</v>
      </c>
      <c r="BP66" s="325">
        <f t="shared" si="120"/>
        <v>0</v>
      </c>
      <c r="BQ66" s="325">
        <f t="shared" ref="BQ66:BU66" si="121">BQ15+BQ17+BQ25+BQ33+BQ36+BQ43+BQ53+BQ56+BQ62+BQ65</f>
        <v>19415825</v>
      </c>
      <c r="BR66" s="325">
        <f t="shared" si="121"/>
        <v>0</v>
      </c>
      <c r="BS66" s="325">
        <f t="shared" si="121"/>
        <v>0</v>
      </c>
      <c r="BT66" s="325">
        <f t="shared" si="121"/>
        <v>0</v>
      </c>
      <c r="BU66" s="325">
        <f t="shared" si="121"/>
        <v>19415825</v>
      </c>
    </row>
    <row r="68" spans="1:73" x14ac:dyDescent="0.25">
      <c r="F68" s="360"/>
      <c r="H68" s="360">
        <f>F66-G66-H66</f>
        <v>0</v>
      </c>
      <c r="U68" s="361">
        <f>SUM(U66:X66)</f>
        <v>19415825</v>
      </c>
      <c r="BI68" s="361">
        <f>F66-BJ66</f>
        <v>0</v>
      </c>
      <c r="BJ68" s="361"/>
    </row>
    <row r="69" spans="1:73" x14ac:dyDescent="0.25">
      <c r="U69" s="361">
        <f>F66-U68</f>
        <v>0</v>
      </c>
    </row>
    <row r="71" spans="1:73" x14ac:dyDescent="0.25">
      <c r="E71" s="316" t="s">
        <v>1155</v>
      </c>
      <c r="F71" s="362">
        <f>F66-F64-F55-F16-F12</f>
        <v>11215825</v>
      </c>
    </row>
    <row r="72" spans="1:73" x14ac:dyDescent="0.25">
      <c r="E72" s="316" t="s">
        <v>1156</v>
      </c>
      <c r="F72" s="316">
        <f>F55</f>
        <v>0</v>
      </c>
    </row>
    <row r="73" spans="1:73" x14ac:dyDescent="0.25">
      <c r="E73" s="316" t="s">
        <v>1157</v>
      </c>
      <c r="F73" s="360">
        <f>F16</f>
        <v>0</v>
      </c>
    </row>
    <row r="74" spans="1:73" x14ac:dyDescent="0.25">
      <c r="E74" s="316" t="s">
        <v>1158</v>
      </c>
      <c r="F74" s="360">
        <f>F12</f>
        <v>0</v>
      </c>
    </row>
  </sheetData>
  <mergeCells count="30">
    <mergeCell ref="AO6:AP7"/>
    <mergeCell ref="AU6:AV7"/>
    <mergeCell ref="BM7:BQ7"/>
    <mergeCell ref="AS6:AT7"/>
    <mergeCell ref="AY6:AZ7"/>
    <mergeCell ref="BC6:BD7"/>
    <mergeCell ref="AW6:AX7"/>
    <mergeCell ref="BA6:BB7"/>
    <mergeCell ref="AQ6:AR7"/>
    <mergeCell ref="BU7:BU8"/>
    <mergeCell ref="BE6:BF7"/>
    <mergeCell ref="BG6:BH7"/>
    <mergeCell ref="BI6:BJ7"/>
    <mergeCell ref="BR7:BT7"/>
    <mergeCell ref="AM6:AN7"/>
    <mergeCell ref="AK6:AL7"/>
    <mergeCell ref="Y6:Z7"/>
    <mergeCell ref="A1:C1"/>
    <mergeCell ref="A2:C2"/>
    <mergeCell ref="A3:C3"/>
    <mergeCell ref="A4:C4"/>
    <mergeCell ref="E6:F6"/>
    <mergeCell ref="AI6:AJ7"/>
    <mergeCell ref="G6:P6"/>
    <mergeCell ref="Q6:T7"/>
    <mergeCell ref="AC6:AD7"/>
    <mergeCell ref="AG6:AH7"/>
    <mergeCell ref="AE6:AF7"/>
    <mergeCell ref="AA6:AB7"/>
    <mergeCell ref="U6:X7"/>
  </mergeCells>
  <phoneticPr fontId="2" type="noConversion"/>
  <pageMargins left="0.31" right="0.17" top="0.56000000000000005" bottom="0.41" header="0.3" footer="0.3"/>
  <pageSetup paperSize="9" scale="1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tabColor rgb="FFFF0000"/>
    <pageSetUpPr fitToPage="1"/>
  </sheetPr>
  <dimension ref="A1:BV113"/>
  <sheetViews>
    <sheetView zoomScale="80" zoomScaleNormal="80" workbookViewId="0">
      <pane xSplit="7" ySplit="10" topLeftCell="H98" activePane="bottomRight" state="frozen"/>
      <selection activeCell="A3" sqref="A3"/>
      <selection pane="topRight" activeCell="H3" sqref="H3"/>
      <selection pane="bottomLeft" activeCell="A11" sqref="A11"/>
      <selection pane="bottomRight" activeCell="I117" sqref="I117"/>
    </sheetView>
  </sheetViews>
  <sheetFormatPr defaultColWidth="9.140625" defaultRowHeight="15.75" x14ac:dyDescent="0.25"/>
  <cols>
    <col min="1" max="1" width="9.42578125" style="359" customWidth="1"/>
    <col min="2" max="2" width="10.85546875" style="366" customWidth="1"/>
    <col min="3" max="3" width="42.140625" style="359" customWidth="1"/>
    <col min="4" max="4" width="10.5703125" style="359" customWidth="1"/>
    <col min="5" max="5" width="15.28515625" style="359" bestFit="1" customWidth="1"/>
    <col min="6" max="6" width="7.85546875" style="365" customWidth="1"/>
    <col min="7" max="7" width="20" style="365" customWidth="1"/>
    <col min="8" max="8" width="16" style="365" customWidth="1"/>
    <col min="9" max="9" width="16.5703125" style="365" customWidth="1"/>
    <col min="10" max="11" width="13.140625" style="365" customWidth="1"/>
    <col min="12" max="12" width="14" style="365" customWidth="1"/>
    <col min="13" max="13" width="16.5703125" style="365" customWidth="1"/>
    <col min="14" max="14" width="5.85546875" style="365" customWidth="1"/>
    <col min="15" max="15" width="4.85546875" style="365" customWidth="1"/>
    <col min="16" max="16" width="15.28515625" style="365" customWidth="1"/>
    <col min="17" max="17" width="7.140625" style="365" customWidth="1"/>
    <col min="18" max="18" width="10.5703125" style="363" customWidth="1"/>
    <col min="19" max="19" width="10.85546875" style="363" customWidth="1"/>
    <col min="20" max="20" width="8.7109375" style="363" customWidth="1"/>
    <col min="21" max="21" width="8.5703125" style="363" customWidth="1"/>
    <col min="22" max="22" width="17.85546875" style="364" customWidth="1"/>
    <col min="23" max="25" width="16.7109375" style="364" customWidth="1"/>
    <col min="26" max="26" width="10.28515625" style="365" customWidth="1"/>
    <col min="27" max="27" width="17.7109375" style="365" customWidth="1"/>
    <col min="28" max="28" width="7" style="365" customWidth="1"/>
    <col min="29" max="29" width="17.42578125" style="365" customWidth="1"/>
    <col min="30" max="30" width="10.5703125" style="365" customWidth="1"/>
    <col min="31" max="31" width="18.85546875" style="365" customWidth="1"/>
    <col min="32" max="32" width="9.85546875" style="365" customWidth="1"/>
    <col min="33" max="33" width="19.140625" style="365" customWidth="1"/>
    <col min="34" max="34" width="10" style="365" customWidth="1"/>
    <col min="35" max="35" width="17.7109375" style="365" customWidth="1"/>
    <col min="36" max="36" width="9" style="365" customWidth="1"/>
    <col min="37" max="37" width="18" style="365" customWidth="1"/>
    <col min="38" max="38" width="10.28515625" style="365" customWidth="1"/>
    <col min="39" max="39" width="16" style="365" customWidth="1"/>
    <col min="40" max="40" width="6.85546875" style="365" customWidth="1"/>
    <col min="41" max="41" width="16.7109375" style="365" customWidth="1"/>
    <col min="42" max="42" width="7.7109375" style="365" customWidth="1"/>
    <col min="43" max="43" width="15" style="365" customWidth="1"/>
    <col min="44" max="44" width="8.85546875" style="365" customWidth="1"/>
    <col min="45" max="45" width="18.5703125" style="365" customWidth="1"/>
    <col min="46" max="46" width="9.42578125" style="365" customWidth="1"/>
    <col min="47" max="47" width="18.5703125" style="365" customWidth="1"/>
    <col min="48" max="48" width="11.7109375" style="365" customWidth="1"/>
    <col min="49" max="49" width="16.140625" style="365" customWidth="1"/>
    <col min="50" max="50" width="10.85546875" style="365" customWidth="1"/>
    <col min="51" max="51" width="16.5703125" style="365" customWidth="1"/>
    <col min="52" max="52" width="11.140625" style="365" customWidth="1"/>
    <col min="53" max="53" width="16.85546875" style="365" customWidth="1"/>
    <col min="54" max="54" width="12.7109375" style="365" customWidth="1"/>
    <col min="55" max="55" width="16.5703125" style="365" customWidth="1"/>
    <col min="56" max="56" width="10.28515625" style="365" customWidth="1"/>
    <col min="57" max="57" width="16.5703125" style="365" customWidth="1"/>
    <col min="58" max="58" width="13" style="365" customWidth="1"/>
    <col min="59" max="59" width="18.7109375" style="365" customWidth="1"/>
    <col min="60" max="60" width="7.140625" style="365" customWidth="1"/>
    <col min="61" max="61" width="15.7109375" style="365" customWidth="1"/>
    <col min="62" max="62" width="12" style="365" customWidth="1"/>
    <col min="63" max="63" width="18.140625" style="365" customWidth="1"/>
    <col min="64" max="64" width="26.42578125" style="366" customWidth="1"/>
    <col min="65" max="65" width="18.5703125" style="359" hidden="1" customWidth="1"/>
    <col min="66" max="66" width="16.5703125" style="359" bestFit="1" customWidth="1"/>
    <col min="67" max="67" width="18.140625" style="359" bestFit="1" customWidth="1"/>
    <col min="68" max="68" width="16.5703125" style="359" bestFit="1" customWidth="1"/>
    <col min="69" max="69" width="11.5703125" style="359" customWidth="1"/>
    <col min="70" max="70" width="16.28515625" style="359" bestFit="1" customWidth="1"/>
    <col min="71" max="71" width="21" style="359" customWidth="1"/>
    <col min="72" max="72" width="9.140625" style="359" customWidth="1"/>
    <col min="73" max="73" width="16.7109375" style="359" customWidth="1"/>
    <col min="74" max="74" width="19" style="359" customWidth="1"/>
    <col min="75" max="16384" width="9.140625" style="359"/>
  </cols>
  <sheetData>
    <row r="1" spans="1:74" x14ac:dyDescent="0.25">
      <c r="A1" s="825"/>
      <c r="B1" s="825"/>
      <c r="C1" s="825"/>
      <c r="D1" s="825"/>
      <c r="E1" s="825"/>
      <c r="F1" s="825"/>
      <c r="G1" s="825"/>
      <c r="H1" s="825"/>
      <c r="I1" s="825"/>
      <c r="J1" s="825"/>
      <c r="K1" s="825"/>
      <c r="L1" s="825"/>
      <c r="M1" s="825"/>
      <c r="N1" s="825"/>
      <c r="O1" s="825"/>
      <c r="P1" s="825"/>
      <c r="Q1" s="843"/>
    </row>
    <row r="2" spans="1:74" x14ac:dyDescent="0.25">
      <c r="A2" s="367" t="s">
        <v>158</v>
      </c>
      <c r="B2" s="367"/>
      <c r="C2" s="835" t="s">
        <v>152</v>
      </c>
      <c r="D2" s="835"/>
      <c r="E2" s="835"/>
      <c r="F2" s="835"/>
      <c r="G2" s="835"/>
      <c r="H2" s="835"/>
      <c r="I2" s="835"/>
      <c r="J2" s="835"/>
      <c r="K2" s="835"/>
      <c r="L2" s="835"/>
      <c r="M2" s="835"/>
      <c r="N2" s="835"/>
      <c r="O2" s="835"/>
      <c r="P2" s="835"/>
      <c r="Q2" s="844"/>
      <c r="R2" s="368"/>
      <c r="S2" s="368"/>
      <c r="T2" s="368"/>
      <c r="U2" s="368"/>
      <c r="V2" s="369"/>
      <c r="W2" s="369"/>
      <c r="X2" s="369"/>
      <c r="Y2" s="369"/>
    </row>
    <row r="3" spans="1:74" x14ac:dyDescent="0.25">
      <c r="A3" s="367" t="s">
        <v>154</v>
      </c>
      <c r="B3" s="367"/>
      <c r="C3" s="835" t="s">
        <v>153</v>
      </c>
      <c r="D3" s="835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  <c r="Q3" s="844"/>
      <c r="R3" s="368"/>
      <c r="S3" s="368"/>
      <c r="T3" s="368"/>
      <c r="U3" s="368"/>
      <c r="V3" s="369"/>
      <c r="W3" s="369"/>
      <c r="X3" s="369"/>
      <c r="Y3" s="369"/>
      <c r="Z3" s="365" t="s">
        <v>287</v>
      </c>
      <c r="AA3" s="365">
        <v>8.34</v>
      </c>
      <c r="AC3" s="365">
        <v>2.85</v>
      </c>
      <c r="AE3" s="365">
        <v>8.3800000000000008</v>
      </c>
      <c r="AG3" s="365">
        <v>7.49</v>
      </c>
      <c r="AI3" s="365">
        <v>3.33</v>
      </c>
      <c r="AK3" s="365">
        <v>6.64</v>
      </c>
      <c r="AM3" s="365">
        <v>3.67</v>
      </c>
      <c r="AO3" s="365">
        <v>5.0599999999999996</v>
      </c>
      <c r="AQ3" s="365">
        <v>5.94</v>
      </c>
      <c r="AS3" s="365">
        <v>6.85</v>
      </c>
      <c r="AU3" s="365">
        <v>7.45</v>
      </c>
      <c r="AW3" s="365">
        <v>5.13</v>
      </c>
      <c r="AY3" s="365">
        <v>4.8600000000000003</v>
      </c>
      <c r="BA3" s="365">
        <v>5.79</v>
      </c>
      <c r="BC3" s="365">
        <v>5.3</v>
      </c>
      <c r="BE3" s="365">
        <v>3.47</v>
      </c>
      <c r="BG3" s="365">
        <v>9.42</v>
      </c>
    </row>
    <row r="4" spans="1:74" x14ac:dyDescent="0.25">
      <c r="A4" s="367" t="s">
        <v>155</v>
      </c>
      <c r="B4" s="367"/>
      <c r="C4" s="370" t="s">
        <v>1174</v>
      </c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1"/>
      <c r="R4" s="368"/>
      <c r="S4" s="368"/>
      <c r="T4" s="368"/>
      <c r="U4" s="368"/>
      <c r="V4" s="369"/>
      <c r="W4" s="369"/>
      <c r="X4" s="369"/>
      <c r="Y4" s="369"/>
      <c r="Z4" s="365" t="s">
        <v>285</v>
      </c>
      <c r="AA4" s="365">
        <v>48</v>
      </c>
      <c r="AC4" s="365">
        <v>23</v>
      </c>
      <c r="AE4" s="365">
        <v>80</v>
      </c>
      <c r="AG4" s="365">
        <v>105</v>
      </c>
      <c r="AI4" s="365">
        <v>43</v>
      </c>
      <c r="AK4" s="365">
        <v>75</v>
      </c>
      <c r="AM4" s="365">
        <v>41</v>
      </c>
      <c r="AO4" s="365">
        <v>101</v>
      </c>
      <c r="AQ4" s="365">
        <v>8</v>
      </c>
      <c r="AS4" s="365">
        <v>33</v>
      </c>
      <c r="AU4" s="365">
        <v>53</v>
      </c>
      <c r="AW4" s="365">
        <v>52</v>
      </c>
      <c r="AY4" s="365">
        <v>76</v>
      </c>
      <c r="BA4" s="365">
        <v>82</v>
      </c>
      <c r="BC4" s="365">
        <v>104</v>
      </c>
      <c r="BE4" s="365">
        <v>147</v>
      </c>
      <c r="BG4" s="365">
        <v>54</v>
      </c>
    </row>
    <row r="5" spans="1:74" x14ac:dyDescent="0.25">
      <c r="A5" s="367" t="s">
        <v>168</v>
      </c>
      <c r="B5" s="367"/>
      <c r="C5" s="370" t="s">
        <v>90</v>
      </c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371"/>
      <c r="R5" s="368"/>
      <c r="S5" s="368"/>
      <c r="T5" s="368"/>
      <c r="U5" s="368"/>
      <c r="V5" s="369"/>
      <c r="W5" s="369"/>
      <c r="X5" s="369"/>
      <c r="Y5" s="369"/>
      <c r="Z5" s="365" t="s">
        <v>286</v>
      </c>
      <c r="AA5" s="372">
        <f t="shared" ref="AA5:BG5" si="0">AA4/1125*100</f>
        <v>4.2666666666666666</v>
      </c>
      <c r="AB5" s="372">
        <f t="shared" si="0"/>
        <v>0</v>
      </c>
      <c r="AC5" s="372">
        <f t="shared" si="0"/>
        <v>2.0444444444444447</v>
      </c>
      <c r="AD5" s="372">
        <f t="shared" si="0"/>
        <v>0</v>
      </c>
      <c r="AE5" s="372">
        <f t="shared" si="0"/>
        <v>7.1111111111111107</v>
      </c>
      <c r="AF5" s="372">
        <f t="shared" si="0"/>
        <v>0</v>
      </c>
      <c r="AG5" s="372">
        <f t="shared" si="0"/>
        <v>9.3333333333333339</v>
      </c>
      <c r="AH5" s="372">
        <f t="shared" si="0"/>
        <v>0</v>
      </c>
      <c r="AI5" s="372">
        <f t="shared" si="0"/>
        <v>3.822222222222222</v>
      </c>
      <c r="AJ5" s="372">
        <f t="shared" si="0"/>
        <v>0</v>
      </c>
      <c r="AK5" s="372">
        <f t="shared" si="0"/>
        <v>6.666666666666667</v>
      </c>
      <c r="AL5" s="372">
        <f t="shared" si="0"/>
        <v>0</v>
      </c>
      <c r="AM5" s="372">
        <f t="shared" si="0"/>
        <v>3.6444444444444448</v>
      </c>
      <c r="AN5" s="372">
        <f t="shared" si="0"/>
        <v>0</v>
      </c>
      <c r="AO5" s="372">
        <f t="shared" si="0"/>
        <v>8.9777777777777779</v>
      </c>
      <c r="AP5" s="372">
        <f t="shared" si="0"/>
        <v>0</v>
      </c>
      <c r="AQ5" s="372">
        <f t="shared" si="0"/>
        <v>0.71111111111111114</v>
      </c>
      <c r="AR5" s="372">
        <f t="shared" si="0"/>
        <v>0</v>
      </c>
      <c r="AS5" s="372">
        <f t="shared" si="0"/>
        <v>2.9333333333333331</v>
      </c>
      <c r="AT5" s="372">
        <f t="shared" si="0"/>
        <v>0</v>
      </c>
      <c r="AU5" s="372">
        <f t="shared" si="0"/>
        <v>4.7111111111111112</v>
      </c>
      <c r="AV5" s="372">
        <f t="shared" si="0"/>
        <v>0</v>
      </c>
      <c r="AW5" s="372">
        <f t="shared" si="0"/>
        <v>4.6222222222222218</v>
      </c>
      <c r="AX5" s="372">
        <f t="shared" si="0"/>
        <v>0</v>
      </c>
      <c r="AY5" s="372">
        <f t="shared" si="0"/>
        <v>6.7555555555555546</v>
      </c>
      <c r="AZ5" s="372">
        <f t="shared" si="0"/>
        <v>0</v>
      </c>
      <c r="BA5" s="372">
        <f t="shared" si="0"/>
        <v>7.2888888888888896</v>
      </c>
      <c r="BB5" s="372">
        <f t="shared" si="0"/>
        <v>0</v>
      </c>
      <c r="BC5" s="372">
        <f t="shared" si="0"/>
        <v>9.2444444444444436</v>
      </c>
      <c r="BD5" s="372">
        <f t="shared" si="0"/>
        <v>0</v>
      </c>
      <c r="BE5" s="372">
        <f t="shared" si="0"/>
        <v>13.066666666666665</v>
      </c>
      <c r="BF5" s="372">
        <f t="shared" si="0"/>
        <v>0</v>
      </c>
      <c r="BG5" s="372">
        <f t="shared" si="0"/>
        <v>4.8</v>
      </c>
    </row>
    <row r="6" spans="1:74" x14ac:dyDescent="0.25">
      <c r="A6" s="367" t="s">
        <v>174</v>
      </c>
      <c r="B6" s="367"/>
      <c r="C6" s="370" t="s">
        <v>175</v>
      </c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1"/>
      <c r="R6" s="368"/>
      <c r="S6" s="368"/>
      <c r="T6" s="368"/>
      <c r="U6" s="368"/>
      <c r="V6" s="369"/>
      <c r="W6" s="369"/>
      <c r="X6" s="369"/>
      <c r="Y6" s="369"/>
    </row>
    <row r="7" spans="1:74" ht="15.75" customHeight="1" x14ac:dyDescent="0.25">
      <c r="A7" s="835"/>
      <c r="B7" s="835"/>
      <c r="C7" s="835"/>
      <c r="D7" s="835"/>
      <c r="E7" s="370"/>
      <c r="F7" s="836" t="s">
        <v>21</v>
      </c>
      <c r="G7" s="836"/>
      <c r="H7" s="837" t="s">
        <v>151</v>
      </c>
      <c r="I7" s="838"/>
      <c r="J7" s="838"/>
      <c r="K7" s="838"/>
      <c r="L7" s="838"/>
      <c r="M7" s="838"/>
      <c r="N7" s="838"/>
      <c r="O7" s="838"/>
      <c r="P7" s="838"/>
      <c r="Q7" s="839"/>
      <c r="R7" s="841" t="s">
        <v>61</v>
      </c>
      <c r="S7" s="841"/>
      <c r="T7" s="841"/>
      <c r="U7" s="841"/>
      <c r="V7" s="842" t="s">
        <v>6</v>
      </c>
      <c r="W7" s="842"/>
      <c r="X7" s="842"/>
      <c r="Y7" s="842"/>
      <c r="Z7" s="834" t="s">
        <v>179</v>
      </c>
      <c r="AA7" s="834"/>
      <c r="AB7" s="834" t="s">
        <v>180</v>
      </c>
      <c r="AC7" s="834"/>
      <c r="AD7" s="834" t="s">
        <v>181</v>
      </c>
      <c r="AE7" s="834"/>
      <c r="AF7" s="834" t="s">
        <v>182</v>
      </c>
      <c r="AG7" s="834"/>
      <c r="AH7" s="846" t="s">
        <v>183</v>
      </c>
      <c r="AI7" s="846"/>
      <c r="AJ7" s="834" t="s">
        <v>184</v>
      </c>
      <c r="AK7" s="834"/>
      <c r="AL7" s="834" t="s">
        <v>185</v>
      </c>
      <c r="AM7" s="834"/>
      <c r="AN7" s="834" t="s">
        <v>186</v>
      </c>
      <c r="AO7" s="834"/>
      <c r="AP7" s="834" t="s">
        <v>187</v>
      </c>
      <c r="AQ7" s="834"/>
      <c r="AR7" s="834" t="s">
        <v>188</v>
      </c>
      <c r="AS7" s="834"/>
      <c r="AT7" s="834" t="s">
        <v>189</v>
      </c>
      <c r="AU7" s="834"/>
      <c r="AV7" s="834" t="s">
        <v>190</v>
      </c>
      <c r="AW7" s="834"/>
      <c r="AX7" s="834" t="s">
        <v>191</v>
      </c>
      <c r="AY7" s="834"/>
      <c r="AZ7" s="834" t="s">
        <v>192</v>
      </c>
      <c r="BA7" s="834"/>
      <c r="BB7" s="834" t="s">
        <v>193</v>
      </c>
      <c r="BC7" s="834"/>
      <c r="BD7" s="834" t="s">
        <v>194</v>
      </c>
      <c r="BE7" s="834"/>
      <c r="BF7" s="834" t="s">
        <v>195</v>
      </c>
      <c r="BG7" s="834"/>
      <c r="BH7" s="834" t="s">
        <v>196</v>
      </c>
      <c r="BI7" s="834"/>
      <c r="BJ7" s="846" t="s">
        <v>17</v>
      </c>
      <c r="BK7" s="846"/>
      <c r="BL7" s="326"/>
      <c r="BM7" s="848"/>
      <c r="BV7" s="373"/>
    </row>
    <row r="8" spans="1:74" s="378" customFormat="1" ht="27" customHeight="1" x14ac:dyDescent="0.25">
      <c r="A8" s="374" t="s">
        <v>13</v>
      </c>
      <c r="B8" s="375" t="s">
        <v>20</v>
      </c>
      <c r="C8" s="847" t="s">
        <v>12</v>
      </c>
      <c r="D8" s="847" t="s">
        <v>14</v>
      </c>
      <c r="E8" s="847" t="s">
        <v>177</v>
      </c>
      <c r="F8" s="840" t="s">
        <v>19</v>
      </c>
      <c r="G8" s="840" t="s">
        <v>25</v>
      </c>
      <c r="H8" s="376" t="s">
        <v>199</v>
      </c>
      <c r="I8" s="376" t="s">
        <v>200</v>
      </c>
      <c r="J8" s="376" t="s">
        <v>201</v>
      </c>
      <c r="K8" s="376" t="s">
        <v>202</v>
      </c>
      <c r="L8" s="376" t="s">
        <v>203</v>
      </c>
      <c r="M8" s="376" t="s">
        <v>204</v>
      </c>
      <c r="N8" s="376" t="s">
        <v>889</v>
      </c>
      <c r="O8" s="376" t="s">
        <v>205</v>
      </c>
      <c r="P8" s="376" t="s">
        <v>206</v>
      </c>
      <c r="Q8" s="376" t="s">
        <v>740</v>
      </c>
      <c r="R8" s="841"/>
      <c r="S8" s="841"/>
      <c r="T8" s="841"/>
      <c r="U8" s="841"/>
      <c r="V8" s="842"/>
      <c r="W8" s="842"/>
      <c r="X8" s="842"/>
      <c r="Y8" s="842"/>
      <c r="Z8" s="834"/>
      <c r="AA8" s="834"/>
      <c r="AB8" s="834" t="s">
        <v>43</v>
      </c>
      <c r="AC8" s="834"/>
      <c r="AD8" s="834" t="s">
        <v>44</v>
      </c>
      <c r="AE8" s="834"/>
      <c r="AF8" s="834" t="s">
        <v>45</v>
      </c>
      <c r="AG8" s="834"/>
      <c r="AH8" s="846" t="s">
        <v>46</v>
      </c>
      <c r="AI8" s="846"/>
      <c r="AJ8" s="834" t="s">
        <v>47</v>
      </c>
      <c r="AK8" s="834"/>
      <c r="AL8" s="834" t="s">
        <v>48</v>
      </c>
      <c r="AM8" s="834"/>
      <c r="AN8" s="834" t="s">
        <v>49</v>
      </c>
      <c r="AO8" s="834"/>
      <c r="AP8" s="834" t="s">
        <v>50</v>
      </c>
      <c r="AQ8" s="834"/>
      <c r="AR8" s="834" t="s">
        <v>51</v>
      </c>
      <c r="AS8" s="834"/>
      <c r="AT8" s="834" t="s">
        <v>52</v>
      </c>
      <c r="AU8" s="834"/>
      <c r="AV8" s="834" t="s">
        <v>53</v>
      </c>
      <c r="AW8" s="834"/>
      <c r="AX8" s="834" t="s">
        <v>54</v>
      </c>
      <c r="AY8" s="834"/>
      <c r="AZ8" s="834" t="s">
        <v>55</v>
      </c>
      <c r="BA8" s="834"/>
      <c r="BB8" s="834" t="s">
        <v>40</v>
      </c>
      <c r="BC8" s="834"/>
      <c r="BD8" s="834" t="s">
        <v>37</v>
      </c>
      <c r="BE8" s="834"/>
      <c r="BF8" s="834"/>
      <c r="BG8" s="834"/>
      <c r="BH8" s="834"/>
      <c r="BI8" s="834"/>
      <c r="BJ8" s="846"/>
      <c r="BK8" s="846"/>
      <c r="BL8" s="377" t="s">
        <v>229</v>
      </c>
      <c r="BM8" s="848"/>
      <c r="BN8" s="845" t="s">
        <v>227</v>
      </c>
      <c r="BO8" s="845"/>
      <c r="BP8" s="845"/>
      <c r="BQ8" s="845"/>
      <c r="BR8" s="845"/>
      <c r="BS8" s="845" t="s">
        <v>228</v>
      </c>
      <c r="BT8" s="845"/>
      <c r="BU8" s="845"/>
      <c r="BV8" s="825" t="s">
        <v>17</v>
      </c>
    </row>
    <row r="9" spans="1:74" s="378" customFormat="1" ht="36.75" customHeight="1" x14ac:dyDescent="0.25">
      <c r="A9" s="374"/>
      <c r="B9" s="375"/>
      <c r="C9" s="847"/>
      <c r="D9" s="847"/>
      <c r="E9" s="847" t="s">
        <v>22</v>
      </c>
      <c r="F9" s="840" t="s">
        <v>23</v>
      </c>
      <c r="G9" s="840"/>
      <c r="H9" s="379"/>
      <c r="I9" s="379"/>
      <c r="J9" s="379"/>
      <c r="K9" s="379"/>
      <c r="L9" s="379"/>
      <c r="M9" s="379"/>
      <c r="N9" s="379"/>
      <c r="O9" s="379"/>
      <c r="P9" s="379"/>
      <c r="Q9" s="379"/>
      <c r="R9" s="380" t="s">
        <v>7</v>
      </c>
      <c r="S9" s="380" t="s">
        <v>8</v>
      </c>
      <c r="T9" s="380" t="s">
        <v>9</v>
      </c>
      <c r="U9" s="380" t="s">
        <v>10</v>
      </c>
      <c r="V9" s="381" t="s">
        <v>7</v>
      </c>
      <c r="W9" s="381" t="s">
        <v>8</v>
      </c>
      <c r="X9" s="381" t="s">
        <v>9</v>
      </c>
      <c r="Y9" s="381" t="s">
        <v>10</v>
      </c>
      <c r="Z9" s="381" t="s">
        <v>14</v>
      </c>
      <c r="AA9" s="381" t="s">
        <v>15</v>
      </c>
      <c r="AB9" s="381" t="s">
        <v>14</v>
      </c>
      <c r="AC9" s="381" t="s">
        <v>15</v>
      </c>
      <c r="AD9" s="381" t="s">
        <v>14</v>
      </c>
      <c r="AE9" s="381" t="s">
        <v>15</v>
      </c>
      <c r="AF9" s="381" t="s">
        <v>14</v>
      </c>
      <c r="AG9" s="381" t="s">
        <v>15</v>
      </c>
      <c r="AH9" s="381" t="s">
        <v>14</v>
      </c>
      <c r="AI9" s="381" t="s">
        <v>15</v>
      </c>
      <c r="AJ9" s="381" t="s">
        <v>14</v>
      </c>
      <c r="AK9" s="381" t="s">
        <v>15</v>
      </c>
      <c r="AL9" s="381" t="s">
        <v>14</v>
      </c>
      <c r="AM9" s="381" t="s">
        <v>15</v>
      </c>
      <c r="AN9" s="381" t="s">
        <v>14</v>
      </c>
      <c r="AO9" s="381" t="s">
        <v>15</v>
      </c>
      <c r="AP9" s="381" t="s">
        <v>14</v>
      </c>
      <c r="AQ9" s="381" t="s">
        <v>15</v>
      </c>
      <c r="AR9" s="381" t="s">
        <v>14</v>
      </c>
      <c r="AS9" s="381" t="s">
        <v>15</v>
      </c>
      <c r="AT9" s="381" t="s">
        <v>14</v>
      </c>
      <c r="AU9" s="381" t="s">
        <v>15</v>
      </c>
      <c r="AV9" s="381" t="s">
        <v>14</v>
      </c>
      <c r="AW9" s="381" t="s">
        <v>15</v>
      </c>
      <c r="AX9" s="381" t="s">
        <v>14</v>
      </c>
      <c r="AY9" s="381" t="s">
        <v>15</v>
      </c>
      <c r="AZ9" s="381" t="s">
        <v>14</v>
      </c>
      <c r="BA9" s="381" t="s">
        <v>15</v>
      </c>
      <c r="BB9" s="381" t="s">
        <v>14</v>
      </c>
      <c r="BC9" s="381" t="s">
        <v>15</v>
      </c>
      <c r="BD9" s="381" t="s">
        <v>14</v>
      </c>
      <c r="BE9" s="381" t="s">
        <v>15</v>
      </c>
      <c r="BF9" s="381" t="s">
        <v>14</v>
      </c>
      <c r="BG9" s="381" t="s">
        <v>15</v>
      </c>
      <c r="BH9" s="381" t="s">
        <v>14</v>
      </c>
      <c r="BI9" s="381" t="s">
        <v>15</v>
      </c>
      <c r="BJ9" s="381" t="s">
        <v>14</v>
      </c>
      <c r="BK9" s="381" t="s">
        <v>15</v>
      </c>
      <c r="BL9" s="377"/>
      <c r="BM9" s="848"/>
      <c r="BN9" s="370" t="s">
        <v>218</v>
      </c>
      <c r="BO9" s="382" t="s">
        <v>219</v>
      </c>
      <c r="BP9" s="382" t="s">
        <v>220</v>
      </c>
      <c r="BQ9" s="367" t="s">
        <v>221</v>
      </c>
      <c r="BR9" s="382" t="s">
        <v>222</v>
      </c>
      <c r="BS9" s="382" t="s">
        <v>223</v>
      </c>
      <c r="BT9" s="382" t="s">
        <v>224</v>
      </c>
      <c r="BU9" s="382" t="s">
        <v>225</v>
      </c>
      <c r="BV9" s="825"/>
    </row>
    <row r="10" spans="1:74" ht="14.45" customHeight="1" x14ac:dyDescent="0.25">
      <c r="A10" s="383" t="s">
        <v>90</v>
      </c>
      <c r="B10" s="377"/>
      <c r="C10" s="384" t="s">
        <v>314</v>
      </c>
      <c r="D10" s="385"/>
      <c r="E10" s="385"/>
      <c r="F10" s="386"/>
      <c r="G10" s="387"/>
      <c r="H10" s="387"/>
      <c r="I10" s="387"/>
      <c r="J10" s="387"/>
      <c r="K10" s="387"/>
      <c r="L10" s="387"/>
      <c r="M10" s="387"/>
      <c r="N10" s="387"/>
      <c r="O10" s="386"/>
      <c r="P10" s="386"/>
      <c r="Q10" s="386"/>
      <c r="R10" s="388"/>
      <c r="S10" s="388"/>
      <c r="T10" s="389"/>
      <c r="U10" s="389"/>
      <c r="V10" s="390"/>
      <c r="W10" s="390"/>
      <c r="X10" s="390"/>
      <c r="Y10" s="390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1"/>
      <c r="AL10" s="391"/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2"/>
      <c r="BA10" s="391"/>
      <c r="BB10" s="391"/>
      <c r="BC10" s="391"/>
      <c r="BD10" s="391"/>
      <c r="BE10" s="391"/>
      <c r="BF10" s="391"/>
      <c r="BG10" s="391"/>
      <c r="BH10" s="391"/>
      <c r="BI10" s="391"/>
      <c r="BJ10" s="391"/>
      <c r="BK10" s="391"/>
      <c r="BL10" s="385"/>
      <c r="BN10" s="251"/>
      <c r="BO10" s="251"/>
      <c r="BP10" s="251"/>
      <c r="BQ10" s="251"/>
      <c r="BR10" s="251"/>
      <c r="BS10" s="251"/>
      <c r="BT10" s="251"/>
      <c r="BU10" s="251"/>
      <c r="BV10" s="393">
        <f t="shared" ref="BV10:BV35" si="1">BR10+BU10</f>
        <v>0</v>
      </c>
    </row>
    <row r="11" spans="1:74" ht="28.5" customHeight="1" x14ac:dyDescent="0.25">
      <c r="A11" s="394"/>
      <c r="C11" s="714" t="s">
        <v>1182</v>
      </c>
      <c r="D11" s="385"/>
      <c r="E11" s="385"/>
      <c r="F11" s="386"/>
      <c r="G11" s="387"/>
      <c r="H11" s="387"/>
      <c r="I11" s="387"/>
      <c r="J11" s="387"/>
      <c r="K11" s="387"/>
      <c r="L11" s="387"/>
      <c r="M11" s="387"/>
      <c r="N11" s="387"/>
      <c r="O11" s="386"/>
      <c r="P11" s="386"/>
      <c r="Q11" s="386"/>
      <c r="R11" s="388"/>
      <c r="S11" s="388"/>
      <c r="T11" s="389"/>
      <c r="U11" s="389"/>
      <c r="V11" s="390"/>
      <c r="W11" s="390"/>
      <c r="X11" s="390"/>
      <c r="Y11" s="390"/>
      <c r="Z11" s="391"/>
      <c r="AA11" s="391"/>
      <c r="AB11" s="391"/>
      <c r="AC11" s="391"/>
      <c r="AD11" s="391"/>
      <c r="AE11" s="391"/>
      <c r="AF11" s="391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1"/>
      <c r="AX11" s="391"/>
      <c r="AY11" s="391"/>
      <c r="AZ11" s="392"/>
      <c r="BA11" s="391"/>
      <c r="BB11" s="391"/>
      <c r="BC11" s="391"/>
      <c r="BD11" s="391"/>
      <c r="BE11" s="391"/>
      <c r="BF11" s="391"/>
      <c r="BG11" s="391"/>
      <c r="BH11" s="391"/>
      <c r="BI11" s="391"/>
      <c r="BJ11" s="391"/>
      <c r="BK11" s="391"/>
      <c r="BL11" s="385"/>
      <c r="BN11" s="251"/>
      <c r="BO11" s="251"/>
      <c r="BP11" s="251"/>
      <c r="BQ11" s="251"/>
      <c r="BR11" s="251"/>
      <c r="BS11" s="251"/>
      <c r="BT11" s="251"/>
      <c r="BU11" s="251"/>
      <c r="BV11" s="393">
        <f t="shared" si="1"/>
        <v>0</v>
      </c>
    </row>
    <row r="12" spans="1:74" ht="63" x14ac:dyDescent="0.25">
      <c r="A12" s="394"/>
      <c r="C12" s="714" t="s">
        <v>1202</v>
      </c>
      <c r="D12" s="385" t="s">
        <v>238</v>
      </c>
      <c r="E12" s="385">
        <v>8000</v>
      </c>
      <c r="F12" s="395">
        <f>BJ12</f>
        <v>1128</v>
      </c>
      <c r="G12" s="396">
        <f>F12*E12</f>
        <v>9024000</v>
      </c>
      <c r="H12" s="397">
        <f>G12*0.2</f>
        <v>1804800</v>
      </c>
      <c r="I12" s="397">
        <f>G12*0.8</f>
        <v>7219200</v>
      </c>
      <c r="J12" s="387"/>
      <c r="K12" s="387"/>
      <c r="L12" s="387"/>
      <c r="M12" s="387"/>
      <c r="N12" s="387"/>
      <c r="O12" s="386"/>
      <c r="P12" s="386"/>
      <c r="Q12" s="386"/>
      <c r="R12" s="392">
        <f>F12*0.4</f>
        <v>451.20000000000005</v>
      </c>
      <c r="S12" s="392">
        <f>F12*0.4</f>
        <v>451.20000000000005</v>
      </c>
      <c r="T12" s="392">
        <f>F12*0.2</f>
        <v>225.60000000000002</v>
      </c>
      <c r="U12" s="392">
        <f>F12*0</f>
        <v>0</v>
      </c>
      <c r="V12" s="391">
        <f>R12*E12</f>
        <v>3609600.0000000005</v>
      </c>
      <c r="W12" s="391">
        <f>S12*E12</f>
        <v>3609600.0000000005</v>
      </c>
      <c r="X12" s="391">
        <f>T12*E12</f>
        <v>1804800.0000000002</v>
      </c>
      <c r="Y12" s="391">
        <f>U12*E12</f>
        <v>0</v>
      </c>
      <c r="Z12" s="391">
        <v>58</v>
      </c>
      <c r="AA12" s="391">
        <f>Z12*E12</f>
        <v>464000</v>
      </c>
      <c r="AB12" s="391">
        <v>22</v>
      </c>
      <c r="AC12" s="391">
        <f>AB12*E12</f>
        <v>176000</v>
      </c>
      <c r="AD12" s="391">
        <v>68</v>
      </c>
      <c r="AE12" s="391">
        <f>AD12*E12</f>
        <v>544000</v>
      </c>
      <c r="AF12" s="391">
        <v>90</v>
      </c>
      <c r="AG12" s="391">
        <f>AF12*E12</f>
        <v>720000</v>
      </c>
      <c r="AH12" s="391">
        <v>46</v>
      </c>
      <c r="AI12" s="391">
        <f>AH12*E12</f>
        <v>368000</v>
      </c>
      <c r="AJ12" s="391">
        <v>144</v>
      </c>
      <c r="AK12" s="391">
        <f>AJ12*E12</f>
        <v>1152000</v>
      </c>
      <c r="AL12" s="391">
        <v>32</v>
      </c>
      <c r="AM12" s="391">
        <f>AL12*E12</f>
        <v>256000</v>
      </c>
      <c r="AN12" s="391">
        <v>22</v>
      </c>
      <c r="AO12" s="391">
        <f>AN12*E12</f>
        <v>176000</v>
      </c>
      <c r="AP12" s="391">
        <v>16</v>
      </c>
      <c r="AQ12" s="391">
        <f>AP12*E12</f>
        <v>128000</v>
      </c>
      <c r="AR12" s="391">
        <v>66</v>
      </c>
      <c r="AS12" s="391">
        <f>AR12*E12</f>
        <v>528000</v>
      </c>
      <c r="AT12" s="391">
        <v>50</v>
      </c>
      <c r="AU12" s="391">
        <f>AT12*E12</f>
        <v>400000</v>
      </c>
      <c r="AV12" s="391">
        <v>68</v>
      </c>
      <c r="AW12" s="391">
        <f>AV12*E12</f>
        <v>544000</v>
      </c>
      <c r="AX12" s="391">
        <v>56</v>
      </c>
      <c r="AY12" s="391">
        <f>AX12*E12</f>
        <v>448000</v>
      </c>
      <c r="AZ12" s="392">
        <v>46</v>
      </c>
      <c r="BA12" s="391">
        <f>AZ12*E12</f>
        <v>368000</v>
      </c>
      <c r="BB12" s="391">
        <v>214</v>
      </c>
      <c r="BC12" s="391">
        <f>BB12*E12</f>
        <v>1712000</v>
      </c>
      <c r="BD12" s="391">
        <v>68</v>
      </c>
      <c r="BE12" s="391">
        <f>BD12*E12</f>
        <v>544000</v>
      </c>
      <c r="BF12" s="391">
        <v>62</v>
      </c>
      <c r="BG12" s="391">
        <f>BF12*E12</f>
        <v>496000</v>
      </c>
      <c r="BH12" s="391"/>
      <c r="BI12" s="391"/>
      <c r="BJ12" s="392">
        <f t="shared" ref="BJ12:BK16" si="2">BH12+BF12+BD12+BB12+AZ12+AX12+AV12+AT12+AR12+AP12+AN12+AL12+AJ12+AH12+AF12+AD12+AB12+Z12</f>
        <v>1128</v>
      </c>
      <c r="BK12" s="392">
        <f t="shared" si="2"/>
        <v>9024000</v>
      </c>
      <c r="BL12" s="385" t="s">
        <v>209</v>
      </c>
      <c r="BN12" s="251"/>
      <c r="BO12" s="251">
        <f>G12</f>
        <v>9024000</v>
      </c>
      <c r="BP12" s="251"/>
      <c r="BQ12" s="251"/>
      <c r="BR12" s="251">
        <f>BN12+BO12+BP12+BQ12</f>
        <v>9024000</v>
      </c>
      <c r="BS12" s="251"/>
      <c r="BT12" s="251"/>
      <c r="BU12" s="251">
        <f>BS12+BT12</f>
        <v>0</v>
      </c>
      <c r="BV12" s="393">
        <f t="shared" ref="BV12" si="3">BR12+BU12</f>
        <v>9024000</v>
      </c>
    </row>
    <row r="13" spans="1:74" x14ac:dyDescent="0.25">
      <c r="A13" s="394"/>
      <c r="B13" s="377" t="s">
        <v>728</v>
      </c>
      <c r="C13" s="398" t="s">
        <v>948</v>
      </c>
      <c r="D13" s="385" t="s">
        <v>70</v>
      </c>
      <c r="E13" s="399">
        <v>150</v>
      </c>
      <c r="F13" s="395">
        <f>BJ13</f>
        <v>0</v>
      </c>
      <c r="G13" s="396">
        <f>F13*E13</f>
        <v>0</v>
      </c>
      <c r="H13" s="397">
        <f>G13*0.2</f>
        <v>0</v>
      </c>
      <c r="I13" s="397">
        <f>G13*0.8</f>
        <v>0</v>
      </c>
      <c r="J13" s="396"/>
      <c r="K13" s="396"/>
      <c r="L13" s="396"/>
      <c r="M13" s="396"/>
      <c r="N13" s="396"/>
      <c r="O13" s="396"/>
      <c r="P13" s="396"/>
      <c r="Q13" s="396"/>
      <c r="R13" s="392">
        <f>F13*0.25</f>
        <v>0</v>
      </c>
      <c r="S13" s="392">
        <f>F13*0.25</f>
        <v>0</v>
      </c>
      <c r="T13" s="392">
        <f>F13*0.25</f>
        <v>0</v>
      </c>
      <c r="U13" s="392">
        <f>F13*0.25</f>
        <v>0</v>
      </c>
      <c r="V13" s="391">
        <f>R13*E13</f>
        <v>0</v>
      </c>
      <c r="W13" s="391">
        <f>S13*E13</f>
        <v>0</v>
      </c>
      <c r="X13" s="391">
        <f>T13*E13</f>
        <v>0</v>
      </c>
      <c r="Y13" s="391">
        <f>U13*E13</f>
        <v>0</v>
      </c>
      <c r="Z13" s="392">
        <v>0</v>
      </c>
      <c r="AA13" s="391">
        <f>Z13*E13</f>
        <v>0</v>
      </c>
      <c r="AB13" s="392">
        <v>0</v>
      </c>
      <c r="AC13" s="391">
        <f>AB13*E13</f>
        <v>0</v>
      </c>
      <c r="AD13" s="392">
        <v>0</v>
      </c>
      <c r="AE13" s="391">
        <f>AD13*E13</f>
        <v>0</v>
      </c>
      <c r="AF13" s="392">
        <v>0</v>
      </c>
      <c r="AG13" s="391">
        <f>AF13*E13</f>
        <v>0</v>
      </c>
      <c r="AH13" s="392">
        <v>0</v>
      </c>
      <c r="AI13" s="391">
        <f>AH13*E13</f>
        <v>0</v>
      </c>
      <c r="AJ13" s="392">
        <v>0</v>
      </c>
      <c r="AK13" s="391">
        <f>AJ13*E13</f>
        <v>0</v>
      </c>
      <c r="AL13" s="392">
        <v>0</v>
      </c>
      <c r="AM13" s="391">
        <f>AL13*E13</f>
        <v>0</v>
      </c>
      <c r="AN13" s="392">
        <v>0</v>
      </c>
      <c r="AO13" s="391">
        <f>AN13*E13</f>
        <v>0</v>
      </c>
      <c r="AP13" s="392">
        <v>0</v>
      </c>
      <c r="AQ13" s="391">
        <f>AP13*E13</f>
        <v>0</v>
      </c>
      <c r="AR13" s="392">
        <v>0</v>
      </c>
      <c r="AS13" s="391">
        <f>AR13*E13</f>
        <v>0</v>
      </c>
      <c r="AT13" s="392">
        <v>0</v>
      </c>
      <c r="AU13" s="391">
        <f>AT13*E13</f>
        <v>0</v>
      </c>
      <c r="AV13" s="392">
        <v>0</v>
      </c>
      <c r="AW13" s="391">
        <f>AV13*E13</f>
        <v>0</v>
      </c>
      <c r="AX13" s="392">
        <v>0</v>
      </c>
      <c r="AY13" s="391">
        <f>AX13*E13</f>
        <v>0</v>
      </c>
      <c r="AZ13" s="392">
        <v>0</v>
      </c>
      <c r="BA13" s="391">
        <f>AZ13*E13</f>
        <v>0</v>
      </c>
      <c r="BB13" s="392">
        <v>0</v>
      </c>
      <c r="BC13" s="391">
        <f>BB13*E13</f>
        <v>0</v>
      </c>
      <c r="BD13" s="392">
        <v>0</v>
      </c>
      <c r="BE13" s="391">
        <f>BD13*E13</f>
        <v>0</v>
      </c>
      <c r="BF13" s="392">
        <v>0</v>
      </c>
      <c r="BG13" s="391">
        <f>BF13*E13</f>
        <v>0</v>
      </c>
      <c r="BH13" s="392"/>
      <c r="BI13" s="391">
        <f>BH13*E13</f>
        <v>0</v>
      </c>
      <c r="BJ13" s="392">
        <f t="shared" si="2"/>
        <v>0</v>
      </c>
      <c r="BK13" s="392">
        <f t="shared" si="2"/>
        <v>0</v>
      </c>
      <c r="BL13" s="385" t="s">
        <v>209</v>
      </c>
      <c r="BM13" s="400"/>
      <c r="BN13" s="251"/>
      <c r="BO13" s="251">
        <f>G13</f>
        <v>0</v>
      </c>
      <c r="BP13" s="251"/>
      <c r="BQ13" s="251"/>
      <c r="BR13" s="251">
        <f>BN13+BO13+BP13+BQ13</f>
        <v>0</v>
      </c>
      <c r="BS13" s="251"/>
      <c r="BT13" s="251"/>
      <c r="BU13" s="251">
        <f>BS13+BT13</f>
        <v>0</v>
      </c>
      <c r="BV13" s="393">
        <f t="shared" si="1"/>
        <v>0</v>
      </c>
    </row>
    <row r="14" spans="1:74" x14ac:dyDescent="0.25">
      <c r="A14" s="394"/>
      <c r="B14" s="377" t="s">
        <v>729</v>
      </c>
      <c r="C14" s="398" t="s">
        <v>949</v>
      </c>
      <c r="D14" s="385" t="s">
        <v>70</v>
      </c>
      <c r="E14" s="399">
        <v>150</v>
      </c>
      <c r="F14" s="395">
        <f>BJ14</f>
        <v>0</v>
      </c>
      <c r="G14" s="396">
        <f>F14*E14</f>
        <v>0</v>
      </c>
      <c r="H14" s="397">
        <f>G14*0.2</f>
        <v>0</v>
      </c>
      <c r="I14" s="397">
        <f>G14*0.8</f>
        <v>0</v>
      </c>
      <c r="J14" s="396"/>
      <c r="K14" s="396"/>
      <c r="L14" s="396"/>
      <c r="M14" s="396"/>
      <c r="N14" s="396"/>
      <c r="O14" s="396"/>
      <c r="P14" s="396"/>
      <c r="Q14" s="396"/>
      <c r="R14" s="392">
        <f>F14*0.25</f>
        <v>0</v>
      </c>
      <c r="S14" s="392">
        <f>F14*0.25</f>
        <v>0</v>
      </c>
      <c r="T14" s="392">
        <f>F14*0.25</f>
        <v>0</v>
      </c>
      <c r="U14" s="392">
        <f>F14*0.25</f>
        <v>0</v>
      </c>
      <c r="V14" s="391">
        <f>R14*E14</f>
        <v>0</v>
      </c>
      <c r="W14" s="391">
        <f>S14*E14</f>
        <v>0</v>
      </c>
      <c r="X14" s="391">
        <f>T14*E14</f>
        <v>0</v>
      </c>
      <c r="Y14" s="391">
        <f>U14*E14</f>
        <v>0</v>
      </c>
      <c r="Z14" s="392">
        <v>0</v>
      </c>
      <c r="AA14" s="391">
        <f>Z14*E14</f>
        <v>0</v>
      </c>
      <c r="AB14" s="392">
        <v>0</v>
      </c>
      <c r="AC14" s="391">
        <f>AB14*E14</f>
        <v>0</v>
      </c>
      <c r="AD14" s="392">
        <v>0</v>
      </c>
      <c r="AE14" s="391">
        <f>AD14*E14</f>
        <v>0</v>
      </c>
      <c r="AF14" s="392">
        <v>0</v>
      </c>
      <c r="AG14" s="391">
        <f>AF14*E14</f>
        <v>0</v>
      </c>
      <c r="AH14" s="392">
        <v>0</v>
      </c>
      <c r="AI14" s="391">
        <f>AH14*E14</f>
        <v>0</v>
      </c>
      <c r="AJ14" s="392">
        <v>0</v>
      </c>
      <c r="AK14" s="391">
        <f>AJ14*E14</f>
        <v>0</v>
      </c>
      <c r="AL14" s="392">
        <v>0</v>
      </c>
      <c r="AM14" s="391">
        <f>AL14*E14</f>
        <v>0</v>
      </c>
      <c r="AN14" s="392">
        <v>0</v>
      </c>
      <c r="AO14" s="391">
        <f>AN14*E14</f>
        <v>0</v>
      </c>
      <c r="AP14" s="392">
        <v>0</v>
      </c>
      <c r="AQ14" s="391">
        <f>AP14*E14</f>
        <v>0</v>
      </c>
      <c r="AR14" s="392">
        <v>0</v>
      </c>
      <c r="AS14" s="391">
        <f>AR14*E14</f>
        <v>0</v>
      </c>
      <c r="AT14" s="392">
        <v>0</v>
      </c>
      <c r="AU14" s="391">
        <f>AT14*E14</f>
        <v>0</v>
      </c>
      <c r="AV14" s="392">
        <v>0</v>
      </c>
      <c r="AW14" s="391">
        <f>AV14*E14</f>
        <v>0</v>
      </c>
      <c r="AX14" s="392">
        <v>0</v>
      </c>
      <c r="AY14" s="391">
        <f>AX14*E14</f>
        <v>0</v>
      </c>
      <c r="AZ14" s="392">
        <v>0</v>
      </c>
      <c r="BA14" s="391">
        <f>AZ14*E14</f>
        <v>0</v>
      </c>
      <c r="BB14" s="392">
        <v>0</v>
      </c>
      <c r="BC14" s="391">
        <f>BB14*E14</f>
        <v>0</v>
      </c>
      <c r="BD14" s="392">
        <v>0</v>
      </c>
      <c r="BE14" s="391">
        <f>BD14*E14</f>
        <v>0</v>
      </c>
      <c r="BF14" s="392">
        <v>0</v>
      </c>
      <c r="BG14" s="391">
        <f>BF14*E14</f>
        <v>0</v>
      </c>
      <c r="BH14" s="392"/>
      <c r="BI14" s="391">
        <f>BH14*E14</f>
        <v>0</v>
      </c>
      <c r="BJ14" s="392">
        <f t="shared" si="2"/>
        <v>0</v>
      </c>
      <c r="BK14" s="392">
        <f t="shared" si="2"/>
        <v>0</v>
      </c>
      <c r="BL14" s="385" t="s">
        <v>209</v>
      </c>
      <c r="BM14" s="400"/>
      <c r="BN14" s="251"/>
      <c r="BO14" s="251">
        <f>G14</f>
        <v>0</v>
      </c>
      <c r="BP14" s="251"/>
      <c r="BQ14" s="251"/>
      <c r="BR14" s="251">
        <f>BN14+BO14+BP14+BQ14</f>
        <v>0</v>
      </c>
      <c r="BS14" s="251"/>
      <c r="BT14" s="251"/>
      <c r="BU14" s="251">
        <f>BS14+BT14</f>
        <v>0</v>
      </c>
      <c r="BV14" s="393">
        <f t="shared" si="1"/>
        <v>0</v>
      </c>
    </row>
    <row r="15" spans="1:74" x14ac:dyDescent="0.25">
      <c r="A15" s="394"/>
      <c r="B15" s="377" t="s">
        <v>730</v>
      </c>
      <c r="C15" s="398" t="s">
        <v>950</v>
      </c>
      <c r="D15" s="385" t="s">
        <v>70</v>
      </c>
      <c r="E15" s="399">
        <v>150</v>
      </c>
      <c r="F15" s="395">
        <f>BJ15</f>
        <v>0</v>
      </c>
      <c r="G15" s="396">
        <f>BK15</f>
        <v>0</v>
      </c>
      <c r="H15" s="397">
        <f>G15*0.2</f>
        <v>0</v>
      </c>
      <c r="I15" s="397">
        <f>G15*0.8</f>
        <v>0</v>
      </c>
      <c r="J15" s="396"/>
      <c r="K15" s="396"/>
      <c r="L15" s="396"/>
      <c r="M15" s="396"/>
      <c r="N15" s="396"/>
      <c r="O15" s="396"/>
      <c r="P15" s="396"/>
      <c r="Q15" s="396"/>
      <c r="R15" s="392">
        <f>F15*0.25</f>
        <v>0</v>
      </c>
      <c r="S15" s="392">
        <f>F15*0.25</f>
        <v>0</v>
      </c>
      <c r="T15" s="392">
        <f>F15*0.25</f>
        <v>0</v>
      </c>
      <c r="U15" s="392">
        <f>F15*0.25</f>
        <v>0</v>
      </c>
      <c r="V15" s="391">
        <f>G15*0.2</f>
        <v>0</v>
      </c>
      <c r="W15" s="391">
        <f>G15*0.45</f>
        <v>0</v>
      </c>
      <c r="X15" s="391">
        <f>G15*0.25</f>
        <v>0</v>
      </c>
      <c r="Y15" s="391">
        <f>G15*0.1</f>
        <v>0</v>
      </c>
      <c r="Z15" s="392">
        <v>0</v>
      </c>
      <c r="AA15" s="391">
        <f>Z15*E15</f>
        <v>0</v>
      </c>
      <c r="AB15" s="392">
        <v>0</v>
      </c>
      <c r="AC15" s="391">
        <f>AB15*E15</f>
        <v>0</v>
      </c>
      <c r="AD15" s="392">
        <v>0</v>
      </c>
      <c r="AE15" s="391">
        <f>AD15*E15</f>
        <v>0</v>
      </c>
      <c r="AF15" s="392">
        <v>0</v>
      </c>
      <c r="AG15" s="391">
        <f>AF15*E15</f>
        <v>0</v>
      </c>
      <c r="AH15" s="392">
        <v>0</v>
      </c>
      <c r="AI15" s="391">
        <f>AH15*E15</f>
        <v>0</v>
      </c>
      <c r="AJ15" s="392">
        <v>0</v>
      </c>
      <c r="AK15" s="391">
        <f>AJ15*E15</f>
        <v>0</v>
      </c>
      <c r="AL15" s="392">
        <v>0</v>
      </c>
      <c r="AM15" s="391">
        <f>AL15*E15</f>
        <v>0</v>
      </c>
      <c r="AN15" s="392">
        <v>0</v>
      </c>
      <c r="AO15" s="391">
        <v>0</v>
      </c>
      <c r="AP15" s="392">
        <v>0</v>
      </c>
      <c r="AQ15" s="391">
        <f>AP15*E15</f>
        <v>0</v>
      </c>
      <c r="AR15" s="392">
        <v>0</v>
      </c>
      <c r="AS15" s="391">
        <f>AR15*E15</f>
        <v>0</v>
      </c>
      <c r="AT15" s="392">
        <v>0</v>
      </c>
      <c r="AU15" s="391">
        <f>AT15*E15</f>
        <v>0</v>
      </c>
      <c r="AV15" s="392">
        <v>0</v>
      </c>
      <c r="AW15" s="391">
        <f>AV15*E15</f>
        <v>0</v>
      </c>
      <c r="AX15" s="392">
        <v>0</v>
      </c>
      <c r="AY15" s="391">
        <f>AX15*E15</f>
        <v>0</v>
      </c>
      <c r="AZ15" s="392">
        <v>0</v>
      </c>
      <c r="BA15" s="391">
        <f>AZ15*E15</f>
        <v>0</v>
      </c>
      <c r="BB15" s="392">
        <v>0</v>
      </c>
      <c r="BC15" s="391">
        <f>BB15*E15</f>
        <v>0</v>
      </c>
      <c r="BD15" s="392">
        <v>0</v>
      </c>
      <c r="BE15" s="391">
        <f>BD15*E15</f>
        <v>0</v>
      </c>
      <c r="BF15" s="392">
        <v>0</v>
      </c>
      <c r="BG15" s="391">
        <f>BF15*E15</f>
        <v>0</v>
      </c>
      <c r="BH15" s="392"/>
      <c r="BI15" s="391">
        <f>BH15*E15</f>
        <v>0</v>
      </c>
      <c r="BJ15" s="392">
        <f t="shared" si="2"/>
        <v>0</v>
      </c>
      <c r="BK15" s="392">
        <f t="shared" si="2"/>
        <v>0</v>
      </c>
      <c r="BL15" s="385" t="s">
        <v>209</v>
      </c>
      <c r="BM15" s="400"/>
      <c r="BN15" s="251"/>
      <c r="BO15" s="251">
        <f>G15</f>
        <v>0</v>
      </c>
      <c r="BP15" s="251"/>
      <c r="BQ15" s="251"/>
      <c r="BR15" s="251">
        <f>BN15+BO15+BP15+BQ15</f>
        <v>0</v>
      </c>
      <c r="BS15" s="251"/>
      <c r="BT15" s="251"/>
      <c r="BU15" s="251">
        <f>BS15+BT15</f>
        <v>0</v>
      </c>
      <c r="BV15" s="393">
        <f t="shared" si="1"/>
        <v>0</v>
      </c>
    </row>
    <row r="16" spans="1:74" ht="31.5" x14ac:dyDescent="0.25">
      <c r="A16" s="394"/>
      <c r="B16" s="377" t="s">
        <v>731</v>
      </c>
      <c r="C16" s="401" t="s">
        <v>636</v>
      </c>
      <c r="D16" s="385" t="s">
        <v>16</v>
      </c>
      <c r="E16" s="399">
        <v>15000</v>
      </c>
      <c r="F16" s="395">
        <f>BJ16</f>
        <v>0</v>
      </c>
      <c r="G16" s="396">
        <f>BK16</f>
        <v>0</v>
      </c>
      <c r="H16" s="397">
        <f>G16*0.2</f>
        <v>0</v>
      </c>
      <c r="I16" s="397">
        <f>G16*0.8</f>
        <v>0</v>
      </c>
      <c r="J16" s="396"/>
      <c r="K16" s="396"/>
      <c r="L16" s="396"/>
      <c r="M16" s="396"/>
      <c r="N16" s="396"/>
      <c r="O16" s="396"/>
      <c r="P16" s="396"/>
      <c r="Q16" s="396"/>
      <c r="R16" s="392">
        <f>F16*0.25</f>
        <v>0</v>
      </c>
      <c r="S16" s="392">
        <f>F16*0.25</f>
        <v>0</v>
      </c>
      <c r="T16" s="392">
        <f>F16*0.25</f>
        <v>0</v>
      </c>
      <c r="U16" s="392">
        <f>F16*0.25</f>
        <v>0</v>
      </c>
      <c r="V16" s="391">
        <f>G16*0.2</f>
        <v>0</v>
      </c>
      <c r="W16" s="391">
        <f>G16*0.45</f>
        <v>0</v>
      </c>
      <c r="X16" s="391">
        <f>G16*0.25</f>
        <v>0</v>
      </c>
      <c r="Y16" s="391">
        <f>G16*0.1</f>
        <v>0</v>
      </c>
      <c r="Z16" s="392">
        <v>0</v>
      </c>
      <c r="AA16" s="391">
        <f>Z16*E16</f>
        <v>0</v>
      </c>
      <c r="AB16" s="392">
        <v>0</v>
      </c>
      <c r="AC16" s="391">
        <f>AB16*E16</f>
        <v>0</v>
      </c>
      <c r="AD16" s="392">
        <v>0</v>
      </c>
      <c r="AE16" s="391">
        <f>AD16*E16</f>
        <v>0</v>
      </c>
      <c r="AF16" s="392">
        <v>0</v>
      </c>
      <c r="AG16" s="391">
        <f>AF16*E16</f>
        <v>0</v>
      </c>
      <c r="AH16" s="392">
        <v>0</v>
      </c>
      <c r="AI16" s="391">
        <f>AH16*E16</f>
        <v>0</v>
      </c>
      <c r="AJ16" s="392">
        <v>0</v>
      </c>
      <c r="AK16" s="391">
        <f>AJ16*E16</f>
        <v>0</v>
      </c>
      <c r="AL16" s="392">
        <v>0</v>
      </c>
      <c r="AM16" s="391">
        <f>AL16*E16</f>
        <v>0</v>
      </c>
      <c r="AN16" s="392">
        <v>0</v>
      </c>
      <c r="AO16" s="391">
        <f>AN16*E16</f>
        <v>0</v>
      </c>
      <c r="AP16" s="392">
        <v>0</v>
      </c>
      <c r="AQ16" s="391">
        <f>AP16*E16</f>
        <v>0</v>
      </c>
      <c r="AR16" s="392">
        <v>0</v>
      </c>
      <c r="AS16" s="391">
        <f>AR16*E16</f>
        <v>0</v>
      </c>
      <c r="AT16" s="392">
        <v>0</v>
      </c>
      <c r="AU16" s="391">
        <f>AT16*E16</f>
        <v>0</v>
      </c>
      <c r="AV16" s="392">
        <v>0</v>
      </c>
      <c r="AW16" s="391">
        <f>AV16*E16</f>
        <v>0</v>
      </c>
      <c r="AX16" s="392">
        <v>0</v>
      </c>
      <c r="AY16" s="391">
        <f>AX16*E16</f>
        <v>0</v>
      </c>
      <c r="AZ16" s="392">
        <v>0</v>
      </c>
      <c r="BA16" s="391">
        <f>AZ16*E16</f>
        <v>0</v>
      </c>
      <c r="BB16" s="392">
        <v>0</v>
      </c>
      <c r="BC16" s="391">
        <f>BB16*E16</f>
        <v>0</v>
      </c>
      <c r="BD16" s="392">
        <v>0</v>
      </c>
      <c r="BE16" s="391">
        <f>BD16*E16</f>
        <v>0</v>
      </c>
      <c r="BF16" s="392">
        <v>0</v>
      </c>
      <c r="BG16" s="391">
        <f>BF16*E16</f>
        <v>0</v>
      </c>
      <c r="BH16" s="392"/>
      <c r="BI16" s="391"/>
      <c r="BJ16" s="392">
        <f t="shared" si="2"/>
        <v>0</v>
      </c>
      <c r="BK16" s="392">
        <f t="shared" si="2"/>
        <v>0</v>
      </c>
      <c r="BL16" s="385" t="s">
        <v>209</v>
      </c>
      <c r="BM16" s="400"/>
      <c r="BN16" s="251"/>
      <c r="BO16" s="251">
        <f>G16</f>
        <v>0</v>
      </c>
      <c r="BP16" s="251"/>
      <c r="BQ16" s="251"/>
      <c r="BR16" s="251">
        <f>BN16+BO16+BP16+BQ16</f>
        <v>0</v>
      </c>
      <c r="BS16" s="251"/>
      <c r="BT16" s="251"/>
      <c r="BU16" s="251"/>
      <c r="BV16" s="393">
        <f t="shared" si="1"/>
        <v>0</v>
      </c>
    </row>
    <row r="17" spans="1:74" s="376" customFormat="1" x14ac:dyDescent="0.25">
      <c r="A17" s="394"/>
      <c r="B17" s="367"/>
      <c r="C17" s="384" t="s">
        <v>423</v>
      </c>
      <c r="D17" s="385" t="s">
        <v>111</v>
      </c>
      <c r="E17" s="399" t="s">
        <v>111</v>
      </c>
      <c r="F17" s="380">
        <f>SUM(F12:F16)</f>
        <v>1128</v>
      </c>
      <c r="G17" s="380">
        <f t="shared" ref="G17:BK17" si="4">SUM(G12:G16)</f>
        <v>9024000</v>
      </c>
      <c r="H17" s="380">
        <f t="shared" si="4"/>
        <v>1804800</v>
      </c>
      <c r="I17" s="380">
        <f t="shared" si="4"/>
        <v>7219200</v>
      </c>
      <c r="J17" s="380">
        <f t="shared" si="4"/>
        <v>0</v>
      </c>
      <c r="K17" s="380">
        <f t="shared" si="4"/>
        <v>0</v>
      </c>
      <c r="L17" s="380">
        <f t="shared" si="4"/>
        <v>0</v>
      </c>
      <c r="M17" s="380">
        <f t="shared" si="4"/>
        <v>0</v>
      </c>
      <c r="N17" s="380">
        <f t="shared" si="4"/>
        <v>0</v>
      </c>
      <c r="O17" s="380">
        <f t="shared" si="4"/>
        <v>0</v>
      </c>
      <c r="P17" s="380">
        <f t="shared" si="4"/>
        <v>0</v>
      </c>
      <c r="Q17" s="380">
        <f t="shared" si="4"/>
        <v>0</v>
      </c>
      <c r="R17" s="380">
        <f t="shared" si="4"/>
        <v>451.20000000000005</v>
      </c>
      <c r="S17" s="380">
        <f t="shared" si="4"/>
        <v>451.20000000000005</v>
      </c>
      <c r="T17" s="380">
        <f t="shared" si="4"/>
        <v>225.60000000000002</v>
      </c>
      <c r="U17" s="380">
        <f t="shared" si="4"/>
        <v>0</v>
      </c>
      <c r="V17" s="380">
        <f t="shared" si="4"/>
        <v>3609600.0000000005</v>
      </c>
      <c r="W17" s="380">
        <f t="shared" si="4"/>
        <v>3609600.0000000005</v>
      </c>
      <c r="X17" s="380">
        <f t="shared" si="4"/>
        <v>1804800.0000000002</v>
      </c>
      <c r="Y17" s="380">
        <f t="shared" si="4"/>
        <v>0</v>
      </c>
      <c r="Z17" s="380">
        <f t="shared" si="4"/>
        <v>58</v>
      </c>
      <c r="AA17" s="380">
        <f t="shared" si="4"/>
        <v>464000</v>
      </c>
      <c r="AB17" s="380">
        <f t="shared" si="4"/>
        <v>22</v>
      </c>
      <c r="AC17" s="380">
        <f t="shared" si="4"/>
        <v>176000</v>
      </c>
      <c r="AD17" s="380">
        <f t="shared" si="4"/>
        <v>68</v>
      </c>
      <c r="AE17" s="380">
        <f t="shared" si="4"/>
        <v>544000</v>
      </c>
      <c r="AF17" s="380">
        <f t="shared" si="4"/>
        <v>90</v>
      </c>
      <c r="AG17" s="380">
        <f t="shared" si="4"/>
        <v>720000</v>
      </c>
      <c r="AH17" s="380">
        <f t="shared" si="4"/>
        <v>46</v>
      </c>
      <c r="AI17" s="380">
        <f t="shared" si="4"/>
        <v>368000</v>
      </c>
      <c r="AJ17" s="380">
        <f t="shared" si="4"/>
        <v>144</v>
      </c>
      <c r="AK17" s="380">
        <f t="shared" si="4"/>
        <v>1152000</v>
      </c>
      <c r="AL17" s="380">
        <f t="shared" si="4"/>
        <v>32</v>
      </c>
      <c r="AM17" s="380">
        <f t="shared" si="4"/>
        <v>256000</v>
      </c>
      <c r="AN17" s="380">
        <f t="shared" si="4"/>
        <v>22</v>
      </c>
      <c r="AO17" s="380">
        <f t="shared" si="4"/>
        <v>176000</v>
      </c>
      <c r="AP17" s="380">
        <f t="shared" si="4"/>
        <v>16</v>
      </c>
      <c r="AQ17" s="380">
        <f t="shared" si="4"/>
        <v>128000</v>
      </c>
      <c r="AR17" s="380">
        <f t="shared" si="4"/>
        <v>66</v>
      </c>
      <c r="AS17" s="380">
        <f t="shared" si="4"/>
        <v>528000</v>
      </c>
      <c r="AT17" s="380">
        <f t="shared" si="4"/>
        <v>50</v>
      </c>
      <c r="AU17" s="380">
        <f t="shared" si="4"/>
        <v>400000</v>
      </c>
      <c r="AV17" s="380">
        <f t="shared" si="4"/>
        <v>68</v>
      </c>
      <c r="AW17" s="380">
        <f t="shared" si="4"/>
        <v>544000</v>
      </c>
      <c r="AX17" s="380">
        <f t="shared" si="4"/>
        <v>56</v>
      </c>
      <c r="AY17" s="380">
        <f t="shared" si="4"/>
        <v>448000</v>
      </c>
      <c r="AZ17" s="380">
        <f t="shared" si="4"/>
        <v>46</v>
      </c>
      <c r="BA17" s="380">
        <f t="shared" si="4"/>
        <v>368000</v>
      </c>
      <c r="BB17" s="380">
        <f t="shared" si="4"/>
        <v>214</v>
      </c>
      <c r="BC17" s="380">
        <f t="shared" si="4"/>
        <v>1712000</v>
      </c>
      <c r="BD17" s="380">
        <f t="shared" si="4"/>
        <v>68</v>
      </c>
      <c r="BE17" s="380">
        <f t="shared" si="4"/>
        <v>544000</v>
      </c>
      <c r="BF17" s="380">
        <f t="shared" si="4"/>
        <v>62</v>
      </c>
      <c r="BG17" s="380">
        <f t="shared" si="4"/>
        <v>496000</v>
      </c>
      <c r="BH17" s="380">
        <f t="shared" si="4"/>
        <v>0</v>
      </c>
      <c r="BI17" s="380">
        <f t="shared" si="4"/>
        <v>0</v>
      </c>
      <c r="BJ17" s="380">
        <f t="shared" si="4"/>
        <v>1128</v>
      </c>
      <c r="BK17" s="380">
        <f t="shared" si="4"/>
        <v>9024000</v>
      </c>
      <c r="BL17" s="380">
        <f t="shared" ref="BL17:BM17" si="5">SUM(BL13:BL16)</f>
        <v>0</v>
      </c>
      <c r="BM17" s="380">
        <f t="shared" si="5"/>
        <v>0</v>
      </c>
      <c r="BN17" s="380">
        <f t="shared" ref="BN17:BU17" si="6">SUM(BN12:BN16)</f>
        <v>0</v>
      </c>
      <c r="BO17" s="380">
        <f t="shared" si="6"/>
        <v>9024000</v>
      </c>
      <c r="BP17" s="380">
        <f t="shared" si="6"/>
        <v>0</v>
      </c>
      <c r="BQ17" s="380">
        <f t="shared" si="6"/>
        <v>0</v>
      </c>
      <c r="BR17" s="380">
        <f t="shared" si="6"/>
        <v>9024000</v>
      </c>
      <c r="BS17" s="380">
        <f t="shared" si="6"/>
        <v>0</v>
      </c>
      <c r="BT17" s="380">
        <f t="shared" si="6"/>
        <v>0</v>
      </c>
      <c r="BU17" s="380">
        <f t="shared" si="6"/>
        <v>0</v>
      </c>
      <c r="BV17" s="380">
        <f>SUM(BV12:BV16)</f>
        <v>9024000</v>
      </c>
    </row>
    <row r="18" spans="1:74" x14ac:dyDescent="0.25">
      <c r="A18" s="394"/>
      <c r="B18" s="377"/>
      <c r="C18" s="384" t="s">
        <v>637</v>
      </c>
      <c r="D18" s="385"/>
      <c r="E18" s="385"/>
      <c r="F18" s="395"/>
      <c r="G18" s="390"/>
      <c r="H18" s="390"/>
      <c r="I18" s="390"/>
      <c r="J18" s="390"/>
      <c r="K18" s="390"/>
      <c r="L18" s="390"/>
      <c r="M18" s="390"/>
      <c r="N18" s="390"/>
      <c r="O18" s="391"/>
      <c r="P18" s="391"/>
      <c r="Q18" s="391"/>
      <c r="R18" s="392"/>
      <c r="S18" s="392"/>
      <c r="T18" s="392"/>
      <c r="U18" s="392"/>
      <c r="V18" s="391"/>
      <c r="W18" s="391"/>
      <c r="X18" s="391"/>
      <c r="Y18" s="391"/>
      <c r="Z18" s="392"/>
      <c r="AA18" s="391">
        <f>Z18*E18</f>
        <v>0</v>
      </c>
      <c r="AB18" s="392"/>
      <c r="AC18" s="391">
        <f>AB18*E18</f>
        <v>0</v>
      </c>
      <c r="AD18" s="392"/>
      <c r="AE18" s="391">
        <f>AD18*E18</f>
        <v>0</v>
      </c>
      <c r="AF18" s="392"/>
      <c r="AG18" s="391">
        <f>AF18*E18</f>
        <v>0</v>
      </c>
      <c r="AH18" s="392"/>
      <c r="AI18" s="391">
        <f>AH18*E18</f>
        <v>0</v>
      </c>
      <c r="AJ18" s="392"/>
      <c r="AK18" s="391">
        <f>AJ18*E18</f>
        <v>0</v>
      </c>
      <c r="AL18" s="392"/>
      <c r="AM18" s="391">
        <f>AL18*E18</f>
        <v>0</v>
      </c>
      <c r="AN18" s="392"/>
      <c r="AO18" s="391">
        <f>AN18*E18</f>
        <v>0</v>
      </c>
      <c r="AP18" s="392"/>
      <c r="AQ18" s="391">
        <f>AP18*E18</f>
        <v>0</v>
      </c>
      <c r="AR18" s="392"/>
      <c r="AS18" s="391">
        <f>AR18*E18</f>
        <v>0</v>
      </c>
      <c r="AT18" s="392"/>
      <c r="AU18" s="391">
        <f>AT18*E18</f>
        <v>0</v>
      </c>
      <c r="AV18" s="392"/>
      <c r="AW18" s="391">
        <f>AV18*E18</f>
        <v>0</v>
      </c>
      <c r="AX18" s="391"/>
      <c r="AY18" s="391">
        <f>AX18*E18</f>
        <v>0</v>
      </c>
      <c r="AZ18" s="392"/>
      <c r="BA18" s="391">
        <f>AZ18*E18</f>
        <v>0</v>
      </c>
      <c r="BB18" s="392"/>
      <c r="BC18" s="391">
        <f>BB18*E18</f>
        <v>0</v>
      </c>
      <c r="BD18" s="392"/>
      <c r="BE18" s="391"/>
      <c r="BF18" s="392"/>
      <c r="BG18" s="391"/>
      <c r="BH18" s="392"/>
      <c r="BI18" s="391"/>
      <c r="BJ18" s="392"/>
      <c r="BK18" s="391"/>
      <c r="BL18" s="385"/>
      <c r="BN18" s="251"/>
      <c r="BO18" s="251"/>
      <c r="BP18" s="251"/>
      <c r="BQ18" s="251"/>
      <c r="BR18" s="251"/>
      <c r="BS18" s="251"/>
      <c r="BT18" s="251"/>
      <c r="BU18" s="251"/>
      <c r="BV18" s="393">
        <f t="shared" si="1"/>
        <v>0</v>
      </c>
    </row>
    <row r="19" spans="1:74" ht="21.75" customHeight="1" x14ac:dyDescent="0.25">
      <c r="A19" s="394"/>
      <c r="B19" s="377" t="s">
        <v>732</v>
      </c>
      <c r="C19" s="398" t="s">
        <v>424</v>
      </c>
      <c r="D19" s="385" t="s">
        <v>331</v>
      </c>
      <c r="E19" s="402">
        <v>100000</v>
      </c>
      <c r="F19" s="395">
        <f t="shared" ref="F19:G21" si="7">BJ19</f>
        <v>1</v>
      </c>
      <c r="G19" s="396">
        <f t="shared" si="7"/>
        <v>100000</v>
      </c>
      <c r="H19" s="397">
        <f>G19*0.2</f>
        <v>20000</v>
      </c>
      <c r="I19" s="397">
        <f>G19*0.8</f>
        <v>80000</v>
      </c>
      <c r="J19" s="391"/>
      <c r="K19" s="391"/>
      <c r="L19" s="391"/>
      <c r="M19" s="391"/>
      <c r="N19" s="391"/>
      <c r="O19" s="391"/>
      <c r="P19" s="391"/>
      <c r="Q19" s="391"/>
      <c r="R19" s="392">
        <f>F19*0.25</f>
        <v>0.25</v>
      </c>
      <c r="S19" s="392">
        <f>F19*0.25</f>
        <v>0.25</v>
      </c>
      <c r="T19" s="392">
        <f>F19*0.25</f>
        <v>0.25</v>
      </c>
      <c r="U19" s="392">
        <f>F19*0.25</f>
        <v>0.25</v>
      </c>
      <c r="V19" s="391">
        <f>R19*E19</f>
        <v>25000</v>
      </c>
      <c r="W19" s="391">
        <f>S19*E19</f>
        <v>25000</v>
      </c>
      <c r="X19" s="391">
        <f>T19*E19</f>
        <v>25000</v>
      </c>
      <c r="Y19" s="391">
        <f>U19*E19</f>
        <v>25000</v>
      </c>
      <c r="Z19" s="392"/>
      <c r="AA19" s="391">
        <f>Z19*E19</f>
        <v>0</v>
      </c>
      <c r="AB19" s="392"/>
      <c r="AC19" s="391">
        <f>AB19*E19</f>
        <v>0</v>
      </c>
      <c r="AD19" s="392">
        <v>0</v>
      </c>
      <c r="AE19" s="391">
        <f>AD19*E19</f>
        <v>0</v>
      </c>
      <c r="AF19" s="392">
        <v>0</v>
      </c>
      <c r="AG19" s="391">
        <f>AF19*E19</f>
        <v>0</v>
      </c>
      <c r="AH19" s="392">
        <v>0</v>
      </c>
      <c r="AI19" s="391">
        <f>AH19*E19</f>
        <v>0</v>
      </c>
      <c r="AJ19" s="392">
        <v>0</v>
      </c>
      <c r="AK19" s="391">
        <f>AJ19*E19</f>
        <v>0</v>
      </c>
      <c r="AL19" s="392"/>
      <c r="AM19" s="391">
        <f>AL19*E19</f>
        <v>0</v>
      </c>
      <c r="AN19" s="392"/>
      <c r="AO19" s="391">
        <f>AN19*E19</f>
        <v>0</v>
      </c>
      <c r="AP19" s="392"/>
      <c r="AQ19" s="391">
        <f>AP19*E19</f>
        <v>0</v>
      </c>
      <c r="AR19" s="392"/>
      <c r="AS19" s="391">
        <f>AR19*E19</f>
        <v>0</v>
      </c>
      <c r="AT19" s="392"/>
      <c r="AU19" s="391">
        <f>AT19*E19</f>
        <v>0</v>
      </c>
      <c r="AV19" s="392">
        <v>0</v>
      </c>
      <c r="AW19" s="391">
        <f>AV19*E19</f>
        <v>0</v>
      </c>
      <c r="AX19" s="391">
        <v>0</v>
      </c>
      <c r="AY19" s="391">
        <f>AX19*E19</f>
        <v>0</v>
      </c>
      <c r="AZ19" s="392"/>
      <c r="BA19" s="391">
        <f>AZ19*E19</f>
        <v>0</v>
      </c>
      <c r="BB19" s="392"/>
      <c r="BC19" s="391">
        <f>BB19*E19</f>
        <v>0</v>
      </c>
      <c r="BD19" s="392"/>
      <c r="BE19" s="391">
        <f>BD19*E19</f>
        <v>0</v>
      </c>
      <c r="BF19" s="392"/>
      <c r="BG19" s="391">
        <f>BF19*E19</f>
        <v>0</v>
      </c>
      <c r="BH19" s="392">
        <v>1</v>
      </c>
      <c r="BI19" s="391">
        <f>BH19*E19</f>
        <v>100000</v>
      </c>
      <c r="BJ19" s="392">
        <f t="shared" ref="BJ19:BK21" si="8">BH19+BF19+BD19+BB19+AZ19+AX19+AV19+AT19+AR19+AP19+AN19+AL19+AJ19+AH19+AF19+AD19+AB19+Z19</f>
        <v>1</v>
      </c>
      <c r="BK19" s="392">
        <f t="shared" si="8"/>
        <v>100000</v>
      </c>
      <c r="BL19" s="385" t="s">
        <v>209</v>
      </c>
      <c r="BM19" s="400"/>
      <c r="BN19" s="251"/>
      <c r="BO19" s="251">
        <f>G19</f>
        <v>100000</v>
      </c>
      <c r="BP19" s="251"/>
      <c r="BQ19" s="251"/>
      <c r="BR19" s="251">
        <f>BN19+BO19+BP19+BQ19</f>
        <v>100000</v>
      </c>
      <c r="BS19" s="251"/>
      <c r="BT19" s="251"/>
      <c r="BU19" s="251"/>
      <c r="BV19" s="393">
        <f t="shared" si="1"/>
        <v>100000</v>
      </c>
    </row>
    <row r="20" spans="1:74" ht="31.5" x14ac:dyDescent="0.25">
      <c r="A20" s="394"/>
      <c r="B20" s="377" t="s">
        <v>733</v>
      </c>
      <c r="C20" s="401" t="s">
        <v>951</v>
      </c>
      <c r="D20" s="385" t="s">
        <v>73</v>
      </c>
      <c r="E20" s="402">
        <v>2000000</v>
      </c>
      <c r="F20" s="395">
        <f t="shared" si="7"/>
        <v>0</v>
      </c>
      <c r="G20" s="396">
        <f t="shared" si="7"/>
        <v>0</v>
      </c>
      <c r="H20" s="397">
        <f>G20*0.2</f>
        <v>0</v>
      </c>
      <c r="I20" s="397">
        <f>G20*0.8</f>
        <v>0</v>
      </c>
      <c r="J20" s="396"/>
      <c r="K20" s="396"/>
      <c r="L20" s="396"/>
      <c r="M20" s="396"/>
      <c r="N20" s="396"/>
      <c r="O20" s="396"/>
      <c r="P20" s="396"/>
      <c r="Q20" s="396"/>
      <c r="R20" s="392">
        <f>F20*0.25</f>
        <v>0</v>
      </c>
      <c r="S20" s="392">
        <f>F20*0.25</f>
        <v>0</v>
      </c>
      <c r="T20" s="392">
        <f>F20*0.25</f>
        <v>0</v>
      </c>
      <c r="U20" s="392">
        <f>F20*0.25</f>
        <v>0</v>
      </c>
      <c r="V20" s="391">
        <f>R20*E20</f>
        <v>0</v>
      </c>
      <c r="W20" s="391">
        <f>S20*E20</f>
        <v>0</v>
      </c>
      <c r="X20" s="391">
        <f>T20*E20</f>
        <v>0</v>
      </c>
      <c r="Y20" s="391">
        <f>U20*E20</f>
        <v>0</v>
      </c>
      <c r="Z20" s="392"/>
      <c r="AA20" s="391">
        <f>Z20*E20</f>
        <v>0</v>
      </c>
      <c r="AB20" s="392"/>
      <c r="AC20" s="391">
        <f>AB20*E20</f>
        <v>0</v>
      </c>
      <c r="AD20" s="392">
        <v>0</v>
      </c>
      <c r="AE20" s="391">
        <f>AD20*E20</f>
        <v>0</v>
      </c>
      <c r="AF20" s="392">
        <v>0</v>
      </c>
      <c r="AG20" s="391">
        <f>AF20*E20</f>
        <v>0</v>
      </c>
      <c r="AH20" s="392">
        <v>0</v>
      </c>
      <c r="AI20" s="391">
        <f>AH20*E20</f>
        <v>0</v>
      </c>
      <c r="AJ20" s="392">
        <v>0</v>
      </c>
      <c r="AK20" s="391">
        <f>AJ20*E20</f>
        <v>0</v>
      </c>
      <c r="AL20" s="392"/>
      <c r="AM20" s="391">
        <f>AL20*E20</f>
        <v>0</v>
      </c>
      <c r="AN20" s="392"/>
      <c r="AO20" s="391">
        <f>AN20*E20</f>
        <v>0</v>
      </c>
      <c r="AP20" s="392"/>
      <c r="AQ20" s="391">
        <f>AP20*E20</f>
        <v>0</v>
      </c>
      <c r="AR20" s="392"/>
      <c r="AS20" s="391">
        <f>AR20*E20</f>
        <v>0</v>
      </c>
      <c r="AT20" s="392"/>
      <c r="AU20" s="391">
        <f>AT20*E20</f>
        <v>0</v>
      </c>
      <c r="AV20" s="392">
        <v>0</v>
      </c>
      <c r="AW20" s="391">
        <f>AV20*E20</f>
        <v>0</v>
      </c>
      <c r="AX20" s="391">
        <v>0</v>
      </c>
      <c r="AY20" s="391">
        <f>AX20*E20</f>
        <v>0</v>
      </c>
      <c r="AZ20" s="392"/>
      <c r="BA20" s="391">
        <f>AZ20*E20</f>
        <v>0</v>
      </c>
      <c r="BB20" s="392"/>
      <c r="BC20" s="391">
        <f>BB20*E20</f>
        <v>0</v>
      </c>
      <c r="BD20" s="392"/>
      <c r="BE20" s="391">
        <f>BD20*E20</f>
        <v>0</v>
      </c>
      <c r="BF20" s="392"/>
      <c r="BG20" s="391">
        <f>BF20*E20</f>
        <v>0</v>
      </c>
      <c r="BH20" s="392">
        <v>0</v>
      </c>
      <c r="BI20" s="391">
        <f>BH20*E20</f>
        <v>0</v>
      </c>
      <c r="BJ20" s="392">
        <f t="shared" si="8"/>
        <v>0</v>
      </c>
      <c r="BK20" s="392">
        <f t="shared" si="8"/>
        <v>0</v>
      </c>
      <c r="BL20" s="385" t="s">
        <v>209</v>
      </c>
      <c r="BM20" s="400"/>
      <c r="BN20" s="251"/>
      <c r="BO20" s="251">
        <v>0</v>
      </c>
      <c r="BP20" s="251">
        <f>G20</f>
        <v>0</v>
      </c>
      <c r="BQ20" s="251"/>
      <c r="BR20" s="251">
        <f>BN20+BO20+BP20+BQ20</f>
        <v>0</v>
      </c>
      <c r="BS20" s="251"/>
      <c r="BT20" s="251"/>
      <c r="BU20" s="251"/>
      <c r="BV20" s="393">
        <f t="shared" si="1"/>
        <v>0</v>
      </c>
    </row>
    <row r="21" spans="1:74" x14ac:dyDescent="0.25">
      <c r="A21" s="394"/>
      <c r="B21" s="377" t="s">
        <v>734</v>
      </c>
      <c r="C21" s="398" t="s">
        <v>961</v>
      </c>
      <c r="D21" s="385" t="s">
        <v>238</v>
      </c>
      <c r="E21" s="399">
        <v>15000</v>
      </c>
      <c r="F21" s="395">
        <f t="shared" si="7"/>
        <v>204</v>
      </c>
      <c r="G21" s="396">
        <f t="shared" si="7"/>
        <v>3240000</v>
      </c>
      <c r="H21" s="397">
        <f>G21*0.2</f>
        <v>648000</v>
      </c>
      <c r="I21" s="397">
        <f>G21*0.8</f>
        <v>2592000</v>
      </c>
      <c r="J21" s="396"/>
      <c r="K21" s="396"/>
      <c r="L21" s="396"/>
      <c r="M21" s="396"/>
      <c r="N21" s="396"/>
      <c r="O21" s="396"/>
      <c r="P21" s="396"/>
      <c r="Q21" s="396"/>
      <c r="R21" s="392">
        <f>F21*0.25</f>
        <v>51</v>
      </c>
      <c r="S21" s="392">
        <f>F21*0.25</f>
        <v>51</v>
      </c>
      <c r="T21" s="392">
        <f>F21*0.25</f>
        <v>51</v>
      </c>
      <c r="U21" s="392">
        <f>F21*0.25</f>
        <v>51</v>
      </c>
      <c r="V21" s="391">
        <f>G21*0.25</f>
        <v>810000</v>
      </c>
      <c r="W21" s="391">
        <f>G21*0.25</f>
        <v>810000</v>
      </c>
      <c r="X21" s="391">
        <f>G21*0.25</f>
        <v>810000</v>
      </c>
      <c r="Y21" s="391">
        <f>G21*0.25</f>
        <v>810000</v>
      </c>
      <c r="Z21" s="392">
        <v>12</v>
      </c>
      <c r="AA21" s="391">
        <f>Z21*E21</f>
        <v>180000</v>
      </c>
      <c r="AB21" s="392">
        <v>12</v>
      </c>
      <c r="AC21" s="391">
        <f>AB21*E21</f>
        <v>180000</v>
      </c>
      <c r="AD21" s="392">
        <v>12</v>
      </c>
      <c r="AE21" s="391">
        <f>AD21*E21</f>
        <v>180000</v>
      </c>
      <c r="AF21" s="392">
        <v>12</v>
      </c>
      <c r="AG21" s="391">
        <f>AF21*E21</f>
        <v>180000</v>
      </c>
      <c r="AH21" s="392">
        <v>12</v>
      </c>
      <c r="AI21" s="391">
        <f>AH21*E21</f>
        <v>180000</v>
      </c>
      <c r="AJ21" s="392">
        <v>12</v>
      </c>
      <c r="AK21" s="391">
        <f>AJ21*E21</f>
        <v>180000</v>
      </c>
      <c r="AL21" s="392">
        <v>12</v>
      </c>
      <c r="AM21" s="391">
        <v>360000</v>
      </c>
      <c r="AN21" s="392">
        <v>12</v>
      </c>
      <c r="AO21" s="391">
        <f>AN21*E21</f>
        <v>180000</v>
      </c>
      <c r="AP21" s="392">
        <v>12</v>
      </c>
      <c r="AQ21" s="391">
        <f>AP21*E21</f>
        <v>180000</v>
      </c>
      <c r="AR21" s="392">
        <v>12</v>
      </c>
      <c r="AS21" s="391">
        <f>AR21*E21</f>
        <v>180000</v>
      </c>
      <c r="AT21" s="392">
        <v>12</v>
      </c>
      <c r="AU21" s="391">
        <f>AT21*E21</f>
        <v>180000</v>
      </c>
      <c r="AV21" s="392">
        <v>12</v>
      </c>
      <c r="AW21" s="391">
        <f>AV21*E21</f>
        <v>180000</v>
      </c>
      <c r="AX21" s="391">
        <v>12</v>
      </c>
      <c r="AY21" s="391">
        <f>AX21*E21</f>
        <v>180000</v>
      </c>
      <c r="AZ21" s="392">
        <v>12</v>
      </c>
      <c r="BA21" s="391">
        <f>AZ21*E21</f>
        <v>180000</v>
      </c>
      <c r="BB21" s="392">
        <v>12</v>
      </c>
      <c r="BC21" s="391">
        <f>BB21*E21</f>
        <v>180000</v>
      </c>
      <c r="BD21" s="392">
        <v>12</v>
      </c>
      <c r="BE21" s="391">
        <f>BD21*E21</f>
        <v>180000</v>
      </c>
      <c r="BF21" s="392">
        <v>12</v>
      </c>
      <c r="BG21" s="391">
        <f>BF21*E21</f>
        <v>180000</v>
      </c>
      <c r="BH21" s="392">
        <v>0</v>
      </c>
      <c r="BI21" s="391">
        <f>BH21*E21</f>
        <v>0</v>
      </c>
      <c r="BJ21" s="392">
        <f t="shared" si="8"/>
        <v>204</v>
      </c>
      <c r="BK21" s="392">
        <f t="shared" si="8"/>
        <v>3240000</v>
      </c>
      <c r="BL21" s="385" t="s">
        <v>209</v>
      </c>
      <c r="BM21" s="400"/>
      <c r="BN21" s="251"/>
      <c r="BO21" s="251"/>
      <c r="BP21" s="251"/>
      <c r="BQ21" s="251"/>
      <c r="BR21" s="251">
        <f>BN21+BO21+BP21+BQ21</f>
        <v>0</v>
      </c>
      <c r="BS21" s="251">
        <f>BK21</f>
        <v>3240000</v>
      </c>
      <c r="BT21" s="251"/>
      <c r="BU21" s="251">
        <f>BS21+BT21</f>
        <v>3240000</v>
      </c>
      <c r="BV21" s="393">
        <f t="shared" si="1"/>
        <v>3240000</v>
      </c>
    </row>
    <row r="22" spans="1:74" s="376" customFormat="1" x14ac:dyDescent="0.25">
      <c r="A22" s="394"/>
      <c r="B22" s="367"/>
      <c r="C22" s="384" t="s">
        <v>952</v>
      </c>
      <c r="D22" s="403" t="s">
        <v>111</v>
      </c>
      <c r="E22" s="404" t="s">
        <v>111</v>
      </c>
      <c r="F22" s="380">
        <f t="shared" ref="F22:BK22" si="9">SUM(F19:F21)</f>
        <v>205</v>
      </c>
      <c r="G22" s="380">
        <f t="shared" si="9"/>
        <v>3340000</v>
      </c>
      <c r="H22" s="380">
        <f t="shared" si="9"/>
        <v>668000</v>
      </c>
      <c r="I22" s="380">
        <f t="shared" si="9"/>
        <v>2672000</v>
      </c>
      <c r="J22" s="380">
        <f t="shared" si="9"/>
        <v>0</v>
      </c>
      <c r="K22" s="380">
        <f t="shared" si="9"/>
        <v>0</v>
      </c>
      <c r="L22" s="380">
        <f t="shared" si="9"/>
        <v>0</v>
      </c>
      <c r="M22" s="380">
        <f t="shared" si="9"/>
        <v>0</v>
      </c>
      <c r="N22" s="380">
        <f t="shared" si="9"/>
        <v>0</v>
      </c>
      <c r="O22" s="380">
        <f t="shared" si="9"/>
        <v>0</v>
      </c>
      <c r="P22" s="380">
        <f t="shared" si="9"/>
        <v>0</v>
      </c>
      <c r="Q22" s="380">
        <f t="shared" si="9"/>
        <v>0</v>
      </c>
      <c r="R22" s="380">
        <f t="shared" si="9"/>
        <v>51.25</v>
      </c>
      <c r="S22" s="380">
        <f t="shared" si="9"/>
        <v>51.25</v>
      </c>
      <c r="T22" s="380">
        <f t="shared" si="9"/>
        <v>51.25</v>
      </c>
      <c r="U22" s="380">
        <f t="shared" si="9"/>
        <v>51.25</v>
      </c>
      <c r="V22" s="380">
        <f t="shared" si="9"/>
        <v>835000</v>
      </c>
      <c r="W22" s="380">
        <f t="shared" si="9"/>
        <v>835000</v>
      </c>
      <c r="X22" s="380">
        <f t="shared" si="9"/>
        <v>835000</v>
      </c>
      <c r="Y22" s="380">
        <f t="shared" si="9"/>
        <v>835000</v>
      </c>
      <c r="Z22" s="380">
        <f t="shared" si="9"/>
        <v>12</v>
      </c>
      <c r="AA22" s="380">
        <f t="shared" si="9"/>
        <v>180000</v>
      </c>
      <c r="AB22" s="380">
        <f t="shared" si="9"/>
        <v>12</v>
      </c>
      <c r="AC22" s="380">
        <f t="shared" si="9"/>
        <v>180000</v>
      </c>
      <c r="AD22" s="380">
        <f t="shared" si="9"/>
        <v>12</v>
      </c>
      <c r="AE22" s="380">
        <f t="shared" si="9"/>
        <v>180000</v>
      </c>
      <c r="AF22" s="380">
        <f t="shared" si="9"/>
        <v>12</v>
      </c>
      <c r="AG22" s="380">
        <f t="shared" si="9"/>
        <v>180000</v>
      </c>
      <c r="AH22" s="380">
        <f t="shared" si="9"/>
        <v>12</v>
      </c>
      <c r="AI22" s="380">
        <f t="shared" si="9"/>
        <v>180000</v>
      </c>
      <c r="AJ22" s="380">
        <f t="shared" si="9"/>
        <v>12</v>
      </c>
      <c r="AK22" s="380">
        <f t="shared" si="9"/>
        <v>180000</v>
      </c>
      <c r="AL22" s="380">
        <f t="shared" si="9"/>
        <v>12</v>
      </c>
      <c r="AM22" s="380">
        <f t="shared" si="9"/>
        <v>360000</v>
      </c>
      <c r="AN22" s="380">
        <f t="shared" si="9"/>
        <v>12</v>
      </c>
      <c r="AO22" s="380">
        <f t="shared" si="9"/>
        <v>180000</v>
      </c>
      <c r="AP22" s="380">
        <f t="shared" si="9"/>
        <v>12</v>
      </c>
      <c r="AQ22" s="380">
        <f t="shared" si="9"/>
        <v>180000</v>
      </c>
      <c r="AR22" s="380">
        <f t="shared" si="9"/>
        <v>12</v>
      </c>
      <c r="AS22" s="380">
        <f t="shared" si="9"/>
        <v>180000</v>
      </c>
      <c r="AT22" s="380">
        <f t="shared" si="9"/>
        <v>12</v>
      </c>
      <c r="AU22" s="380">
        <f t="shared" si="9"/>
        <v>180000</v>
      </c>
      <c r="AV22" s="380">
        <f t="shared" si="9"/>
        <v>12</v>
      </c>
      <c r="AW22" s="380">
        <f t="shared" si="9"/>
        <v>180000</v>
      </c>
      <c r="AX22" s="380">
        <f t="shared" si="9"/>
        <v>12</v>
      </c>
      <c r="AY22" s="380">
        <f t="shared" si="9"/>
        <v>180000</v>
      </c>
      <c r="AZ22" s="380">
        <f t="shared" si="9"/>
        <v>12</v>
      </c>
      <c r="BA22" s="380">
        <f t="shared" si="9"/>
        <v>180000</v>
      </c>
      <c r="BB22" s="380">
        <f t="shared" si="9"/>
        <v>12</v>
      </c>
      <c r="BC22" s="380">
        <f t="shared" si="9"/>
        <v>180000</v>
      </c>
      <c r="BD22" s="380">
        <f t="shared" si="9"/>
        <v>12</v>
      </c>
      <c r="BE22" s="380">
        <f t="shared" si="9"/>
        <v>180000</v>
      </c>
      <c r="BF22" s="380">
        <f t="shared" si="9"/>
        <v>12</v>
      </c>
      <c r="BG22" s="380">
        <f t="shared" si="9"/>
        <v>180000</v>
      </c>
      <c r="BH22" s="380">
        <f t="shared" si="9"/>
        <v>1</v>
      </c>
      <c r="BI22" s="380">
        <f t="shared" si="9"/>
        <v>100000</v>
      </c>
      <c r="BJ22" s="380">
        <f t="shared" si="9"/>
        <v>205</v>
      </c>
      <c r="BK22" s="380">
        <f t="shared" si="9"/>
        <v>3340000</v>
      </c>
      <c r="BL22" s="403" t="s">
        <v>111</v>
      </c>
      <c r="BM22" s="405"/>
      <c r="BN22" s="252"/>
      <c r="BO22" s="252">
        <f>SUM(BO19:BO21)</f>
        <v>100000</v>
      </c>
      <c r="BP22" s="252">
        <f t="shared" ref="BP22:BV22" si="10">SUM(BP19:BP21)</f>
        <v>0</v>
      </c>
      <c r="BQ22" s="252">
        <f t="shared" si="10"/>
        <v>0</v>
      </c>
      <c r="BR22" s="252">
        <f t="shared" si="10"/>
        <v>100000</v>
      </c>
      <c r="BS22" s="252">
        <f t="shared" si="10"/>
        <v>3240000</v>
      </c>
      <c r="BT22" s="252">
        <f t="shared" si="10"/>
        <v>0</v>
      </c>
      <c r="BU22" s="252">
        <f t="shared" si="10"/>
        <v>3240000</v>
      </c>
      <c r="BV22" s="252">
        <f t="shared" si="10"/>
        <v>3340000</v>
      </c>
    </row>
    <row r="23" spans="1:74" s="376" customFormat="1" x14ac:dyDescent="0.25">
      <c r="A23" s="394"/>
      <c r="B23" s="367"/>
      <c r="C23" s="384" t="s">
        <v>425</v>
      </c>
      <c r="D23" s="385"/>
      <c r="E23" s="385"/>
      <c r="F23" s="380"/>
      <c r="G23" s="390"/>
      <c r="H23" s="390"/>
      <c r="I23" s="390"/>
      <c r="J23" s="390"/>
      <c r="K23" s="390"/>
      <c r="L23" s="390"/>
      <c r="M23" s="390"/>
      <c r="N23" s="390"/>
      <c r="O23" s="390"/>
      <c r="P23" s="390"/>
      <c r="Q23" s="390"/>
      <c r="R23" s="390"/>
      <c r="S23" s="390"/>
      <c r="T23" s="390"/>
      <c r="U23" s="390"/>
      <c r="V23" s="390"/>
      <c r="W23" s="390"/>
      <c r="X23" s="390"/>
      <c r="Y23" s="390"/>
      <c r="Z23" s="406"/>
      <c r="AA23" s="391">
        <f t="shared" ref="AA23:AA35" si="11">Z23*E23</f>
        <v>0</v>
      </c>
      <c r="AB23" s="406"/>
      <c r="AC23" s="391">
        <f t="shared" ref="AC23:AC35" si="12">AB23*E23</f>
        <v>0</v>
      </c>
      <c r="AD23" s="406"/>
      <c r="AE23" s="391">
        <f t="shared" ref="AE23:AE35" si="13">AD23*E23</f>
        <v>0</v>
      </c>
      <c r="AF23" s="406"/>
      <c r="AG23" s="391">
        <f t="shared" ref="AG23:AG35" si="14">AF23*E23</f>
        <v>0</v>
      </c>
      <c r="AH23" s="406"/>
      <c r="AI23" s="391">
        <f>AH23*E23</f>
        <v>0</v>
      </c>
      <c r="AJ23" s="406"/>
      <c r="AK23" s="391">
        <f t="shared" ref="AK23:AK35" si="15">AJ23*E23</f>
        <v>0</v>
      </c>
      <c r="AL23" s="406"/>
      <c r="AM23" s="391">
        <f t="shared" ref="AM23:AM35" si="16">AL23*E23</f>
        <v>0</v>
      </c>
      <c r="AN23" s="406"/>
      <c r="AO23" s="391">
        <f t="shared" ref="AO23:AO35" si="17">AN23*E23</f>
        <v>0</v>
      </c>
      <c r="AP23" s="406"/>
      <c r="AQ23" s="391">
        <f t="shared" ref="AQ23:AQ35" si="18">AP23*E23</f>
        <v>0</v>
      </c>
      <c r="AR23" s="406"/>
      <c r="AS23" s="391">
        <f t="shared" ref="AS23:AS35" si="19">AR23*E23</f>
        <v>0</v>
      </c>
      <c r="AT23" s="406"/>
      <c r="AU23" s="391">
        <f t="shared" ref="AU23:AU35" si="20">AT23*E23</f>
        <v>0</v>
      </c>
      <c r="AV23" s="406"/>
      <c r="AW23" s="391">
        <f t="shared" ref="AW23:AW35" si="21">AV23*E23</f>
        <v>0</v>
      </c>
      <c r="AX23" s="406"/>
      <c r="AY23" s="391">
        <f t="shared" ref="AY23:AY35" si="22">AX23*E23</f>
        <v>0</v>
      </c>
      <c r="AZ23" s="406"/>
      <c r="BA23" s="391">
        <f>AZ23*E23</f>
        <v>0</v>
      </c>
      <c r="BB23" s="406"/>
      <c r="BC23" s="391">
        <f t="shared" ref="BC23:BC35" si="23">BB23*E23</f>
        <v>0</v>
      </c>
      <c r="BD23" s="406"/>
      <c r="BE23" s="391"/>
      <c r="BF23" s="406"/>
      <c r="BG23" s="391"/>
      <c r="BH23" s="406"/>
      <c r="BI23" s="391"/>
      <c r="BJ23" s="392"/>
      <c r="BK23" s="392"/>
      <c r="BL23" s="385"/>
      <c r="BM23" s="400"/>
      <c r="BN23" s="390"/>
      <c r="BO23" s="390"/>
      <c r="BP23" s="390"/>
      <c r="BQ23" s="390"/>
      <c r="BR23" s="390"/>
      <c r="BS23" s="390"/>
      <c r="BT23" s="390"/>
      <c r="BU23" s="390"/>
      <c r="BV23" s="407"/>
    </row>
    <row r="24" spans="1:74" x14ac:dyDescent="0.25">
      <c r="A24" s="394"/>
      <c r="B24" s="377"/>
      <c r="C24" s="382" t="s">
        <v>74</v>
      </c>
      <c r="D24" s="408"/>
      <c r="E24" s="409"/>
      <c r="F24" s="395"/>
      <c r="G24" s="396"/>
      <c r="H24" s="396"/>
      <c r="I24" s="396"/>
      <c r="J24" s="396"/>
      <c r="K24" s="396"/>
      <c r="L24" s="396"/>
      <c r="M24" s="396"/>
      <c r="N24" s="396"/>
      <c r="O24" s="396"/>
      <c r="P24" s="396"/>
      <c r="Q24" s="396"/>
      <c r="R24" s="392"/>
      <c r="S24" s="392"/>
      <c r="T24" s="392"/>
      <c r="U24" s="392"/>
      <c r="V24" s="391"/>
      <c r="W24" s="391"/>
      <c r="X24" s="391"/>
      <c r="Y24" s="391"/>
      <c r="Z24" s="392"/>
      <c r="AA24" s="391">
        <f t="shared" si="11"/>
        <v>0</v>
      </c>
      <c r="AB24" s="392"/>
      <c r="AC24" s="391">
        <f t="shared" si="12"/>
        <v>0</v>
      </c>
      <c r="AD24" s="392"/>
      <c r="AE24" s="391">
        <f t="shared" si="13"/>
        <v>0</v>
      </c>
      <c r="AF24" s="392"/>
      <c r="AG24" s="391">
        <f t="shared" si="14"/>
        <v>0</v>
      </c>
      <c r="AH24" s="392"/>
      <c r="AI24" s="391">
        <f>AH24*E24</f>
        <v>0</v>
      </c>
      <c r="AJ24" s="392"/>
      <c r="AK24" s="391">
        <f t="shared" si="15"/>
        <v>0</v>
      </c>
      <c r="AL24" s="392"/>
      <c r="AM24" s="391">
        <f t="shared" si="16"/>
        <v>0</v>
      </c>
      <c r="AN24" s="392"/>
      <c r="AO24" s="391">
        <f t="shared" si="17"/>
        <v>0</v>
      </c>
      <c r="AP24" s="392"/>
      <c r="AQ24" s="391">
        <f t="shared" si="18"/>
        <v>0</v>
      </c>
      <c r="AR24" s="392"/>
      <c r="AS24" s="391">
        <f t="shared" si="19"/>
        <v>0</v>
      </c>
      <c r="AT24" s="392"/>
      <c r="AU24" s="391">
        <f t="shared" si="20"/>
        <v>0</v>
      </c>
      <c r="AV24" s="392"/>
      <c r="AW24" s="391">
        <f t="shared" si="21"/>
        <v>0</v>
      </c>
      <c r="AX24" s="391">
        <v>0</v>
      </c>
      <c r="AY24" s="391">
        <f t="shared" si="22"/>
        <v>0</v>
      </c>
      <c r="AZ24" s="392"/>
      <c r="BA24" s="391">
        <f>AZ24*E24</f>
        <v>0</v>
      </c>
      <c r="BB24" s="392"/>
      <c r="BC24" s="391">
        <f t="shared" si="23"/>
        <v>0</v>
      </c>
      <c r="BD24" s="392"/>
      <c r="BE24" s="391"/>
      <c r="BF24" s="392"/>
      <c r="BG24" s="391"/>
      <c r="BH24" s="392"/>
      <c r="BI24" s="391"/>
      <c r="BJ24" s="392"/>
      <c r="BK24" s="392"/>
      <c r="BL24" s="326"/>
      <c r="BM24" s="400"/>
      <c r="BN24" s="396">
        <f t="shared" ref="BN24:BN33" si="24">G24</f>
        <v>0</v>
      </c>
      <c r="BO24" s="251"/>
      <c r="BP24" s="251"/>
      <c r="BQ24" s="251"/>
      <c r="BR24" s="251">
        <f t="shared" ref="BR24:BR35" si="25">BN24+BO24+BP24+BQ24</f>
        <v>0</v>
      </c>
      <c r="BS24" s="251"/>
      <c r="BT24" s="251"/>
      <c r="BU24" s="251">
        <f>BS24+BT24</f>
        <v>0</v>
      </c>
      <c r="BV24" s="393">
        <f t="shared" si="1"/>
        <v>0</v>
      </c>
    </row>
    <row r="25" spans="1:74" x14ac:dyDescent="0.25">
      <c r="A25" s="394"/>
      <c r="B25" s="377" t="s">
        <v>742</v>
      </c>
      <c r="C25" s="408" t="s">
        <v>231</v>
      </c>
      <c r="D25" s="410" t="s">
        <v>237</v>
      </c>
      <c r="E25" s="409">
        <v>40000</v>
      </c>
      <c r="F25" s="395">
        <f t="shared" ref="F25:G34" si="26">BJ25</f>
        <v>153</v>
      </c>
      <c r="G25" s="396">
        <f>BK25</f>
        <v>6120000</v>
      </c>
      <c r="H25" s="397"/>
      <c r="I25" s="397"/>
      <c r="J25" s="397"/>
      <c r="K25" s="397"/>
      <c r="L25" s="397"/>
      <c r="M25" s="397">
        <f>G25</f>
        <v>6120000</v>
      </c>
      <c r="N25" s="397"/>
      <c r="O25" s="397"/>
      <c r="P25" s="397"/>
      <c r="Q25" s="396"/>
      <c r="R25" s="392">
        <f t="shared" ref="R25:R35" si="27">F25*0.35</f>
        <v>53.55</v>
      </c>
      <c r="S25" s="392">
        <f>F25*0.1</f>
        <v>15.3</v>
      </c>
      <c r="T25" s="392">
        <f>F25:F25*0.15</f>
        <v>22.95</v>
      </c>
      <c r="U25" s="392">
        <f>F25*0.4</f>
        <v>61.2</v>
      </c>
      <c r="V25" s="391">
        <f>G25*0.2</f>
        <v>1224000</v>
      </c>
      <c r="W25" s="391">
        <f>G25*0.45</f>
        <v>2754000</v>
      </c>
      <c r="X25" s="391">
        <f>G25*0.25</f>
        <v>1530000</v>
      </c>
      <c r="Y25" s="391">
        <f>G25*0.1</f>
        <v>612000</v>
      </c>
      <c r="Z25" s="392">
        <v>0</v>
      </c>
      <c r="AA25" s="391">
        <f t="shared" si="11"/>
        <v>0</v>
      </c>
      <c r="AB25" s="391">
        <v>40</v>
      </c>
      <c r="AC25" s="391">
        <f t="shared" si="12"/>
        <v>1600000</v>
      </c>
      <c r="AD25" s="392">
        <v>5</v>
      </c>
      <c r="AE25" s="391">
        <f t="shared" si="13"/>
        <v>200000</v>
      </c>
      <c r="AF25" s="392">
        <v>10</v>
      </c>
      <c r="AG25" s="391">
        <f t="shared" si="14"/>
        <v>400000</v>
      </c>
      <c r="AH25" s="392">
        <v>8</v>
      </c>
      <c r="AI25" s="391">
        <f>AH25*E25</f>
        <v>320000</v>
      </c>
      <c r="AJ25" s="392">
        <v>10</v>
      </c>
      <c r="AK25" s="391">
        <f t="shared" si="15"/>
        <v>400000</v>
      </c>
      <c r="AL25" s="392">
        <v>0</v>
      </c>
      <c r="AM25" s="391">
        <f t="shared" si="16"/>
        <v>0</v>
      </c>
      <c r="AN25" s="392">
        <v>15</v>
      </c>
      <c r="AO25" s="391">
        <f t="shared" si="17"/>
        <v>600000</v>
      </c>
      <c r="AP25" s="392">
        <v>0</v>
      </c>
      <c r="AQ25" s="391">
        <f t="shared" si="18"/>
        <v>0</v>
      </c>
      <c r="AR25" s="392">
        <v>5</v>
      </c>
      <c r="AS25" s="391">
        <f t="shared" si="19"/>
        <v>200000</v>
      </c>
      <c r="AT25" s="392">
        <v>20</v>
      </c>
      <c r="AU25" s="391">
        <f t="shared" si="20"/>
        <v>800000</v>
      </c>
      <c r="AV25" s="392">
        <v>5</v>
      </c>
      <c r="AW25" s="391">
        <f t="shared" si="21"/>
        <v>200000</v>
      </c>
      <c r="AX25" s="391">
        <v>10</v>
      </c>
      <c r="AY25" s="391">
        <f t="shared" si="22"/>
        <v>400000</v>
      </c>
      <c r="AZ25" s="392">
        <v>0</v>
      </c>
      <c r="BA25" s="391">
        <f t="shared" ref="BA25:BA35" si="28">AZ25*E25</f>
        <v>0</v>
      </c>
      <c r="BB25" s="392">
        <v>0</v>
      </c>
      <c r="BC25" s="391">
        <f t="shared" si="23"/>
        <v>0</v>
      </c>
      <c r="BD25" s="392">
        <v>5</v>
      </c>
      <c r="BE25" s="391">
        <f t="shared" ref="BE25:BE35" si="29">BD25*E25</f>
        <v>200000</v>
      </c>
      <c r="BF25" s="392">
        <v>20</v>
      </c>
      <c r="BG25" s="391">
        <f t="shared" ref="BG25:BG35" si="30">BF25*E25</f>
        <v>800000</v>
      </c>
      <c r="BH25" s="392"/>
      <c r="BI25" s="391">
        <f t="shared" ref="BI25:BI35" si="31">BH25*E25</f>
        <v>0</v>
      </c>
      <c r="BJ25" s="392">
        <f t="shared" ref="BJ25:BK35" si="32">BH25+BF25+BD25+BB25+AZ25+AX25+AV25+AT25+AR25+AP25+AN25+AL25+AJ25+AH25+AF25+AD25+AB25+Z25</f>
        <v>153</v>
      </c>
      <c r="BK25" s="392">
        <f t="shared" si="32"/>
        <v>6120000</v>
      </c>
      <c r="BL25" s="326" t="s">
        <v>276</v>
      </c>
      <c r="BM25" s="400"/>
      <c r="BN25" s="396">
        <f t="shared" si="24"/>
        <v>6120000</v>
      </c>
      <c r="BO25" s="251"/>
      <c r="BP25" s="251"/>
      <c r="BQ25" s="251"/>
      <c r="BR25" s="251">
        <f t="shared" si="25"/>
        <v>6120000</v>
      </c>
      <c r="BS25" s="251"/>
      <c r="BT25" s="251"/>
      <c r="BU25" s="251"/>
      <c r="BV25" s="393">
        <f t="shared" si="1"/>
        <v>6120000</v>
      </c>
    </row>
    <row r="26" spans="1:74" x14ac:dyDescent="0.25">
      <c r="A26" s="394"/>
      <c r="B26" s="377" t="s">
        <v>735</v>
      </c>
      <c r="C26" s="408" t="s">
        <v>741</v>
      </c>
      <c r="D26" s="410" t="s">
        <v>237</v>
      </c>
      <c r="E26" s="758">
        <v>20000</v>
      </c>
      <c r="F26" s="395">
        <f t="shared" si="26"/>
        <v>500</v>
      </c>
      <c r="G26" s="396">
        <f>BK26</f>
        <v>10000000</v>
      </c>
      <c r="H26" s="397">
        <f>G26*0.15</f>
        <v>1500000</v>
      </c>
      <c r="I26" s="397">
        <f>G26*0.75</f>
        <v>7500000</v>
      </c>
      <c r="J26" s="397"/>
      <c r="K26" s="397"/>
      <c r="L26" s="397"/>
      <c r="M26" s="397"/>
      <c r="N26" s="397"/>
      <c r="O26" s="397"/>
      <c r="P26" s="397">
        <f>G26*0.1</f>
        <v>1000000</v>
      </c>
      <c r="Q26" s="396"/>
      <c r="R26" s="392">
        <f t="shared" si="27"/>
        <v>175</v>
      </c>
      <c r="S26" s="392">
        <f>F26*0.1</f>
        <v>50</v>
      </c>
      <c r="T26" s="392">
        <f>F26:F26*0.15</f>
        <v>75</v>
      </c>
      <c r="U26" s="392">
        <f>F26*0.4</f>
        <v>200</v>
      </c>
      <c r="V26" s="391">
        <f>G26*0.5</f>
        <v>5000000</v>
      </c>
      <c r="W26" s="391">
        <f>G26*0.2</f>
        <v>2000000</v>
      </c>
      <c r="X26" s="391">
        <f>G26*0.3</f>
        <v>3000000</v>
      </c>
      <c r="Y26" s="391">
        <f>G26*0</f>
        <v>0</v>
      </c>
      <c r="Z26" s="392">
        <v>35</v>
      </c>
      <c r="AA26" s="391">
        <f t="shared" si="11"/>
        <v>700000</v>
      </c>
      <c r="AB26" s="392">
        <v>35</v>
      </c>
      <c r="AC26" s="391">
        <f t="shared" si="12"/>
        <v>700000</v>
      </c>
      <c r="AD26" s="392">
        <v>35</v>
      </c>
      <c r="AE26" s="391">
        <f t="shared" si="13"/>
        <v>700000</v>
      </c>
      <c r="AF26" s="392">
        <v>35</v>
      </c>
      <c r="AG26" s="391">
        <f t="shared" si="14"/>
        <v>700000</v>
      </c>
      <c r="AH26" s="392">
        <v>35</v>
      </c>
      <c r="AI26" s="391">
        <f t="shared" ref="AI26:AI35" si="33">AH26*E26</f>
        <v>700000</v>
      </c>
      <c r="AJ26" s="392">
        <v>35</v>
      </c>
      <c r="AK26" s="391">
        <f t="shared" si="15"/>
        <v>700000</v>
      </c>
      <c r="AL26" s="392">
        <v>35</v>
      </c>
      <c r="AM26" s="391">
        <f t="shared" si="16"/>
        <v>700000</v>
      </c>
      <c r="AN26" s="392">
        <v>10</v>
      </c>
      <c r="AO26" s="391">
        <f t="shared" si="17"/>
        <v>200000</v>
      </c>
      <c r="AP26" s="392">
        <v>15</v>
      </c>
      <c r="AQ26" s="391">
        <f t="shared" si="18"/>
        <v>300000</v>
      </c>
      <c r="AR26" s="392">
        <v>35</v>
      </c>
      <c r="AS26" s="391">
        <f>AR26*E26</f>
        <v>700000</v>
      </c>
      <c r="AT26" s="392">
        <v>35</v>
      </c>
      <c r="AU26" s="391">
        <f t="shared" si="20"/>
        <v>700000</v>
      </c>
      <c r="AV26" s="392">
        <v>35</v>
      </c>
      <c r="AW26" s="391">
        <f>(AV26*E26)</f>
        <v>700000</v>
      </c>
      <c r="AX26" s="391">
        <v>10</v>
      </c>
      <c r="AY26" s="391">
        <f t="shared" si="22"/>
        <v>200000</v>
      </c>
      <c r="AZ26" s="392">
        <v>35</v>
      </c>
      <c r="BA26" s="391">
        <f t="shared" si="28"/>
        <v>700000</v>
      </c>
      <c r="BB26" s="392">
        <v>35</v>
      </c>
      <c r="BC26" s="391">
        <f t="shared" si="23"/>
        <v>700000</v>
      </c>
      <c r="BD26" s="392">
        <v>10</v>
      </c>
      <c r="BE26" s="391">
        <f t="shared" si="29"/>
        <v>200000</v>
      </c>
      <c r="BF26" s="392">
        <v>35</v>
      </c>
      <c r="BG26" s="391">
        <f t="shared" si="30"/>
        <v>700000</v>
      </c>
      <c r="BH26" s="392"/>
      <c r="BI26" s="391">
        <f t="shared" si="31"/>
        <v>0</v>
      </c>
      <c r="BJ26" s="392">
        <f t="shared" si="32"/>
        <v>500</v>
      </c>
      <c r="BK26" s="392">
        <f t="shared" si="32"/>
        <v>10000000</v>
      </c>
      <c r="BL26" s="377" t="s">
        <v>291</v>
      </c>
      <c r="BM26" s="400"/>
      <c r="BN26" s="396">
        <f t="shared" si="24"/>
        <v>10000000</v>
      </c>
      <c r="BO26" s="251"/>
      <c r="BP26" s="251"/>
      <c r="BQ26" s="251"/>
      <c r="BR26" s="251">
        <f t="shared" si="25"/>
        <v>10000000</v>
      </c>
      <c r="BS26" s="251"/>
      <c r="BT26" s="251"/>
      <c r="BU26" s="251"/>
      <c r="BV26" s="393">
        <f t="shared" si="1"/>
        <v>10000000</v>
      </c>
    </row>
    <row r="27" spans="1:74" ht="31.5" x14ac:dyDescent="0.25">
      <c r="A27" s="394"/>
      <c r="B27" s="377" t="s">
        <v>1161</v>
      </c>
      <c r="C27" s="408" t="s">
        <v>1160</v>
      </c>
      <c r="D27" s="410" t="s">
        <v>630</v>
      </c>
      <c r="E27" s="411">
        <v>0</v>
      </c>
      <c r="F27" s="395">
        <f t="shared" ref="F27" si="34">BJ27</f>
        <v>106</v>
      </c>
      <c r="G27" s="396">
        <f>BK27</f>
        <v>63800000</v>
      </c>
      <c r="H27" s="397">
        <f>G27*0.2</f>
        <v>12760000</v>
      </c>
      <c r="I27" s="397">
        <f>G27*0.8</f>
        <v>51040000</v>
      </c>
      <c r="J27" s="397"/>
      <c r="K27" s="397"/>
      <c r="L27" s="397"/>
      <c r="M27" s="397"/>
      <c r="N27" s="397"/>
      <c r="O27" s="397"/>
      <c r="P27" s="397">
        <f>G27*0</f>
        <v>0</v>
      </c>
      <c r="Q27" s="396"/>
      <c r="R27" s="392">
        <f>F27*0.5</f>
        <v>53</v>
      </c>
      <c r="S27" s="392">
        <v>53</v>
      </c>
      <c r="T27" s="392">
        <v>0</v>
      </c>
      <c r="U27" s="392">
        <v>0</v>
      </c>
      <c r="V27" s="391">
        <f>G27*0.5</f>
        <v>31900000</v>
      </c>
      <c r="W27" s="391">
        <f>G27*0.5</f>
        <v>31900000</v>
      </c>
      <c r="X27" s="391">
        <v>0</v>
      </c>
      <c r="Y27" s="391">
        <v>0</v>
      </c>
      <c r="Z27" s="392">
        <v>7</v>
      </c>
      <c r="AA27" s="391">
        <v>3250000</v>
      </c>
      <c r="AB27" s="392">
        <v>9</v>
      </c>
      <c r="AC27" s="391">
        <v>5150000</v>
      </c>
      <c r="AD27" s="392">
        <v>4</v>
      </c>
      <c r="AE27" s="391">
        <v>2400000</v>
      </c>
      <c r="AF27" s="392">
        <v>3</v>
      </c>
      <c r="AG27" s="391">
        <v>1800000</v>
      </c>
      <c r="AH27" s="392">
        <v>3</v>
      </c>
      <c r="AI27" s="391">
        <v>1350000</v>
      </c>
      <c r="AJ27" s="392">
        <v>9</v>
      </c>
      <c r="AK27" s="391">
        <v>6000000</v>
      </c>
      <c r="AL27" s="392">
        <v>6</v>
      </c>
      <c r="AM27" s="391">
        <v>3300000</v>
      </c>
      <c r="AN27" s="392">
        <v>5</v>
      </c>
      <c r="AO27" s="391">
        <v>3850000</v>
      </c>
      <c r="AP27" s="392">
        <v>9</v>
      </c>
      <c r="AQ27" s="391">
        <v>4450000</v>
      </c>
      <c r="AR27" s="392">
        <v>7</v>
      </c>
      <c r="AS27" s="391">
        <v>3900000</v>
      </c>
      <c r="AT27" s="392">
        <v>7</v>
      </c>
      <c r="AU27" s="391">
        <v>6300000</v>
      </c>
      <c r="AV27" s="392">
        <v>4</v>
      </c>
      <c r="AW27" s="391">
        <v>2400000</v>
      </c>
      <c r="AX27" s="391">
        <v>6</v>
      </c>
      <c r="AY27" s="391">
        <v>3100000</v>
      </c>
      <c r="AZ27" s="392">
        <v>10</v>
      </c>
      <c r="BA27" s="391">
        <v>6800000</v>
      </c>
      <c r="BB27" s="392">
        <v>8</v>
      </c>
      <c r="BC27" s="391">
        <v>5100000</v>
      </c>
      <c r="BD27" s="392">
        <v>3</v>
      </c>
      <c r="BE27" s="391">
        <v>2400000</v>
      </c>
      <c r="BF27" s="392">
        <v>6</v>
      </c>
      <c r="BG27" s="391">
        <v>2250000</v>
      </c>
      <c r="BH27" s="392"/>
      <c r="BI27" s="391">
        <f t="shared" ref="BI27" si="35">BH27*E27</f>
        <v>0</v>
      </c>
      <c r="BJ27" s="392">
        <f t="shared" ref="BJ27" si="36">BH27+BF27+BD27+BB27+AZ27+AX27+AV27+AT27+AR27+AP27+AN27+AL27+AJ27+AH27+AF27+AD27+AB27+Z27</f>
        <v>106</v>
      </c>
      <c r="BK27" s="392">
        <f t="shared" ref="BK27" si="37">BI27+BG27+BE27+BC27+BA27+AY27+AW27+AU27+AS27+AQ27+AO27+AM27+AK27+AI27+AG27+AE27+AC27+AA27</f>
        <v>63800000</v>
      </c>
      <c r="BL27" s="377" t="s">
        <v>1172</v>
      </c>
      <c r="BM27" s="400"/>
      <c r="BN27" s="396">
        <f t="shared" ref="BN27" si="38">G27</f>
        <v>63800000</v>
      </c>
      <c r="BO27" s="251"/>
      <c r="BP27" s="251"/>
      <c r="BQ27" s="251"/>
      <c r="BR27" s="251">
        <f t="shared" ref="BR27" si="39">BN27+BO27+BP27+BQ27</f>
        <v>63800000</v>
      </c>
      <c r="BS27" s="251"/>
      <c r="BT27" s="251"/>
      <c r="BU27" s="251"/>
      <c r="BV27" s="393">
        <f t="shared" ref="BV27" si="40">BR27+BU27</f>
        <v>63800000</v>
      </c>
    </row>
    <row r="28" spans="1:74" ht="47.25" x14ac:dyDescent="0.25">
      <c r="A28" s="394"/>
      <c r="B28" s="377" t="s">
        <v>972</v>
      </c>
      <c r="C28" s="408" t="s">
        <v>908</v>
      </c>
      <c r="D28" s="410" t="s">
        <v>75</v>
      </c>
      <c r="E28" s="409">
        <v>20000</v>
      </c>
      <c r="F28" s="395">
        <f t="shared" ref="F28" si="41">BJ28</f>
        <v>0</v>
      </c>
      <c r="G28" s="396">
        <f>BK28</f>
        <v>0</v>
      </c>
      <c r="H28" s="397"/>
      <c r="I28" s="397"/>
      <c r="J28" s="397"/>
      <c r="K28" s="397"/>
      <c r="L28" s="397">
        <f>G28</f>
        <v>0</v>
      </c>
      <c r="M28" s="397"/>
      <c r="N28" s="397"/>
      <c r="O28" s="397"/>
      <c r="P28" s="397"/>
      <c r="Q28" s="396"/>
      <c r="R28" s="392">
        <f t="shared" ref="R28:R30" si="42">F28*0.35</f>
        <v>0</v>
      </c>
      <c r="S28" s="392">
        <f t="shared" ref="S28:S30" si="43">F28*0.1</f>
        <v>0</v>
      </c>
      <c r="T28" s="392">
        <f t="shared" ref="T28:T30" si="44">F28:F28*0.15</f>
        <v>0</v>
      </c>
      <c r="U28" s="392">
        <f t="shared" ref="U28:U30" si="45">F28*0.4</f>
        <v>0</v>
      </c>
      <c r="V28" s="391">
        <v>0</v>
      </c>
      <c r="W28" s="391">
        <v>0</v>
      </c>
      <c r="X28" s="391">
        <v>0</v>
      </c>
      <c r="Y28" s="391">
        <v>0</v>
      </c>
      <c r="Z28" s="392">
        <v>0</v>
      </c>
      <c r="AA28" s="391">
        <f t="shared" si="11"/>
        <v>0</v>
      </c>
      <c r="AB28" s="392">
        <v>0</v>
      </c>
      <c r="AC28" s="391">
        <f t="shared" si="12"/>
        <v>0</v>
      </c>
      <c r="AD28" s="392">
        <v>0</v>
      </c>
      <c r="AE28" s="391">
        <f t="shared" si="13"/>
        <v>0</v>
      </c>
      <c r="AF28" s="392">
        <v>0</v>
      </c>
      <c r="AG28" s="391">
        <f t="shared" si="14"/>
        <v>0</v>
      </c>
      <c r="AH28" s="392">
        <v>0</v>
      </c>
      <c r="AI28" s="391">
        <f t="shared" si="33"/>
        <v>0</v>
      </c>
      <c r="AJ28" s="392">
        <v>0</v>
      </c>
      <c r="AK28" s="391">
        <f t="shared" si="15"/>
        <v>0</v>
      </c>
      <c r="AL28" s="392">
        <v>0</v>
      </c>
      <c r="AM28" s="391">
        <v>0</v>
      </c>
      <c r="AN28" s="392">
        <v>0</v>
      </c>
      <c r="AO28" s="391">
        <f t="shared" si="17"/>
        <v>0</v>
      </c>
      <c r="AP28" s="392">
        <v>0</v>
      </c>
      <c r="AQ28" s="391">
        <v>0</v>
      </c>
      <c r="AR28" s="392">
        <v>0</v>
      </c>
      <c r="AS28" s="391">
        <f>(AR28*E28)</f>
        <v>0</v>
      </c>
      <c r="AT28" s="392">
        <v>0</v>
      </c>
      <c r="AU28" s="391">
        <v>0</v>
      </c>
      <c r="AV28" s="392">
        <v>0</v>
      </c>
      <c r="AW28" s="391">
        <f>(AV28*E28)</f>
        <v>0</v>
      </c>
      <c r="AX28" s="391">
        <v>0</v>
      </c>
      <c r="AY28" s="391">
        <f t="shared" si="22"/>
        <v>0</v>
      </c>
      <c r="AZ28" s="392">
        <v>0</v>
      </c>
      <c r="BA28" s="391">
        <f t="shared" si="28"/>
        <v>0</v>
      </c>
      <c r="BB28" s="392">
        <v>0</v>
      </c>
      <c r="BC28" s="391">
        <f t="shared" si="23"/>
        <v>0</v>
      </c>
      <c r="BD28" s="392">
        <v>0</v>
      </c>
      <c r="BE28" s="391">
        <f t="shared" si="29"/>
        <v>0</v>
      </c>
      <c r="BF28" s="392">
        <v>0</v>
      </c>
      <c r="BG28" s="391">
        <f t="shared" si="30"/>
        <v>0</v>
      </c>
      <c r="BH28" s="392"/>
      <c r="BI28" s="391"/>
      <c r="BJ28" s="392">
        <f t="shared" ref="BJ28" si="46">BH28+BF28+BD28+BB28+AZ28+AX28+AV28+AT28+AR28+AP28+AN28+AL28+AJ28+AH28+AF28+AD28+AB28+Z28</f>
        <v>0</v>
      </c>
      <c r="BK28" s="392">
        <f t="shared" si="32"/>
        <v>0</v>
      </c>
      <c r="BL28" s="377" t="s">
        <v>896</v>
      </c>
      <c r="BM28" s="400"/>
      <c r="BN28" s="396">
        <f t="shared" si="24"/>
        <v>0</v>
      </c>
      <c r="BO28" s="251"/>
      <c r="BP28" s="251"/>
      <c r="BQ28" s="251"/>
      <c r="BR28" s="251">
        <f t="shared" si="25"/>
        <v>0</v>
      </c>
      <c r="BS28" s="251"/>
      <c r="BT28" s="251"/>
      <c r="BU28" s="251"/>
      <c r="BV28" s="393">
        <f t="shared" si="1"/>
        <v>0</v>
      </c>
    </row>
    <row r="29" spans="1:74" x14ac:dyDescent="0.25">
      <c r="A29" s="394"/>
      <c r="B29" s="377" t="s">
        <v>736</v>
      </c>
      <c r="C29" s="408" t="s">
        <v>861</v>
      </c>
      <c r="D29" s="410" t="s">
        <v>237</v>
      </c>
      <c r="E29" s="409">
        <v>5000</v>
      </c>
      <c r="F29" s="395">
        <f>BJ29</f>
        <v>365</v>
      </c>
      <c r="G29" s="757">
        <f>F29*E29</f>
        <v>1825000</v>
      </c>
      <c r="H29" s="397">
        <f>G29*0.2</f>
        <v>365000</v>
      </c>
      <c r="I29" s="397">
        <f>G29*0.8</f>
        <v>1460000</v>
      </c>
      <c r="J29" s="397"/>
      <c r="K29" s="397"/>
      <c r="L29" s="397"/>
      <c r="M29" s="397"/>
      <c r="N29" s="397"/>
      <c r="O29" s="397"/>
      <c r="P29" s="397"/>
      <c r="Q29" s="396"/>
      <c r="R29" s="392">
        <f t="shared" si="42"/>
        <v>127.74999999999999</v>
      </c>
      <c r="S29" s="392">
        <f t="shared" si="43"/>
        <v>36.5</v>
      </c>
      <c r="T29" s="392">
        <f t="shared" si="44"/>
        <v>54.75</v>
      </c>
      <c r="U29" s="392">
        <f t="shared" si="45"/>
        <v>146</v>
      </c>
      <c r="V29" s="391">
        <f>G29*0.5</f>
        <v>912500</v>
      </c>
      <c r="W29" s="391">
        <f>G29*0.5</f>
        <v>912500</v>
      </c>
      <c r="X29" s="391">
        <f>G29*0</f>
        <v>0</v>
      </c>
      <c r="Y29" s="391">
        <f>G29*0</f>
        <v>0</v>
      </c>
      <c r="Z29" s="392">
        <v>40</v>
      </c>
      <c r="AA29" s="391">
        <f t="shared" si="11"/>
        <v>200000</v>
      </c>
      <c r="AB29" s="392">
        <v>30</v>
      </c>
      <c r="AC29" s="391">
        <f t="shared" si="12"/>
        <v>150000</v>
      </c>
      <c r="AD29" s="392">
        <v>30</v>
      </c>
      <c r="AE29" s="391">
        <f t="shared" si="13"/>
        <v>150000</v>
      </c>
      <c r="AF29" s="392">
        <v>30</v>
      </c>
      <c r="AG29" s="391">
        <f t="shared" si="14"/>
        <v>150000</v>
      </c>
      <c r="AH29" s="392">
        <v>20</v>
      </c>
      <c r="AI29" s="391">
        <f t="shared" si="33"/>
        <v>100000</v>
      </c>
      <c r="AJ29" s="392">
        <v>10</v>
      </c>
      <c r="AK29" s="391">
        <f t="shared" si="15"/>
        <v>50000</v>
      </c>
      <c r="AL29" s="392">
        <v>30</v>
      </c>
      <c r="AM29" s="391">
        <f t="shared" si="16"/>
        <v>150000</v>
      </c>
      <c r="AN29" s="392">
        <v>10</v>
      </c>
      <c r="AO29" s="391">
        <f t="shared" si="17"/>
        <v>50000</v>
      </c>
      <c r="AP29" s="392">
        <v>20</v>
      </c>
      <c r="AQ29" s="391">
        <f t="shared" si="18"/>
        <v>100000</v>
      </c>
      <c r="AR29" s="392">
        <v>20</v>
      </c>
      <c r="AS29" s="391">
        <f t="shared" si="19"/>
        <v>100000</v>
      </c>
      <c r="AT29" s="392">
        <v>20</v>
      </c>
      <c r="AU29" s="391">
        <f t="shared" si="20"/>
        <v>100000</v>
      </c>
      <c r="AV29" s="392">
        <v>20</v>
      </c>
      <c r="AW29" s="391">
        <f t="shared" si="21"/>
        <v>100000</v>
      </c>
      <c r="AX29" s="392">
        <v>20</v>
      </c>
      <c r="AY29" s="391">
        <f t="shared" si="22"/>
        <v>100000</v>
      </c>
      <c r="AZ29" s="392">
        <v>20</v>
      </c>
      <c r="BA29" s="391">
        <f t="shared" si="28"/>
        <v>100000</v>
      </c>
      <c r="BB29" s="392">
        <v>20</v>
      </c>
      <c r="BC29" s="391">
        <f t="shared" si="23"/>
        <v>100000</v>
      </c>
      <c r="BD29" s="392">
        <v>10</v>
      </c>
      <c r="BE29" s="391">
        <f t="shared" si="29"/>
        <v>50000</v>
      </c>
      <c r="BF29" s="392">
        <v>15</v>
      </c>
      <c r="BG29" s="391">
        <f t="shared" si="30"/>
        <v>75000</v>
      </c>
      <c r="BH29" s="392"/>
      <c r="BI29" s="391"/>
      <c r="BJ29" s="392">
        <f>BH29+BF29+BD29+BB29+AZ29+AX29+AV29+AT29+AR29+AP29+AN29+AL29+AJ29+AH29+AF29+AD29+AB29+Z29</f>
        <v>365</v>
      </c>
      <c r="BK29" s="392">
        <f t="shared" si="32"/>
        <v>1825000</v>
      </c>
      <c r="BL29" s="385" t="s">
        <v>209</v>
      </c>
      <c r="BM29" s="400"/>
      <c r="BN29" s="396"/>
      <c r="BO29" s="251"/>
      <c r="BP29" s="251">
        <f>G29</f>
        <v>1825000</v>
      </c>
      <c r="BQ29" s="251"/>
      <c r="BR29" s="251">
        <f t="shared" si="25"/>
        <v>1825000</v>
      </c>
      <c r="BS29" s="251"/>
      <c r="BT29" s="251"/>
      <c r="BU29" s="251"/>
      <c r="BV29" s="393">
        <f t="shared" si="1"/>
        <v>1825000</v>
      </c>
    </row>
    <row r="30" spans="1:74" x14ac:dyDescent="0.25">
      <c r="A30" s="394"/>
      <c r="B30" s="377" t="s">
        <v>737</v>
      </c>
      <c r="C30" s="408" t="s">
        <v>862</v>
      </c>
      <c r="D30" s="410" t="s">
        <v>16</v>
      </c>
      <c r="E30" s="409">
        <v>0</v>
      </c>
      <c r="F30" s="395">
        <f>BJ30</f>
        <v>0</v>
      </c>
      <c r="G30" s="395">
        <f>BK30</f>
        <v>0</v>
      </c>
      <c r="H30" s="397">
        <f>G30*0.2</f>
        <v>0</v>
      </c>
      <c r="I30" s="397">
        <f>G30*0.8</f>
        <v>0</v>
      </c>
      <c r="J30" s="397"/>
      <c r="K30" s="397"/>
      <c r="L30" s="397"/>
      <c r="M30" s="397"/>
      <c r="N30" s="397"/>
      <c r="O30" s="397"/>
      <c r="P30" s="397"/>
      <c r="Q30" s="396"/>
      <c r="R30" s="392">
        <f t="shared" si="42"/>
        <v>0</v>
      </c>
      <c r="S30" s="392">
        <f t="shared" si="43"/>
        <v>0</v>
      </c>
      <c r="T30" s="392">
        <f t="shared" si="44"/>
        <v>0</v>
      </c>
      <c r="U30" s="392">
        <f t="shared" si="45"/>
        <v>0</v>
      </c>
      <c r="V30" s="391">
        <f t="shared" ref="V30" si="47">G30*0.2</f>
        <v>0</v>
      </c>
      <c r="W30" s="391">
        <f t="shared" ref="W30" si="48">G30*0.45</f>
        <v>0</v>
      </c>
      <c r="X30" s="391">
        <f t="shared" ref="X30" si="49">G30*0.25</f>
        <v>0</v>
      </c>
      <c r="Y30" s="391">
        <f t="shared" ref="Y30" si="50">G30*0.1</f>
        <v>0</v>
      </c>
      <c r="Z30" s="392">
        <v>0</v>
      </c>
      <c r="AA30" s="391">
        <f t="shared" si="11"/>
        <v>0</v>
      </c>
      <c r="AB30" s="392">
        <v>0</v>
      </c>
      <c r="AC30" s="391">
        <f t="shared" si="12"/>
        <v>0</v>
      </c>
      <c r="AD30" s="392">
        <v>0</v>
      </c>
      <c r="AE30" s="391">
        <v>0</v>
      </c>
      <c r="AF30" s="392">
        <v>0</v>
      </c>
      <c r="AG30" s="391">
        <f t="shared" si="14"/>
        <v>0</v>
      </c>
      <c r="AH30" s="392">
        <v>0</v>
      </c>
      <c r="AI30" s="391">
        <f t="shared" si="33"/>
        <v>0</v>
      </c>
      <c r="AJ30" s="392">
        <v>0</v>
      </c>
      <c r="AK30" s="391">
        <f t="shared" si="15"/>
        <v>0</v>
      </c>
      <c r="AL30" s="392">
        <v>0</v>
      </c>
      <c r="AM30" s="391">
        <f t="shared" si="16"/>
        <v>0</v>
      </c>
      <c r="AN30" s="392">
        <v>0</v>
      </c>
      <c r="AO30" s="391">
        <f t="shared" si="17"/>
        <v>0</v>
      </c>
      <c r="AP30" s="392">
        <v>0</v>
      </c>
      <c r="AQ30" s="391">
        <f t="shared" si="18"/>
        <v>0</v>
      </c>
      <c r="AR30" s="392">
        <v>0</v>
      </c>
      <c r="AS30" s="391">
        <f t="shared" si="19"/>
        <v>0</v>
      </c>
      <c r="AT30" s="392">
        <v>0</v>
      </c>
      <c r="AU30" s="391">
        <f t="shared" si="20"/>
        <v>0</v>
      </c>
      <c r="AV30" s="392">
        <v>0</v>
      </c>
      <c r="AW30" s="391">
        <f t="shared" si="21"/>
        <v>0</v>
      </c>
      <c r="AX30" s="392">
        <v>0</v>
      </c>
      <c r="AY30" s="391">
        <f t="shared" si="22"/>
        <v>0</v>
      </c>
      <c r="AZ30" s="392">
        <v>0</v>
      </c>
      <c r="BA30" s="391">
        <f t="shared" si="28"/>
        <v>0</v>
      </c>
      <c r="BB30" s="392">
        <v>0</v>
      </c>
      <c r="BC30" s="391">
        <f t="shared" si="23"/>
        <v>0</v>
      </c>
      <c r="BD30" s="392">
        <v>0</v>
      </c>
      <c r="BE30" s="391">
        <f t="shared" si="29"/>
        <v>0</v>
      </c>
      <c r="BF30" s="392">
        <v>0</v>
      </c>
      <c r="BG30" s="391">
        <f t="shared" si="30"/>
        <v>0</v>
      </c>
      <c r="BH30" s="392"/>
      <c r="BI30" s="391"/>
      <c r="BJ30" s="392">
        <f>BH30+BF30+BD30+BB30+AZ30+AX30+AV30+AT30+AR30+AP30+AN30+AL30+AJ30+AH30+AF30+AD30+AB30+Z30</f>
        <v>0</v>
      </c>
      <c r="BK30" s="392">
        <f t="shared" si="32"/>
        <v>0</v>
      </c>
      <c r="BL30" s="385" t="s">
        <v>209</v>
      </c>
      <c r="BM30" s="400"/>
      <c r="BN30" s="396"/>
      <c r="BO30" s="251"/>
      <c r="BP30" s="251">
        <f>G30</f>
        <v>0</v>
      </c>
      <c r="BQ30" s="251"/>
      <c r="BR30" s="251">
        <f t="shared" si="25"/>
        <v>0</v>
      </c>
      <c r="BS30" s="251"/>
      <c r="BT30" s="251"/>
      <c r="BU30" s="251"/>
      <c r="BV30" s="393">
        <f t="shared" si="1"/>
        <v>0</v>
      </c>
    </row>
    <row r="31" spans="1:74" x14ac:dyDescent="0.25">
      <c r="A31" s="394"/>
      <c r="B31" s="377" t="s">
        <v>744</v>
      </c>
      <c r="C31" s="408" t="s">
        <v>235</v>
      </c>
      <c r="D31" s="410" t="s">
        <v>271</v>
      </c>
      <c r="E31" s="409">
        <v>800</v>
      </c>
      <c r="F31" s="395">
        <f t="shared" ref="F31:F35" si="51">BJ31</f>
        <v>500</v>
      </c>
      <c r="G31" s="396">
        <f t="shared" ref="G31:G35" si="52">F31*E31</f>
        <v>400000</v>
      </c>
      <c r="H31" s="397"/>
      <c r="I31" s="397"/>
      <c r="J31" s="397"/>
      <c r="K31" s="397"/>
      <c r="L31" s="397"/>
      <c r="M31" s="397">
        <f>G31</f>
        <v>400000</v>
      </c>
      <c r="N31" s="397"/>
      <c r="O31" s="397"/>
      <c r="P31" s="397"/>
      <c r="Q31" s="396"/>
      <c r="R31" s="392">
        <f t="shared" si="27"/>
        <v>175</v>
      </c>
      <c r="S31" s="392">
        <f>F31*0.1</f>
        <v>50</v>
      </c>
      <c r="T31" s="392">
        <f>F31:F31*0.15</f>
        <v>75</v>
      </c>
      <c r="U31" s="392">
        <f>F31*0.4</f>
        <v>200</v>
      </c>
      <c r="V31" s="391">
        <f t="shared" ref="V31:V35" si="53">G31*0.2</f>
        <v>80000</v>
      </c>
      <c r="W31" s="391">
        <f t="shared" ref="W31:W35" si="54">G31*0.45</f>
        <v>180000</v>
      </c>
      <c r="X31" s="391">
        <f t="shared" ref="X31:X35" si="55">G31*0.25</f>
        <v>100000</v>
      </c>
      <c r="Y31" s="391">
        <f t="shared" ref="Y31:Y35" si="56">G31*0.1</f>
        <v>40000</v>
      </c>
      <c r="Z31" s="392">
        <v>0</v>
      </c>
      <c r="AA31" s="391">
        <f t="shared" si="11"/>
        <v>0</v>
      </c>
      <c r="AB31" s="392">
        <v>0</v>
      </c>
      <c r="AC31" s="391">
        <f t="shared" si="12"/>
        <v>0</v>
      </c>
      <c r="AD31" s="392">
        <v>0</v>
      </c>
      <c r="AE31" s="391">
        <f t="shared" si="13"/>
        <v>0</v>
      </c>
      <c r="AF31" s="392">
        <v>0</v>
      </c>
      <c r="AG31" s="391">
        <f t="shared" si="14"/>
        <v>0</v>
      </c>
      <c r="AH31" s="392">
        <v>0</v>
      </c>
      <c r="AI31" s="391">
        <f t="shared" si="33"/>
        <v>0</v>
      </c>
      <c r="AJ31" s="392">
        <v>0</v>
      </c>
      <c r="AK31" s="391">
        <f t="shared" si="15"/>
        <v>0</v>
      </c>
      <c r="AL31" s="392">
        <v>0</v>
      </c>
      <c r="AM31" s="391">
        <f t="shared" si="16"/>
        <v>0</v>
      </c>
      <c r="AN31" s="392">
        <v>200</v>
      </c>
      <c r="AO31" s="391">
        <f t="shared" si="17"/>
        <v>160000</v>
      </c>
      <c r="AP31" s="392">
        <v>0</v>
      </c>
      <c r="AQ31" s="391">
        <f t="shared" si="18"/>
        <v>0</v>
      </c>
      <c r="AR31" s="392">
        <v>100</v>
      </c>
      <c r="AS31" s="391">
        <f t="shared" si="19"/>
        <v>80000</v>
      </c>
      <c r="AT31" s="392">
        <v>0</v>
      </c>
      <c r="AU31" s="391">
        <f t="shared" si="20"/>
        <v>0</v>
      </c>
      <c r="AV31" s="392">
        <v>0</v>
      </c>
      <c r="AW31" s="391">
        <f t="shared" si="21"/>
        <v>0</v>
      </c>
      <c r="AX31" s="391">
        <v>200</v>
      </c>
      <c r="AY31" s="391">
        <f t="shared" si="22"/>
        <v>160000</v>
      </c>
      <c r="AZ31" s="392">
        <v>0</v>
      </c>
      <c r="BA31" s="391">
        <f t="shared" si="28"/>
        <v>0</v>
      </c>
      <c r="BB31" s="392"/>
      <c r="BC31" s="391">
        <f t="shared" si="23"/>
        <v>0</v>
      </c>
      <c r="BD31" s="392">
        <v>0</v>
      </c>
      <c r="BE31" s="391">
        <f t="shared" si="29"/>
        <v>0</v>
      </c>
      <c r="BF31" s="392">
        <v>0</v>
      </c>
      <c r="BG31" s="391">
        <f t="shared" si="30"/>
        <v>0</v>
      </c>
      <c r="BH31" s="392"/>
      <c r="BI31" s="391">
        <f t="shared" si="31"/>
        <v>0</v>
      </c>
      <c r="BJ31" s="392">
        <f t="shared" si="32"/>
        <v>500</v>
      </c>
      <c r="BK31" s="392">
        <f t="shared" si="32"/>
        <v>400000</v>
      </c>
      <c r="BL31" s="326" t="s">
        <v>276</v>
      </c>
      <c r="BM31" s="400"/>
      <c r="BN31" s="396">
        <f t="shared" si="24"/>
        <v>400000</v>
      </c>
      <c r="BO31" s="251"/>
      <c r="BP31" s="251"/>
      <c r="BQ31" s="251"/>
      <c r="BR31" s="251">
        <f t="shared" si="25"/>
        <v>400000</v>
      </c>
      <c r="BS31" s="251"/>
      <c r="BT31" s="251"/>
      <c r="BU31" s="251"/>
      <c r="BV31" s="393">
        <f t="shared" si="1"/>
        <v>400000</v>
      </c>
    </row>
    <row r="32" spans="1:74" x14ac:dyDescent="0.25">
      <c r="A32" s="394"/>
      <c r="B32" s="377" t="s">
        <v>743</v>
      </c>
      <c r="C32" s="408" t="s">
        <v>233</v>
      </c>
      <c r="D32" s="410" t="s">
        <v>237</v>
      </c>
      <c r="E32" s="409">
        <v>40000</v>
      </c>
      <c r="F32" s="395">
        <f t="shared" si="51"/>
        <v>62</v>
      </c>
      <c r="G32" s="396">
        <f>BK32</f>
        <v>2480000</v>
      </c>
      <c r="H32" s="397"/>
      <c r="I32" s="397"/>
      <c r="J32" s="397"/>
      <c r="K32" s="397"/>
      <c r="L32" s="397"/>
      <c r="M32" s="397">
        <f>G32</f>
        <v>2480000</v>
      </c>
      <c r="N32" s="397"/>
      <c r="O32" s="397"/>
      <c r="P32" s="397"/>
      <c r="Q32" s="396"/>
      <c r="R32" s="392">
        <f t="shared" si="27"/>
        <v>21.7</v>
      </c>
      <c r="S32" s="392">
        <f>F32*0.1</f>
        <v>6.2</v>
      </c>
      <c r="T32" s="392">
        <f>F32:F32*0.15</f>
        <v>9.2999999999999989</v>
      </c>
      <c r="U32" s="392">
        <f>F32*0.4</f>
        <v>24.8</v>
      </c>
      <c r="V32" s="391">
        <f t="shared" si="53"/>
        <v>496000</v>
      </c>
      <c r="W32" s="391">
        <f t="shared" si="54"/>
        <v>1116000</v>
      </c>
      <c r="X32" s="391">
        <f t="shared" si="55"/>
        <v>620000</v>
      </c>
      <c r="Y32" s="391">
        <f t="shared" si="56"/>
        <v>248000</v>
      </c>
      <c r="Z32" s="392">
        <v>0</v>
      </c>
      <c r="AA32" s="391">
        <f t="shared" si="11"/>
        <v>0</v>
      </c>
      <c r="AB32" s="392">
        <v>0</v>
      </c>
      <c r="AC32" s="391">
        <f t="shared" si="12"/>
        <v>0</v>
      </c>
      <c r="AD32" s="392">
        <v>0</v>
      </c>
      <c r="AE32" s="391">
        <f t="shared" si="13"/>
        <v>0</v>
      </c>
      <c r="AF32" s="392">
        <v>0</v>
      </c>
      <c r="AG32" s="391">
        <f t="shared" si="14"/>
        <v>0</v>
      </c>
      <c r="AH32" s="392">
        <v>20</v>
      </c>
      <c r="AI32" s="391">
        <f t="shared" si="33"/>
        <v>800000</v>
      </c>
      <c r="AJ32" s="392">
        <v>0</v>
      </c>
      <c r="AK32" s="391">
        <f t="shared" si="15"/>
        <v>0</v>
      </c>
      <c r="AL32" s="392">
        <v>0</v>
      </c>
      <c r="AM32" s="391">
        <f t="shared" si="16"/>
        <v>0</v>
      </c>
      <c r="AN32" s="392">
        <v>0</v>
      </c>
      <c r="AO32" s="391">
        <f t="shared" si="17"/>
        <v>0</v>
      </c>
      <c r="AP32" s="392">
        <v>0</v>
      </c>
      <c r="AQ32" s="391">
        <f t="shared" si="18"/>
        <v>0</v>
      </c>
      <c r="AR32" s="392">
        <v>20</v>
      </c>
      <c r="AS32" s="391">
        <f>AR32*E32</f>
        <v>800000</v>
      </c>
      <c r="AT32" s="392">
        <v>0</v>
      </c>
      <c r="AU32" s="391">
        <f t="shared" si="20"/>
        <v>0</v>
      </c>
      <c r="AV32" s="392">
        <v>10</v>
      </c>
      <c r="AW32" s="391">
        <f t="shared" si="21"/>
        <v>400000</v>
      </c>
      <c r="AX32" s="391">
        <v>0</v>
      </c>
      <c r="AY32" s="391">
        <f t="shared" si="22"/>
        <v>0</v>
      </c>
      <c r="AZ32" s="392">
        <v>12</v>
      </c>
      <c r="BA32" s="391">
        <f t="shared" si="28"/>
        <v>480000</v>
      </c>
      <c r="BB32" s="392"/>
      <c r="BC32" s="391">
        <f t="shared" si="23"/>
        <v>0</v>
      </c>
      <c r="BD32" s="392">
        <v>0</v>
      </c>
      <c r="BE32" s="391">
        <f t="shared" si="29"/>
        <v>0</v>
      </c>
      <c r="BF32" s="392">
        <v>0</v>
      </c>
      <c r="BG32" s="391">
        <f t="shared" si="30"/>
        <v>0</v>
      </c>
      <c r="BH32" s="392"/>
      <c r="BI32" s="391">
        <f t="shared" si="31"/>
        <v>0</v>
      </c>
      <c r="BJ32" s="392">
        <f t="shared" si="32"/>
        <v>62</v>
      </c>
      <c r="BK32" s="392">
        <f t="shared" si="32"/>
        <v>2480000</v>
      </c>
      <c r="BL32" s="326" t="s">
        <v>276</v>
      </c>
      <c r="BM32" s="400"/>
      <c r="BN32" s="396">
        <f t="shared" si="24"/>
        <v>2480000</v>
      </c>
      <c r="BO32" s="251"/>
      <c r="BP32" s="251"/>
      <c r="BQ32" s="251"/>
      <c r="BR32" s="251">
        <f t="shared" si="25"/>
        <v>2480000</v>
      </c>
      <c r="BS32" s="251"/>
      <c r="BT32" s="251"/>
      <c r="BU32" s="251"/>
      <c r="BV32" s="393">
        <f t="shared" si="1"/>
        <v>2480000</v>
      </c>
    </row>
    <row r="33" spans="1:74" x14ac:dyDescent="0.25">
      <c r="A33" s="394"/>
      <c r="B33" s="377" t="s">
        <v>745</v>
      </c>
      <c r="C33" s="408" t="s">
        <v>232</v>
      </c>
      <c r="D33" s="410" t="s">
        <v>239</v>
      </c>
      <c r="E33" s="409">
        <v>600</v>
      </c>
      <c r="F33" s="395">
        <f t="shared" si="51"/>
        <v>3430</v>
      </c>
      <c r="G33" s="396">
        <f>BK33</f>
        <v>2058000</v>
      </c>
      <c r="H33" s="397"/>
      <c r="I33" s="397"/>
      <c r="J33" s="397"/>
      <c r="K33" s="397"/>
      <c r="L33" s="397"/>
      <c r="M33" s="397">
        <f>G33</f>
        <v>2058000</v>
      </c>
      <c r="N33" s="397"/>
      <c r="O33" s="397"/>
      <c r="P33" s="397"/>
      <c r="Q33" s="396"/>
      <c r="R33" s="392">
        <f t="shared" si="27"/>
        <v>1200.5</v>
      </c>
      <c r="S33" s="392">
        <f>F33*0.1</f>
        <v>343</v>
      </c>
      <c r="T33" s="392">
        <f>F33:F33*0.15</f>
        <v>514.5</v>
      </c>
      <c r="U33" s="392">
        <f>F33*0.4</f>
        <v>1372</v>
      </c>
      <c r="V33" s="391">
        <f t="shared" si="53"/>
        <v>411600</v>
      </c>
      <c r="W33" s="391">
        <f t="shared" si="54"/>
        <v>926100</v>
      </c>
      <c r="X33" s="391">
        <f t="shared" si="55"/>
        <v>514500</v>
      </c>
      <c r="Y33" s="391">
        <f t="shared" si="56"/>
        <v>205800</v>
      </c>
      <c r="Z33" s="392">
        <v>200</v>
      </c>
      <c r="AA33" s="391">
        <f t="shared" si="11"/>
        <v>120000</v>
      </c>
      <c r="AB33" s="392">
        <v>100</v>
      </c>
      <c r="AC33" s="391">
        <f>AB33*E33</f>
        <v>60000</v>
      </c>
      <c r="AD33" s="392">
        <v>200</v>
      </c>
      <c r="AE33" s="391">
        <f>AD33*E33</f>
        <v>120000</v>
      </c>
      <c r="AF33" s="392">
        <v>200</v>
      </c>
      <c r="AG33" s="391">
        <f>AF33*E33</f>
        <v>120000</v>
      </c>
      <c r="AH33" s="392">
        <v>500</v>
      </c>
      <c r="AI33" s="391">
        <f>AH33*E33</f>
        <v>300000</v>
      </c>
      <c r="AJ33" s="392">
        <v>0</v>
      </c>
      <c r="AK33" s="391">
        <f t="shared" si="15"/>
        <v>0</v>
      </c>
      <c r="AL33" s="392">
        <v>0</v>
      </c>
      <c r="AM33" s="391">
        <f t="shared" si="16"/>
        <v>0</v>
      </c>
      <c r="AN33" s="392">
        <v>0</v>
      </c>
      <c r="AO33" s="391">
        <f t="shared" si="17"/>
        <v>0</v>
      </c>
      <c r="AP33" s="392">
        <v>150</v>
      </c>
      <c r="AQ33" s="391">
        <f t="shared" si="18"/>
        <v>90000</v>
      </c>
      <c r="AR33" s="392">
        <v>500</v>
      </c>
      <c r="AS33" s="391">
        <f t="shared" si="19"/>
        <v>300000</v>
      </c>
      <c r="AT33" s="392">
        <v>500</v>
      </c>
      <c r="AU33" s="391">
        <f t="shared" si="20"/>
        <v>300000</v>
      </c>
      <c r="AV33" s="392">
        <v>30</v>
      </c>
      <c r="AW33" s="391">
        <f t="shared" si="21"/>
        <v>18000</v>
      </c>
      <c r="AX33" s="391">
        <v>500</v>
      </c>
      <c r="AY33" s="391">
        <f t="shared" si="22"/>
        <v>300000</v>
      </c>
      <c r="AZ33" s="392">
        <v>200</v>
      </c>
      <c r="BA33" s="391">
        <f t="shared" si="28"/>
        <v>120000</v>
      </c>
      <c r="BB33" s="392">
        <v>0</v>
      </c>
      <c r="BC33" s="391">
        <f t="shared" si="23"/>
        <v>0</v>
      </c>
      <c r="BD33" s="392">
        <v>150</v>
      </c>
      <c r="BE33" s="391">
        <f t="shared" si="29"/>
        <v>90000</v>
      </c>
      <c r="BF33" s="392">
        <v>200</v>
      </c>
      <c r="BG33" s="391">
        <f t="shared" si="30"/>
        <v>120000</v>
      </c>
      <c r="BH33" s="392"/>
      <c r="BI33" s="391">
        <f t="shared" si="31"/>
        <v>0</v>
      </c>
      <c r="BJ33" s="392">
        <f t="shared" si="32"/>
        <v>3430</v>
      </c>
      <c r="BK33" s="392">
        <f t="shared" si="32"/>
        <v>2058000</v>
      </c>
      <c r="BL33" s="326" t="s">
        <v>276</v>
      </c>
      <c r="BM33" s="400"/>
      <c r="BN33" s="396">
        <f t="shared" si="24"/>
        <v>2058000</v>
      </c>
      <c r="BO33" s="251"/>
      <c r="BP33" s="251"/>
      <c r="BQ33" s="251"/>
      <c r="BR33" s="251">
        <f t="shared" si="25"/>
        <v>2058000</v>
      </c>
      <c r="BS33" s="251"/>
      <c r="BT33" s="251"/>
      <c r="BU33" s="251"/>
      <c r="BV33" s="393">
        <f t="shared" si="1"/>
        <v>2058000</v>
      </c>
    </row>
    <row r="34" spans="1:74" x14ac:dyDescent="0.25">
      <c r="A34" s="394"/>
      <c r="B34" s="377"/>
      <c r="C34" s="408" t="s">
        <v>296</v>
      </c>
      <c r="D34" s="410" t="s">
        <v>75</v>
      </c>
      <c r="E34" s="409">
        <v>160000</v>
      </c>
      <c r="F34" s="395">
        <f t="shared" si="51"/>
        <v>38</v>
      </c>
      <c r="G34" s="395">
        <f t="shared" si="26"/>
        <v>6080000</v>
      </c>
      <c r="H34" s="397"/>
      <c r="I34" s="397"/>
      <c r="J34" s="397"/>
      <c r="K34" s="397"/>
      <c r="L34" s="397"/>
      <c r="M34" s="397">
        <f>G34</f>
        <v>6080000</v>
      </c>
      <c r="N34" s="397"/>
      <c r="O34" s="397"/>
      <c r="P34" s="397"/>
      <c r="Q34" s="396"/>
      <c r="R34" s="392">
        <f t="shared" si="27"/>
        <v>13.299999999999999</v>
      </c>
      <c r="S34" s="392">
        <f>F34*0.65</f>
        <v>24.7</v>
      </c>
      <c r="T34" s="392"/>
      <c r="U34" s="392"/>
      <c r="V34" s="391">
        <f t="shared" si="53"/>
        <v>1216000</v>
      </c>
      <c r="W34" s="391">
        <f t="shared" si="54"/>
        <v>2736000</v>
      </c>
      <c r="X34" s="391">
        <f t="shared" si="55"/>
        <v>1520000</v>
      </c>
      <c r="Y34" s="391">
        <f t="shared" si="56"/>
        <v>608000</v>
      </c>
      <c r="Z34" s="392">
        <v>0</v>
      </c>
      <c r="AA34" s="391">
        <f t="shared" si="11"/>
        <v>0</v>
      </c>
      <c r="AB34" s="392">
        <v>3</v>
      </c>
      <c r="AC34" s="391">
        <f t="shared" si="12"/>
        <v>480000</v>
      </c>
      <c r="AD34" s="392">
        <v>0</v>
      </c>
      <c r="AE34" s="391">
        <f t="shared" si="13"/>
        <v>0</v>
      </c>
      <c r="AF34" s="392">
        <v>4</v>
      </c>
      <c r="AG34" s="391">
        <f t="shared" si="14"/>
        <v>640000</v>
      </c>
      <c r="AH34" s="392">
        <v>0</v>
      </c>
      <c r="AI34" s="391">
        <f t="shared" si="33"/>
        <v>0</v>
      </c>
      <c r="AJ34" s="392">
        <v>5</v>
      </c>
      <c r="AK34" s="391">
        <f t="shared" si="15"/>
        <v>800000</v>
      </c>
      <c r="AL34" s="392">
        <v>5</v>
      </c>
      <c r="AM34" s="391">
        <f t="shared" si="16"/>
        <v>800000</v>
      </c>
      <c r="AN34" s="392">
        <v>0</v>
      </c>
      <c r="AO34" s="391">
        <f t="shared" si="17"/>
        <v>0</v>
      </c>
      <c r="AP34" s="392">
        <v>5</v>
      </c>
      <c r="AQ34" s="391">
        <f t="shared" si="18"/>
        <v>800000</v>
      </c>
      <c r="AR34" s="392">
        <v>6</v>
      </c>
      <c r="AS34" s="391">
        <f t="shared" si="19"/>
        <v>960000</v>
      </c>
      <c r="AT34" s="392">
        <v>0</v>
      </c>
      <c r="AU34" s="391">
        <f t="shared" si="20"/>
        <v>0</v>
      </c>
      <c r="AV34" s="392">
        <v>0</v>
      </c>
      <c r="AW34" s="391">
        <f t="shared" si="21"/>
        <v>0</v>
      </c>
      <c r="AX34" s="391">
        <v>0</v>
      </c>
      <c r="AY34" s="391">
        <f t="shared" si="22"/>
        <v>0</v>
      </c>
      <c r="AZ34" s="392">
        <v>0</v>
      </c>
      <c r="BA34" s="391">
        <f t="shared" si="28"/>
        <v>0</v>
      </c>
      <c r="BB34" s="392">
        <v>5</v>
      </c>
      <c r="BC34" s="391">
        <f t="shared" si="23"/>
        <v>800000</v>
      </c>
      <c r="BD34" s="392">
        <v>5</v>
      </c>
      <c r="BE34" s="391">
        <f>BD34*E34</f>
        <v>800000</v>
      </c>
      <c r="BF34" s="392">
        <v>0</v>
      </c>
      <c r="BG34" s="391">
        <f t="shared" si="30"/>
        <v>0</v>
      </c>
      <c r="BH34" s="392"/>
      <c r="BI34" s="391">
        <f t="shared" si="31"/>
        <v>0</v>
      </c>
      <c r="BJ34" s="392">
        <f t="shared" si="32"/>
        <v>38</v>
      </c>
      <c r="BK34" s="392">
        <f t="shared" si="32"/>
        <v>6080000</v>
      </c>
      <c r="BL34" s="326" t="s">
        <v>276</v>
      </c>
      <c r="BM34" s="400"/>
      <c r="BN34" s="396"/>
      <c r="BO34" s="251"/>
      <c r="BP34" s="253">
        <f>G34</f>
        <v>6080000</v>
      </c>
      <c r="BQ34" s="251"/>
      <c r="BR34" s="251">
        <f t="shared" si="25"/>
        <v>6080000</v>
      </c>
      <c r="BS34" s="251"/>
      <c r="BT34" s="251"/>
      <c r="BU34" s="251"/>
      <c r="BV34" s="393">
        <f t="shared" si="1"/>
        <v>6080000</v>
      </c>
    </row>
    <row r="35" spans="1:74" x14ac:dyDescent="0.25">
      <c r="A35" s="394"/>
      <c r="B35" s="377"/>
      <c r="C35" s="408" t="s">
        <v>481</v>
      </c>
      <c r="D35" s="410" t="s">
        <v>75</v>
      </c>
      <c r="E35" s="409">
        <v>80000</v>
      </c>
      <c r="F35" s="395">
        <f t="shared" si="51"/>
        <v>0</v>
      </c>
      <c r="G35" s="396">
        <f t="shared" si="52"/>
        <v>0</v>
      </c>
      <c r="H35" s="397"/>
      <c r="I35" s="397"/>
      <c r="J35" s="397"/>
      <c r="K35" s="397"/>
      <c r="L35" s="397"/>
      <c r="M35" s="397">
        <f>G35</f>
        <v>0</v>
      </c>
      <c r="N35" s="397"/>
      <c r="O35" s="397"/>
      <c r="P35" s="397"/>
      <c r="Q35" s="396"/>
      <c r="R35" s="392">
        <f t="shared" si="27"/>
        <v>0</v>
      </c>
      <c r="S35" s="392">
        <f>F35*0.65</f>
        <v>0</v>
      </c>
      <c r="T35" s="392"/>
      <c r="U35" s="392"/>
      <c r="V35" s="391">
        <f t="shared" si="53"/>
        <v>0</v>
      </c>
      <c r="W35" s="391">
        <f t="shared" si="54"/>
        <v>0</v>
      </c>
      <c r="X35" s="391">
        <f t="shared" si="55"/>
        <v>0</v>
      </c>
      <c r="Y35" s="391">
        <f t="shared" si="56"/>
        <v>0</v>
      </c>
      <c r="Z35" s="392">
        <v>0</v>
      </c>
      <c r="AA35" s="391">
        <f t="shared" si="11"/>
        <v>0</v>
      </c>
      <c r="AB35" s="392">
        <v>0</v>
      </c>
      <c r="AC35" s="391">
        <f t="shared" si="12"/>
        <v>0</v>
      </c>
      <c r="AD35" s="392">
        <v>0</v>
      </c>
      <c r="AE35" s="391">
        <f t="shared" si="13"/>
        <v>0</v>
      </c>
      <c r="AF35" s="392">
        <v>0</v>
      </c>
      <c r="AG35" s="391">
        <f t="shared" si="14"/>
        <v>0</v>
      </c>
      <c r="AH35" s="392">
        <v>0</v>
      </c>
      <c r="AI35" s="391">
        <f t="shared" si="33"/>
        <v>0</v>
      </c>
      <c r="AJ35" s="392">
        <v>0</v>
      </c>
      <c r="AK35" s="391">
        <f t="shared" si="15"/>
        <v>0</v>
      </c>
      <c r="AL35" s="392"/>
      <c r="AM35" s="391">
        <f t="shared" si="16"/>
        <v>0</v>
      </c>
      <c r="AN35" s="392">
        <v>0</v>
      </c>
      <c r="AO35" s="391">
        <f t="shared" si="17"/>
        <v>0</v>
      </c>
      <c r="AP35" s="392">
        <v>0</v>
      </c>
      <c r="AQ35" s="391">
        <f t="shared" si="18"/>
        <v>0</v>
      </c>
      <c r="AR35" s="392">
        <v>0</v>
      </c>
      <c r="AS35" s="391">
        <f t="shared" si="19"/>
        <v>0</v>
      </c>
      <c r="AT35" s="392">
        <v>0</v>
      </c>
      <c r="AU35" s="391">
        <f t="shared" si="20"/>
        <v>0</v>
      </c>
      <c r="AV35" s="392">
        <v>0</v>
      </c>
      <c r="AW35" s="391">
        <f t="shared" si="21"/>
        <v>0</v>
      </c>
      <c r="AX35" s="391">
        <v>0</v>
      </c>
      <c r="AY35" s="391">
        <f t="shared" si="22"/>
        <v>0</v>
      </c>
      <c r="AZ35" s="392">
        <v>0</v>
      </c>
      <c r="BA35" s="391">
        <f t="shared" si="28"/>
        <v>0</v>
      </c>
      <c r="BB35" s="392"/>
      <c r="BC35" s="391">
        <f t="shared" si="23"/>
        <v>0</v>
      </c>
      <c r="BD35" s="392">
        <v>0</v>
      </c>
      <c r="BE35" s="391">
        <f t="shared" si="29"/>
        <v>0</v>
      </c>
      <c r="BF35" s="392">
        <v>0</v>
      </c>
      <c r="BG35" s="391">
        <f t="shared" si="30"/>
        <v>0</v>
      </c>
      <c r="BH35" s="392"/>
      <c r="BI35" s="391">
        <f t="shared" si="31"/>
        <v>0</v>
      </c>
      <c r="BJ35" s="392">
        <f t="shared" si="32"/>
        <v>0</v>
      </c>
      <c r="BK35" s="392">
        <f t="shared" si="32"/>
        <v>0</v>
      </c>
      <c r="BL35" s="326" t="s">
        <v>276</v>
      </c>
      <c r="BM35" s="400"/>
      <c r="BN35" s="396"/>
      <c r="BO35" s="251"/>
      <c r="BP35" s="253">
        <f>G35</f>
        <v>0</v>
      </c>
      <c r="BQ35" s="251"/>
      <c r="BR35" s="251">
        <f t="shared" si="25"/>
        <v>0</v>
      </c>
      <c r="BS35" s="251"/>
      <c r="BT35" s="251"/>
      <c r="BU35" s="251"/>
      <c r="BV35" s="393">
        <f t="shared" si="1"/>
        <v>0</v>
      </c>
    </row>
    <row r="36" spans="1:74" x14ac:dyDescent="0.25">
      <c r="A36" s="394"/>
      <c r="B36" s="375"/>
      <c r="C36" s="412" t="s">
        <v>3</v>
      </c>
      <c r="D36" s="370"/>
      <c r="E36" s="413"/>
      <c r="F36" s="380">
        <f t="shared" ref="F36:AK36" si="57">SUM(F25:F35)</f>
        <v>5154</v>
      </c>
      <c r="G36" s="380">
        <f t="shared" si="57"/>
        <v>92763000</v>
      </c>
      <c r="H36" s="380">
        <f t="shared" si="57"/>
        <v>14625000</v>
      </c>
      <c r="I36" s="380">
        <f t="shared" si="57"/>
        <v>60000000</v>
      </c>
      <c r="J36" s="380">
        <f t="shared" si="57"/>
        <v>0</v>
      </c>
      <c r="K36" s="380">
        <f t="shared" si="57"/>
        <v>0</v>
      </c>
      <c r="L36" s="380">
        <f t="shared" si="57"/>
        <v>0</v>
      </c>
      <c r="M36" s="380">
        <f t="shared" si="57"/>
        <v>17138000</v>
      </c>
      <c r="N36" s="380">
        <f t="shared" si="57"/>
        <v>0</v>
      </c>
      <c r="O36" s="380">
        <f t="shared" si="57"/>
        <v>0</v>
      </c>
      <c r="P36" s="380">
        <f t="shared" si="57"/>
        <v>1000000</v>
      </c>
      <c r="Q36" s="380">
        <f t="shared" si="57"/>
        <v>0</v>
      </c>
      <c r="R36" s="380">
        <f t="shared" si="57"/>
        <v>1819.8</v>
      </c>
      <c r="S36" s="380">
        <f t="shared" si="57"/>
        <v>578.70000000000005</v>
      </c>
      <c r="T36" s="380">
        <f t="shared" si="57"/>
        <v>751.5</v>
      </c>
      <c r="U36" s="380">
        <f t="shared" si="57"/>
        <v>2004</v>
      </c>
      <c r="V36" s="380">
        <f t="shared" si="57"/>
        <v>41240100</v>
      </c>
      <c r="W36" s="380">
        <f t="shared" si="57"/>
        <v>42524600</v>
      </c>
      <c r="X36" s="380">
        <f t="shared" si="57"/>
        <v>7284500</v>
      </c>
      <c r="Y36" s="380">
        <f t="shared" si="57"/>
        <v>1713800</v>
      </c>
      <c r="Z36" s="380">
        <f t="shared" si="57"/>
        <v>282</v>
      </c>
      <c r="AA36" s="380">
        <f t="shared" si="57"/>
        <v>4270000</v>
      </c>
      <c r="AB36" s="380">
        <f t="shared" si="57"/>
        <v>217</v>
      </c>
      <c r="AC36" s="380">
        <f t="shared" si="57"/>
        <v>8140000</v>
      </c>
      <c r="AD36" s="380">
        <f t="shared" si="57"/>
        <v>274</v>
      </c>
      <c r="AE36" s="380">
        <f t="shared" si="57"/>
        <v>3570000</v>
      </c>
      <c r="AF36" s="380">
        <f t="shared" si="57"/>
        <v>282</v>
      </c>
      <c r="AG36" s="380">
        <f t="shared" si="57"/>
        <v>3810000</v>
      </c>
      <c r="AH36" s="380">
        <f t="shared" si="57"/>
        <v>586</v>
      </c>
      <c r="AI36" s="380">
        <f t="shared" si="57"/>
        <v>3570000</v>
      </c>
      <c r="AJ36" s="380">
        <f t="shared" si="57"/>
        <v>69</v>
      </c>
      <c r="AK36" s="380">
        <f t="shared" si="57"/>
        <v>7950000</v>
      </c>
      <c r="AL36" s="380">
        <f t="shared" ref="AL36:BQ36" si="58">SUM(AL25:AL35)</f>
        <v>76</v>
      </c>
      <c r="AM36" s="380">
        <f t="shared" si="58"/>
        <v>4950000</v>
      </c>
      <c r="AN36" s="380">
        <f t="shared" si="58"/>
        <v>240</v>
      </c>
      <c r="AO36" s="380">
        <f t="shared" si="58"/>
        <v>4860000</v>
      </c>
      <c r="AP36" s="380">
        <f t="shared" si="58"/>
        <v>199</v>
      </c>
      <c r="AQ36" s="380">
        <f t="shared" si="58"/>
        <v>5740000</v>
      </c>
      <c r="AR36" s="380">
        <f t="shared" si="58"/>
        <v>693</v>
      </c>
      <c r="AS36" s="380">
        <f t="shared" si="58"/>
        <v>7040000</v>
      </c>
      <c r="AT36" s="380">
        <f t="shared" si="58"/>
        <v>582</v>
      </c>
      <c r="AU36" s="380">
        <f t="shared" si="58"/>
        <v>8200000</v>
      </c>
      <c r="AV36" s="380">
        <f t="shared" si="58"/>
        <v>104</v>
      </c>
      <c r="AW36" s="380">
        <f t="shared" si="58"/>
        <v>3818000</v>
      </c>
      <c r="AX36" s="380">
        <f t="shared" si="58"/>
        <v>746</v>
      </c>
      <c r="AY36" s="380">
        <f t="shared" si="58"/>
        <v>4260000</v>
      </c>
      <c r="AZ36" s="380">
        <f t="shared" si="58"/>
        <v>277</v>
      </c>
      <c r="BA36" s="380">
        <f t="shared" si="58"/>
        <v>8200000</v>
      </c>
      <c r="BB36" s="380">
        <f t="shared" si="58"/>
        <v>68</v>
      </c>
      <c r="BC36" s="380">
        <f t="shared" si="58"/>
        <v>6700000</v>
      </c>
      <c r="BD36" s="380">
        <f t="shared" si="58"/>
        <v>183</v>
      </c>
      <c r="BE36" s="380">
        <f t="shared" si="58"/>
        <v>3740000</v>
      </c>
      <c r="BF36" s="380">
        <f t="shared" si="58"/>
        <v>276</v>
      </c>
      <c r="BG36" s="380">
        <f t="shared" si="58"/>
        <v>3945000</v>
      </c>
      <c r="BH36" s="380">
        <f t="shared" si="58"/>
        <v>0</v>
      </c>
      <c r="BI36" s="380">
        <f t="shared" si="58"/>
        <v>0</v>
      </c>
      <c r="BJ36" s="380">
        <f t="shared" si="58"/>
        <v>5154</v>
      </c>
      <c r="BK36" s="380">
        <f t="shared" si="58"/>
        <v>92763000</v>
      </c>
      <c r="BL36" s="380">
        <f t="shared" si="58"/>
        <v>0</v>
      </c>
      <c r="BM36" s="380">
        <f t="shared" si="58"/>
        <v>0</v>
      </c>
      <c r="BN36" s="380">
        <f t="shared" si="58"/>
        <v>84858000</v>
      </c>
      <c r="BO36" s="380">
        <f t="shared" si="58"/>
        <v>0</v>
      </c>
      <c r="BP36" s="380">
        <f t="shared" si="58"/>
        <v>7905000</v>
      </c>
      <c r="BQ36" s="380">
        <f t="shared" si="58"/>
        <v>0</v>
      </c>
      <c r="BR36" s="380">
        <f t="shared" ref="BR36:BV36" si="59">SUM(BR25:BR35)</f>
        <v>92763000</v>
      </c>
      <c r="BS36" s="380">
        <f t="shared" si="59"/>
        <v>0</v>
      </c>
      <c r="BT36" s="380">
        <f t="shared" si="59"/>
        <v>0</v>
      </c>
      <c r="BU36" s="380">
        <f t="shared" si="59"/>
        <v>0</v>
      </c>
      <c r="BV36" s="380">
        <f t="shared" si="59"/>
        <v>92763000</v>
      </c>
    </row>
    <row r="37" spans="1:74" x14ac:dyDescent="0.25">
      <c r="A37" s="394"/>
      <c r="B37" s="377"/>
      <c r="C37" s="382" t="s">
        <v>236</v>
      </c>
      <c r="D37" s="408"/>
      <c r="E37" s="409"/>
      <c r="F37" s="395"/>
      <c r="G37" s="396"/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392"/>
      <c r="S37" s="392"/>
      <c r="T37" s="392"/>
      <c r="U37" s="392"/>
      <c r="V37" s="391"/>
      <c r="W37" s="391"/>
      <c r="X37" s="391"/>
      <c r="Y37" s="391"/>
      <c r="Z37" s="392"/>
      <c r="AA37" s="391"/>
      <c r="AB37" s="392"/>
      <c r="AC37" s="391"/>
      <c r="AD37" s="392"/>
      <c r="AE37" s="391"/>
      <c r="AF37" s="392"/>
      <c r="AG37" s="391"/>
      <c r="AH37" s="392"/>
      <c r="AI37" s="391"/>
      <c r="AJ37" s="392"/>
      <c r="AK37" s="391"/>
      <c r="AL37" s="392"/>
      <c r="AM37" s="391"/>
      <c r="AN37" s="392"/>
      <c r="AO37" s="391"/>
      <c r="AP37" s="392"/>
      <c r="AQ37" s="391"/>
      <c r="AR37" s="392"/>
      <c r="AS37" s="391"/>
      <c r="AT37" s="392"/>
      <c r="AU37" s="391"/>
      <c r="AV37" s="392"/>
      <c r="AW37" s="391"/>
      <c r="AX37" s="391"/>
      <c r="AY37" s="391"/>
      <c r="AZ37" s="392"/>
      <c r="BA37" s="391"/>
      <c r="BB37" s="392"/>
      <c r="BC37" s="391"/>
      <c r="BD37" s="392"/>
      <c r="BE37" s="391"/>
      <c r="BF37" s="392"/>
      <c r="BG37" s="391"/>
      <c r="BH37" s="392"/>
      <c r="BI37" s="391"/>
      <c r="BJ37" s="392"/>
      <c r="BK37" s="392"/>
      <c r="BL37" s="326"/>
      <c r="BM37" s="400"/>
      <c r="BN37" s="396"/>
      <c r="BO37" s="251"/>
      <c r="BP37" s="251"/>
      <c r="BQ37" s="251"/>
      <c r="BR37" s="251"/>
      <c r="BS37" s="251"/>
      <c r="BT37" s="251"/>
      <c r="BU37" s="251"/>
      <c r="BV37" s="393"/>
    </row>
    <row r="38" spans="1:74" x14ac:dyDescent="0.25">
      <c r="A38" s="394"/>
      <c r="B38" s="377"/>
      <c r="C38" s="408" t="s">
        <v>234</v>
      </c>
      <c r="D38" s="408" t="s">
        <v>238</v>
      </c>
      <c r="E38" s="409">
        <v>0</v>
      </c>
      <c r="F38" s="395">
        <f t="shared" ref="F38:G40" si="60">BJ38</f>
        <v>0</v>
      </c>
      <c r="G38" s="396">
        <f t="shared" si="60"/>
        <v>0</v>
      </c>
      <c r="H38" s="396"/>
      <c r="I38" s="396"/>
      <c r="J38" s="396"/>
      <c r="K38" s="396"/>
      <c r="L38" s="396"/>
      <c r="M38" s="397">
        <f>G38</f>
        <v>0</v>
      </c>
      <c r="N38" s="396"/>
      <c r="O38" s="396"/>
      <c r="P38" s="396"/>
      <c r="Q38" s="396"/>
      <c r="R38" s="392">
        <f>F38*0.35</f>
        <v>0</v>
      </c>
      <c r="S38" s="392">
        <f>F38*0.1</f>
        <v>0</v>
      </c>
      <c r="T38" s="392">
        <f>F38:F38*0.15</f>
        <v>0</v>
      </c>
      <c r="U38" s="392">
        <f>F38*0.4</f>
        <v>0</v>
      </c>
      <c r="V38" s="391">
        <f>G38*0.2</f>
        <v>0</v>
      </c>
      <c r="W38" s="391">
        <f>G38*0.45</f>
        <v>0</v>
      </c>
      <c r="X38" s="391">
        <f>G38*0.25</f>
        <v>0</v>
      </c>
      <c r="Y38" s="391">
        <f>G38*0.1</f>
        <v>0</v>
      </c>
      <c r="Z38" s="392">
        <v>0</v>
      </c>
      <c r="AA38" s="391">
        <f>Z38*E38</f>
        <v>0</v>
      </c>
      <c r="AB38" s="392">
        <v>0</v>
      </c>
      <c r="AC38" s="391">
        <f>AB38*E38</f>
        <v>0</v>
      </c>
      <c r="AD38" s="392">
        <v>0</v>
      </c>
      <c r="AE38" s="391">
        <f>AD38*E38</f>
        <v>0</v>
      </c>
      <c r="AF38" s="392">
        <v>0</v>
      </c>
      <c r="AG38" s="391">
        <f>AF38*E38</f>
        <v>0</v>
      </c>
      <c r="AH38" s="392">
        <v>0</v>
      </c>
      <c r="AI38" s="391">
        <f>AH38*E38</f>
        <v>0</v>
      </c>
      <c r="AJ38" s="392">
        <v>0</v>
      </c>
      <c r="AK38" s="391">
        <f>AJ38*E38</f>
        <v>0</v>
      </c>
      <c r="AL38" s="392">
        <v>0</v>
      </c>
      <c r="AM38" s="391">
        <f>AL38*E38</f>
        <v>0</v>
      </c>
      <c r="AN38" s="392">
        <v>0</v>
      </c>
      <c r="AO38" s="391">
        <f>AN38*E38</f>
        <v>0</v>
      </c>
      <c r="AP38" s="392">
        <v>0</v>
      </c>
      <c r="AQ38" s="391">
        <f>AP38*E38</f>
        <v>0</v>
      </c>
      <c r="AR38" s="392">
        <v>0</v>
      </c>
      <c r="AS38" s="391">
        <v>0</v>
      </c>
      <c r="AT38" s="392">
        <v>0</v>
      </c>
      <c r="AU38" s="391">
        <v>0</v>
      </c>
      <c r="AV38" s="392">
        <v>0</v>
      </c>
      <c r="AW38" s="391">
        <f>AV38*E38</f>
        <v>0</v>
      </c>
      <c r="AX38" s="391">
        <v>0</v>
      </c>
      <c r="AY38" s="391">
        <f>AX38*E38</f>
        <v>0</v>
      </c>
      <c r="AZ38" s="392">
        <v>0</v>
      </c>
      <c r="BA38" s="391">
        <f>AZ38*E38</f>
        <v>0</v>
      </c>
      <c r="BB38" s="392">
        <v>0</v>
      </c>
      <c r="BC38" s="391">
        <f>BB38*E38</f>
        <v>0</v>
      </c>
      <c r="BD38" s="392">
        <v>0</v>
      </c>
      <c r="BE38" s="391">
        <f>BD38*E38</f>
        <v>0</v>
      </c>
      <c r="BF38" s="392">
        <v>0</v>
      </c>
      <c r="BG38" s="391">
        <f>BF38*E38</f>
        <v>0</v>
      </c>
      <c r="BH38" s="392"/>
      <c r="BI38" s="391">
        <f>BH38*E38</f>
        <v>0</v>
      </c>
      <c r="BJ38" s="392">
        <f>BH38+BF38+BD38+BB38+AZ38+AX38+AV38+AT38+AR38+AP38+AN38+AL38+AJ38+AH38+AF38+AD38+AB38+Z38</f>
        <v>0</v>
      </c>
      <c r="BK38" s="392">
        <f t="shared" ref="BK38:BK40" si="61">BI38+BG38+BE38+BC38+BA38+AY38+AW38+AU38+AS38+AQ38+AO38+AM38+AK38+AI38+AG38+AE38+AC38+AA38</f>
        <v>0</v>
      </c>
      <c r="BL38" s="326" t="s">
        <v>276</v>
      </c>
      <c r="BM38" s="400"/>
      <c r="BN38" s="396">
        <f>G38</f>
        <v>0</v>
      </c>
      <c r="BO38" s="251"/>
      <c r="BP38" s="251"/>
      <c r="BQ38" s="251"/>
      <c r="BR38" s="251">
        <f>BN38+BO38+BP38+BQ38</f>
        <v>0</v>
      </c>
      <c r="BS38" s="251"/>
      <c r="BT38" s="251"/>
      <c r="BU38" s="251"/>
      <c r="BV38" s="393">
        <f>BR38+BU38</f>
        <v>0</v>
      </c>
    </row>
    <row r="39" spans="1:74" x14ac:dyDescent="0.25">
      <c r="A39" s="394"/>
      <c r="B39" s="377"/>
      <c r="C39" s="408" t="s">
        <v>261</v>
      </c>
      <c r="D39" s="408" t="s">
        <v>238</v>
      </c>
      <c r="E39" s="409">
        <v>0</v>
      </c>
      <c r="F39" s="395">
        <f t="shared" si="60"/>
        <v>0</v>
      </c>
      <c r="G39" s="396">
        <f t="shared" si="60"/>
        <v>0</v>
      </c>
      <c r="H39" s="396"/>
      <c r="I39" s="396"/>
      <c r="J39" s="396"/>
      <c r="K39" s="396"/>
      <c r="L39" s="396"/>
      <c r="M39" s="397">
        <f>G39</f>
        <v>0</v>
      </c>
      <c r="N39" s="396"/>
      <c r="O39" s="396"/>
      <c r="P39" s="396"/>
      <c r="Q39" s="396"/>
      <c r="R39" s="392">
        <f>F39*0.35</f>
        <v>0</v>
      </c>
      <c r="S39" s="392">
        <f>F39*0.1</f>
        <v>0</v>
      </c>
      <c r="T39" s="392">
        <f>F39:F39*0.15</f>
        <v>0</v>
      </c>
      <c r="U39" s="392">
        <f>F39*0.4</f>
        <v>0</v>
      </c>
      <c r="V39" s="391">
        <f>G39*0.2</f>
        <v>0</v>
      </c>
      <c r="W39" s="391">
        <f>G39*0.45</f>
        <v>0</v>
      </c>
      <c r="X39" s="391">
        <f>G39*0.25</f>
        <v>0</v>
      </c>
      <c r="Y39" s="391">
        <f>G39*0.1</f>
        <v>0</v>
      </c>
      <c r="Z39" s="392">
        <v>0</v>
      </c>
      <c r="AA39" s="391">
        <f>Z39*E39</f>
        <v>0</v>
      </c>
      <c r="AB39" s="392">
        <v>0</v>
      </c>
      <c r="AC39" s="391">
        <f>AB39*E39</f>
        <v>0</v>
      </c>
      <c r="AD39" s="392">
        <v>0</v>
      </c>
      <c r="AE39" s="391">
        <f>AD39*E39</f>
        <v>0</v>
      </c>
      <c r="AF39" s="392">
        <v>0</v>
      </c>
      <c r="AG39" s="391">
        <f>AF39*E39</f>
        <v>0</v>
      </c>
      <c r="AH39" s="392">
        <v>0</v>
      </c>
      <c r="AI39" s="391">
        <f>AH39*E39</f>
        <v>0</v>
      </c>
      <c r="AJ39" s="392">
        <v>0</v>
      </c>
      <c r="AK39" s="391">
        <f>AJ39*E39</f>
        <v>0</v>
      </c>
      <c r="AL39" s="392">
        <v>0</v>
      </c>
      <c r="AM39" s="391">
        <v>0</v>
      </c>
      <c r="AN39" s="392">
        <v>0</v>
      </c>
      <c r="AO39" s="391">
        <f>AN39*E39</f>
        <v>0</v>
      </c>
      <c r="AP39" s="392">
        <v>0</v>
      </c>
      <c r="AQ39" s="391">
        <f>AP39*E39</f>
        <v>0</v>
      </c>
      <c r="AR39" s="392">
        <v>0</v>
      </c>
      <c r="AS39" s="391">
        <f>AR39*E39</f>
        <v>0</v>
      </c>
      <c r="AT39" s="392">
        <v>0</v>
      </c>
      <c r="AU39" s="391">
        <f>AT39*E39</f>
        <v>0</v>
      </c>
      <c r="AV39" s="392">
        <v>0</v>
      </c>
      <c r="AW39" s="391">
        <f>AV39*E39</f>
        <v>0</v>
      </c>
      <c r="AX39" s="391">
        <v>0</v>
      </c>
      <c r="AY39" s="391">
        <f>AX39*E39</f>
        <v>0</v>
      </c>
      <c r="AZ39" s="392">
        <v>0</v>
      </c>
      <c r="BA39" s="391">
        <f>AZ39*E39</f>
        <v>0</v>
      </c>
      <c r="BB39" s="392">
        <v>0</v>
      </c>
      <c r="BC39" s="391">
        <f>BB39*E39</f>
        <v>0</v>
      </c>
      <c r="BD39" s="392">
        <v>0</v>
      </c>
      <c r="BE39" s="391">
        <v>0</v>
      </c>
      <c r="BF39" s="392">
        <v>0</v>
      </c>
      <c r="BG39" s="391">
        <f>BF39*E39</f>
        <v>0</v>
      </c>
      <c r="BH39" s="392"/>
      <c r="BI39" s="391">
        <f>BH39*E39</f>
        <v>0</v>
      </c>
      <c r="BJ39" s="392">
        <f>BH39+BF39+BD39+BB39+AZ39+AX39+AV39+AT39+AR39+AP39+AN39+AL39+AJ39+AH39+AF39+AD39+AB39+Z39</f>
        <v>0</v>
      </c>
      <c r="BK39" s="392">
        <f t="shared" si="61"/>
        <v>0</v>
      </c>
      <c r="BL39" s="326" t="s">
        <v>276</v>
      </c>
      <c r="BM39" s="400"/>
      <c r="BN39" s="396">
        <f>G39</f>
        <v>0</v>
      </c>
      <c r="BO39" s="251"/>
      <c r="BP39" s="251"/>
      <c r="BQ39" s="251"/>
      <c r="BR39" s="251">
        <f>BN39+BO39+BP39+BQ39</f>
        <v>0</v>
      </c>
      <c r="BS39" s="251"/>
      <c r="BT39" s="251"/>
      <c r="BU39" s="251"/>
      <c r="BV39" s="393">
        <f>BR39+BU39</f>
        <v>0</v>
      </c>
    </row>
    <row r="40" spans="1:74" ht="17.25" customHeight="1" x14ac:dyDescent="0.25">
      <c r="A40" s="394"/>
      <c r="B40" s="377"/>
      <c r="C40" s="408" t="s">
        <v>582</v>
      </c>
      <c r="D40" s="408" t="s">
        <v>238</v>
      </c>
      <c r="E40" s="409">
        <v>140000</v>
      </c>
      <c r="F40" s="395">
        <f t="shared" si="60"/>
        <v>0</v>
      </c>
      <c r="G40" s="396">
        <f t="shared" si="60"/>
        <v>0</v>
      </c>
      <c r="H40" s="396"/>
      <c r="I40" s="396"/>
      <c r="J40" s="396"/>
      <c r="K40" s="396"/>
      <c r="L40" s="396"/>
      <c r="M40" s="397"/>
      <c r="N40" s="396"/>
      <c r="O40" s="396"/>
      <c r="P40" s="396"/>
      <c r="Q40" s="396"/>
      <c r="R40" s="392"/>
      <c r="S40" s="392"/>
      <c r="T40" s="392"/>
      <c r="U40" s="392"/>
      <c r="V40" s="391"/>
      <c r="W40" s="391"/>
      <c r="X40" s="391"/>
      <c r="Y40" s="391"/>
      <c r="Z40" s="392"/>
      <c r="AA40" s="391"/>
      <c r="AB40" s="392">
        <v>0</v>
      </c>
      <c r="AC40" s="391"/>
      <c r="AD40" s="392"/>
      <c r="AE40" s="391"/>
      <c r="AF40" s="392">
        <v>0</v>
      </c>
      <c r="AG40" s="391"/>
      <c r="AH40" s="392">
        <v>0</v>
      </c>
      <c r="AI40" s="391"/>
      <c r="AJ40" s="392">
        <v>0</v>
      </c>
      <c r="AK40" s="391"/>
      <c r="AL40" s="392"/>
      <c r="AM40" s="391"/>
      <c r="AN40" s="392"/>
      <c r="AO40" s="391"/>
      <c r="AP40" s="392">
        <v>0</v>
      </c>
      <c r="AQ40" s="391"/>
      <c r="AR40" s="392"/>
      <c r="AS40" s="391"/>
      <c r="AT40" s="392"/>
      <c r="AU40" s="391"/>
      <c r="AV40" s="392"/>
      <c r="AW40" s="391"/>
      <c r="AX40" s="391">
        <v>0</v>
      </c>
      <c r="AY40" s="391"/>
      <c r="AZ40" s="392">
        <v>0</v>
      </c>
      <c r="BA40" s="391"/>
      <c r="BB40" s="392"/>
      <c r="BC40" s="391"/>
      <c r="BD40" s="392">
        <v>0</v>
      </c>
      <c r="BE40" s="391">
        <v>0</v>
      </c>
      <c r="BF40" s="392">
        <v>0</v>
      </c>
      <c r="BG40" s="391"/>
      <c r="BH40" s="392"/>
      <c r="BI40" s="391"/>
      <c r="BJ40" s="392">
        <f>BH40+BF40+BD40+BB40+AZ40+AX40+AV40+AT40+AR40+AP40+AN40+AL40+AJ40+AH40+AF40+AD40+AB40+Z40</f>
        <v>0</v>
      </c>
      <c r="BK40" s="392">
        <f t="shared" si="61"/>
        <v>0</v>
      </c>
      <c r="BL40" s="326"/>
      <c r="BM40" s="400"/>
      <c r="BN40" s="396"/>
      <c r="BO40" s="251"/>
      <c r="BP40" s="251"/>
      <c r="BQ40" s="251"/>
      <c r="BR40" s="251"/>
      <c r="BS40" s="251"/>
      <c r="BT40" s="251"/>
      <c r="BU40" s="251"/>
      <c r="BV40" s="393"/>
    </row>
    <row r="41" spans="1:74" x14ac:dyDescent="0.25">
      <c r="A41" s="394"/>
      <c r="B41" s="375"/>
      <c r="C41" s="412" t="s">
        <v>3</v>
      </c>
      <c r="D41" s="382"/>
      <c r="E41" s="413"/>
      <c r="F41" s="380">
        <f>SUM(F38:F39)</f>
        <v>0</v>
      </c>
      <c r="G41" s="380">
        <f t="shared" ref="G41:BR41" si="62">SUM(G38:G39)</f>
        <v>0</v>
      </c>
      <c r="H41" s="380">
        <f t="shared" si="62"/>
        <v>0</v>
      </c>
      <c r="I41" s="380">
        <f t="shared" si="62"/>
        <v>0</v>
      </c>
      <c r="J41" s="380">
        <f t="shared" si="62"/>
        <v>0</v>
      </c>
      <c r="K41" s="380">
        <f t="shared" si="62"/>
        <v>0</v>
      </c>
      <c r="L41" s="380">
        <f t="shared" si="62"/>
        <v>0</v>
      </c>
      <c r="M41" s="380">
        <f t="shared" si="62"/>
        <v>0</v>
      </c>
      <c r="N41" s="380">
        <f t="shared" si="62"/>
        <v>0</v>
      </c>
      <c r="O41" s="380">
        <f t="shared" si="62"/>
        <v>0</v>
      </c>
      <c r="P41" s="380">
        <f t="shared" si="62"/>
        <v>0</v>
      </c>
      <c r="Q41" s="380">
        <f t="shared" si="62"/>
        <v>0</v>
      </c>
      <c r="R41" s="380">
        <f t="shared" si="62"/>
        <v>0</v>
      </c>
      <c r="S41" s="380">
        <f t="shared" si="62"/>
        <v>0</v>
      </c>
      <c r="T41" s="380">
        <f t="shared" si="62"/>
        <v>0</v>
      </c>
      <c r="U41" s="380">
        <f t="shared" si="62"/>
        <v>0</v>
      </c>
      <c r="V41" s="380">
        <f t="shared" si="62"/>
        <v>0</v>
      </c>
      <c r="W41" s="380">
        <f t="shared" si="62"/>
        <v>0</v>
      </c>
      <c r="X41" s="380">
        <f t="shared" si="62"/>
        <v>0</v>
      </c>
      <c r="Y41" s="380">
        <f t="shared" si="62"/>
        <v>0</v>
      </c>
      <c r="Z41" s="380">
        <f>SUM(Z38:Z40)</f>
        <v>0</v>
      </c>
      <c r="AA41" s="380">
        <f t="shared" ref="AA41:BK41" si="63">SUM(AA38:AA40)</f>
        <v>0</v>
      </c>
      <c r="AB41" s="380">
        <f t="shared" si="63"/>
        <v>0</v>
      </c>
      <c r="AC41" s="380">
        <f t="shared" si="63"/>
        <v>0</v>
      </c>
      <c r="AD41" s="380">
        <f t="shared" si="63"/>
        <v>0</v>
      </c>
      <c r="AE41" s="380">
        <f t="shared" si="63"/>
        <v>0</v>
      </c>
      <c r="AF41" s="380">
        <f t="shared" si="63"/>
        <v>0</v>
      </c>
      <c r="AG41" s="380">
        <f t="shared" si="63"/>
        <v>0</v>
      </c>
      <c r="AH41" s="380">
        <f t="shared" si="63"/>
        <v>0</v>
      </c>
      <c r="AI41" s="380">
        <f t="shared" si="63"/>
        <v>0</v>
      </c>
      <c r="AJ41" s="380">
        <f t="shared" si="63"/>
        <v>0</v>
      </c>
      <c r="AK41" s="380">
        <f t="shared" si="63"/>
        <v>0</v>
      </c>
      <c r="AL41" s="380">
        <f t="shared" si="63"/>
        <v>0</v>
      </c>
      <c r="AM41" s="380">
        <f t="shared" si="63"/>
        <v>0</v>
      </c>
      <c r="AN41" s="380">
        <f t="shared" si="63"/>
        <v>0</v>
      </c>
      <c r="AO41" s="380">
        <f t="shared" si="63"/>
        <v>0</v>
      </c>
      <c r="AP41" s="380">
        <f t="shared" si="63"/>
        <v>0</v>
      </c>
      <c r="AQ41" s="380">
        <f t="shared" si="63"/>
        <v>0</v>
      </c>
      <c r="AR41" s="380">
        <f t="shared" si="63"/>
        <v>0</v>
      </c>
      <c r="AS41" s="380">
        <f t="shared" si="63"/>
        <v>0</v>
      </c>
      <c r="AT41" s="380">
        <f t="shared" si="63"/>
        <v>0</v>
      </c>
      <c r="AU41" s="380">
        <f t="shared" si="63"/>
        <v>0</v>
      </c>
      <c r="AV41" s="380">
        <f t="shared" si="63"/>
        <v>0</v>
      </c>
      <c r="AW41" s="380">
        <f t="shared" si="63"/>
        <v>0</v>
      </c>
      <c r="AX41" s="380">
        <f t="shared" si="63"/>
        <v>0</v>
      </c>
      <c r="AY41" s="380">
        <f t="shared" si="63"/>
        <v>0</v>
      </c>
      <c r="AZ41" s="380">
        <f t="shared" si="63"/>
        <v>0</v>
      </c>
      <c r="BA41" s="380">
        <f t="shared" si="63"/>
        <v>0</v>
      </c>
      <c r="BB41" s="380">
        <f t="shared" si="63"/>
        <v>0</v>
      </c>
      <c r="BC41" s="380">
        <f t="shared" si="63"/>
        <v>0</v>
      </c>
      <c r="BD41" s="380">
        <f t="shared" si="63"/>
        <v>0</v>
      </c>
      <c r="BE41" s="380">
        <f t="shared" si="63"/>
        <v>0</v>
      </c>
      <c r="BF41" s="380">
        <f t="shared" si="63"/>
        <v>0</v>
      </c>
      <c r="BG41" s="380">
        <f t="shared" si="63"/>
        <v>0</v>
      </c>
      <c r="BH41" s="380">
        <f t="shared" si="63"/>
        <v>0</v>
      </c>
      <c r="BI41" s="380">
        <f t="shared" si="63"/>
        <v>0</v>
      </c>
      <c r="BJ41" s="380">
        <f t="shared" si="63"/>
        <v>0</v>
      </c>
      <c r="BK41" s="380">
        <f t="shared" si="63"/>
        <v>0</v>
      </c>
      <c r="BL41" s="380">
        <f t="shared" si="62"/>
        <v>0</v>
      </c>
      <c r="BM41" s="380">
        <f t="shared" si="62"/>
        <v>0</v>
      </c>
      <c r="BN41" s="380">
        <f t="shared" si="62"/>
        <v>0</v>
      </c>
      <c r="BO41" s="380">
        <f t="shared" si="62"/>
        <v>0</v>
      </c>
      <c r="BP41" s="380">
        <f t="shared" si="62"/>
        <v>0</v>
      </c>
      <c r="BQ41" s="380">
        <f t="shared" si="62"/>
        <v>0</v>
      </c>
      <c r="BR41" s="380">
        <f t="shared" si="62"/>
        <v>0</v>
      </c>
      <c r="BS41" s="380">
        <f>SUM(BS38:BS39)</f>
        <v>0</v>
      </c>
      <c r="BT41" s="380">
        <f>SUM(BT38:BT39)</f>
        <v>0</v>
      </c>
      <c r="BU41" s="380">
        <f>SUM(BU38:BU39)</f>
        <v>0</v>
      </c>
      <c r="BV41" s="380">
        <f>SUM(BV38:BV39)</f>
        <v>0</v>
      </c>
    </row>
    <row r="42" spans="1:74" x14ac:dyDescent="0.25">
      <c r="A42" s="394"/>
      <c r="B42" s="375"/>
      <c r="C42" s="412" t="s">
        <v>273</v>
      </c>
      <c r="D42" s="382"/>
      <c r="E42" s="413"/>
      <c r="F42" s="395">
        <f t="shared" ref="F42:G47" si="64">BJ42</f>
        <v>0</v>
      </c>
      <c r="G42" s="396">
        <f>F42*E42</f>
        <v>0</v>
      </c>
      <c r="H42" s="414"/>
      <c r="I42" s="414"/>
      <c r="J42" s="414"/>
      <c r="K42" s="414"/>
      <c r="L42" s="414"/>
      <c r="M42" s="414"/>
      <c r="N42" s="414"/>
      <c r="O42" s="414"/>
      <c r="P42" s="414"/>
      <c r="Q42" s="414"/>
      <c r="R42" s="392">
        <f t="shared" ref="R42:R47" si="65">F42*0.35</f>
        <v>0</v>
      </c>
      <c r="S42" s="392">
        <f t="shared" ref="S42:S47" si="66">F42*0.1</f>
        <v>0</v>
      </c>
      <c r="T42" s="392">
        <f t="shared" ref="T42:T47" si="67">F42:F42*0.15</f>
        <v>0</v>
      </c>
      <c r="U42" s="392">
        <f t="shared" ref="U42:U47" si="68">F42*0.4</f>
        <v>0</v>
      </c>
      <c r="V42" s="391">
        <f t="shared" ref="V42:V47" si="69">R42*E42</f>
        <v>0</v>
      </c>
      <c r="W42" s="391">
        <f t="shared" ref="W42:W47" si="70">S42*E42</f>
        <v>0</v>
      </c>
      <c r="X42" s="391">
        <f t="shared" ref="X42:X47" si="71">T42*E42</f>
        <v>0</v>
      </c>
      <c r="Y42" s="391">
        <f t="shared" ref="Y42:Y47" si="72">U42*E42</f>
        <v>0</v>
      </c>
      <c r="Z42" s="380"/>
      <c r="AA42" s="391">
        <f t="shared" ref="AA42:AA47" si="73">Z42*E42</f>
        <v>0</v>
      </c>
      <c r="AB42" s="380"/>
      <c r="AC42" s="391">
        <f t="shared" ref="AC42:AC53" si="74">AB42*E42</f>
        <v>0</v>
      </c>
      <c r="AD42" s="380"/>
      <c r="AE42" s="391">
        <f t="shared" ref="AE42:AE53" si="75">AD42*E42</f>
        <v>0</v>
      </c>
      <c r="AF42" s="380"/>
      <c r="AG42" s="391">
        <f t="shared" ref="AG42:AG53" si="76">AF42*E42</f>
        <v>0</v>
      </c>
      <c r="AH42" s="380"/>
      <c r="AI42" s="391">
        <f t="shared" ref="AI42:AI53" si="77">AH42*E42</f>
        <v>0</v>
      </c>
      <c r="AJ42" s="380"/>
      <c r="AK42" s="391">
        <f t="shared" ref="AK42:AK53" si="78">AJ42*E42</f>
        <v>0</v>
      </c>
      <c r="AL42" s="380"/>
      <c r="AM42" s="391">
        <f t="shared" ref="AM42:AM47" si="79">AL42*E42</f>
        <v>0</v>
      </c>
      <c r="AN42" s="380"/>
      <c r="AO42" s="391">
        <f t="shared" ref="AO42:AO53" si="80">AN42*E42</f>
        <v>0</v>
      </c>
      <c r="AP42" s="380"/>
      <c r="AQ42" s="391">
        <f t="shared" ref="AQ42:AQ49" si="81">AP42*E42</f>
        <v>0</v>
      </c>
      <c r="AR42" s="380"/>
      <c r="AS42" s="391">
        <f t="shared" ref="AS42:AS53" si="82">AR42*E42</f>
        <v>0</v>
      </c>
      <c r="AT42" s="380"/>
      <c r="AU42" s="391">
        <f t="shared" ref="AU42:AU49" si="83">AT42*E42</f>
        <v>0</v>
      </c>
      <c r="AV42" s="380"/>
      <c r="AW42" s="391">
        <f t="shared" ref="AW42:AW53" si="84">AV42*E42</f>
        <v>0</v>
      </c>
      <c r="AX42" s="381"/>
      <c r="AY42" s="391">
        <f t="shared" ref="AY42:AY53" si="85">AX42*E42</f>
        <v>0</v>
      </c>
      <c r="AZ42" s="380"/>
      <c r="BA42" s="391">
        <f t="shared" ref="BA42:BA53" si="86">AZ42*E42</f>
        <v>0</v>
      </c>
      <c r="BB42" s="380"/>
      <c r="BC42" s="391">
        <f t="shared" ref="BC42:BC53" si="87">BB42*E42</f>
        <v>0</v>
      </c>
      <c r="BD42" s="380"/>
      <c r="BE42" s="391">
        <f t="shared" ref="BE42:BE53" si="88">BD42*E42</f>
        <v>0</v>
      </c>
      <c r="BF42" s="380"/>
      <c r="BG42" s="391">
        <f t="shared" ref="BG42:BG52" si="89">BF42*E42</f>
        <v>0</v>
      </c>
      <c r="BH42" s="380"/>
      <c r="BI42" s="391">
        <f t="shared" ref="BI42:BI53" si="90">BH42*E42</f>
        <v>0</v>
      </c>
      <c r="BJ42" s="392">
        <f t="shared" ref="BJ42:BK53" si="91">BH42+BF42+BD42+BB42+AZ42+AX42+AV42+AT42+AR42+AP42+AN42+AL42+AJ42+AH42+AF42+AD42+AB42+Z42</f>
        <v>0</v>
      </c>
      <c r="BK42" s="391">
        <f>BJ42*E42</f>
        <v>0</v>
      </c>
      <c r="BL42" s="326" t="s">
        <v>276</v>
      </c>
      <c r="BM42" s="400"/>
      <c r="BN42" s="396"/>
      <c r="BO42" s="251"/>
      <c r="BP42" s="251"/>
      <c r="BQ42" s="251"/>
      <c r="BR42" s="251"/>
      <c r="BS42" s="251"/>
      <c r="BT42" s="251"/>
      <c r="BU42" s="251"/>
      <c r="BV42" s="393"/>
    </row>
    <row r="43" spans="1:74" x14ac:dyDescent="0.25">
      <c r="A43" s="394"/>
      <c r="B43" s="377"/>
      <c r="C43" s="408" t="s">
        <v>263</v>
      </c>
      <c r="D43" s="408" t="s">
        <v>238</v>
      </c>
      <c r="E43" s="409">
        <v>113000</v>
      </c>
      <c r="F43" s="395">
        <f>BJ43</f>
        <v>20</v>
      </c>
      <c r="G43" s="395">
        <f t="shared" si="64"/>
        <v>2260000</v>
      </c>
      <c r="H43" s="396"/>
      <c r="I43" s="396"/>
      <c r="J43" s="396"/>
      <c r="K43" s="396"/>
      <c r="L43" s="396"/>
      <c r="M43" s="397">
        <f>G43</f>
        <v>2260000</v>
      </c>
      <c r="N43" s="396"/>
      <c r="O43" s="396"/>
      <c r="P43" s="396"/>
      <c r="Q43" s="396"/>
      <c r="R43" s="392">
        <f t="shared" si="65"/>
        <v>7</v>
      </c>
      <c r="S43" s="392">
        <f t="shared" si="66"/>
        <v>2</v>
      </c>
      <c r="T43" s="392">
        <f t="shared" si="67"/>
        <v>3</v>
      </c>
      <c r="U43" s="392">
        <f t="shared" si="68"/>
        <v>8</v>
      </c>
      <c r="V43" s="391">
        <f t="shared" si="69"/>
        <v>791000</v>
      </c>
      <c r="W43" s="391">
        <f t="shared" si="70"/>
        <v>226000</v>
      </c>
      <c r="X43" s="391">
        <f t="shared" si="71"/>
        <v>339000</v>
      </c>
      <c r="Y43" s="391">
        <f t="shared" si="72"/>
        <v>904000</v>
      </c>
      <c r="Z43" s="392">
        <v>5</v>
      </c>
      <c r="AA43" s="391">
        <f>Z43*E43</f>
        <v>565000</v>
      </c>
      <c r="AB43" s="395">
        <v>0</v>
      </c>
      <c r="AC43" s="391">
        <f t="shared" si="74"/>
        <v>0</v>
      </c>
      <c r="AD43" s="392">
        <v>0</v>
      </c>
      <c r="AE43" s="391">
        <f t="shared" si="75"/>
        <v>0</v>
      </c>
      <c r="AF43" s="392">
        <v>5</v>
      </c>
      <c r="AG43" s="391">
        <f t="shared" si="76"/>
        <v>565000</v>
      </c>
      <c r="AH43" s="392">
        <v>0</v>
      </c>
      <c r="AI43" s="391">
        <f>AH43*E43</f>
        <v>0</v>
      </c>
      <c r="AJ43" s="392">
        <v>5</v>
      </c>
      <c r="AK43" s="391">
        <f t="shared" si="78"/>
        <v>565000</v>
      </c>
      <c r="AL43" s="392">
        <v>0</v>
      </c>
      <c r="AM43" s="391">
        <f t="shared" si="79"/>
        <v>0</v>
      </c>
      <c r="AN43" s="392">
        <v>0</v>
      </c>
      <c r="AO43" s="391">
        <f t="shared" si="80"/>
        <v>0</v>
      </c>
      <c r="AP43" s="392"/>
      <c r="AQ43" s="391">
        <f t="shared" si="81"/>
        <v>0</v>
      </c>
      <c r="AR43" s="392">
        <v>0</v>
      </c>
      <c r="AS43" s="391">
        <f t="shared" si="82"/>
        <v>0</v>
      </c>
      <c r="AT43" s="392">
        <v>0</v>
      </c>
      <c r="AU43" s="391">
        <f t="shared" si="83"/>
        <v>0</v>
      </c>
      <c r="AV43" s="392">
        <v>5</v>
      </c>
      <c r="AW43" s="391">
        <f t="shared" si="84"/>
        <v>565000</v>
      </c>
      <c r="AX43" s="391">
        <v>0</v>
      </c>
      <c r="AY43" s="391">
        <f t="shared" si="85"/>
        <v>0</v>
      </c>
      <c r="AZ43" s="392">
        <v>0</v>
      </c>
      <c r="BA43" s="391">
        <f t="shared" si="86"/>
        <v>0</v>
      </c>
      <c r="BB43" s="392">
        <v>0</v>
      </c>
      <c r="BC43" s="391">
        <f t="shared" si="87"/>
        <v>0</v>
      </c>
      <c r="BD43" s="392">
        <v>0</v>
      </c>
      <c r="BE43" s="391">
        <f t="shared" si="88"/>
        <v>0</v>
      </c>
      <c r="BF43" s="392">
        <v>0</v>
      </c>
      <c r="BG43" s="391">
        <f t="shared" si="89"/>
        <v>0</v>
      </c>
      <c r="BH43" s="392"/>
      <c r="BI43" s="391">
        <f t="shared" si="90"/>
        <v>0</v>
      </c>
      <c r="BJ43" s="392">
        <f t="shared" si="91"/>
        <v>20</v>
      </c>
      <c r="BK43" s="392">
        <f t="shared" si="91"/>
        <v>2260000</v>
      </c>
      <c r="BL43" s="326" t="s">
        <v>276</v>
      </c>
      <c r="BM43" s="400"/>
      <c r="BN43" s="396">
        <f>G43</f>
        <v>2260000</v>
      </c>
      <c r="BO43" s="251"/>
      <c r="BP43" s="251"/>
      <c r="BQ43" s="251"/>
      <c r="BR43" s="251">
        <f>BN43+BO43+BP43+BQ43</f>
        <v>2260000</v>
      </c>
      <c r="BS43" s="251"/>
      <c r="BT43" s="251"/>
      <c r="BU43" s="251"/>
      <c r="BV43" s="393">
        <f>BR43+BU43</f>
        <v>2260000</v>
      </c>
    </row>
    <row r="44" spans="1:74" x14ac:dyDescent="0.25">
      <c r="A44" s="394"/>
      <c r="B44" s="377"/>
      <c r="C44" s="408" t="s">
        <v>267</v>
      </c>
      <c r="D44" s="408" t="s">
        <v>238</v>
      </c>
      <c r="E44" s="409">
        <v>44000</v>
      </c>
      <c r="F44" s="395">
        <f t="shared" ref="F44:F53" si="92">BJ44</f>
        <v>20</v>
      </c>
      <c r="G44" s="396">
        <f>F44*E44</f>
        <v>880000</v>
      </c>
      <c r="H44" s="396"/>
      <c r="I44" s="396"/>
      <c r="J44" s="396"/>
      <c r="K44" s="396"/>
      <c r="L44" s="396"/>
      <c r="M44" s="397">
        <f>G44</f>
        <v>880000</v>
      </c>
      <c r="N44" s="396"/>
      <c r="O44" s="396"/>
      <c r="P44" s="396"/>
      <c r="Q44" s="396"/>
      <c r="R44" s="392">
        <f t="shared" si="65"/>
        <v>7</v>
      </c>
      <c r="S44" s="392">
        <f t="shared" si="66"/>
        <v>2</v>
      </c>
      <c r="T44" s="392">
        <f t="shared" si="67"/>
        <v>3</v>
      </c>
      <c r="U44" s="392">
        <f t="shared" si="68"/>
        <v>8</v>
      </c>
      <c r="V44" s="391">
        <f t="shared" si="69"/>
        <v>308000</v>
      </c>
      <c r="W44" s="391">
        <f t="shared" si="70"/>
        <v>88000</v>
      </c>
      <c r="X44" s="391">
        <f t="shared" si="71"/>
        <v>132000</v>
      </c>
      <c r="Y44" s="391">
        <f t="shared" si="72"/>
        <v>352000</v>
      </c>
      <c r="Z44" s="392">
        <v>0</v>
      </c>
      <c r="AA44" s="391">
        <f t="shared" si="73"/>
        <v>0</v>
      </c>
      <c r="AB44" s="395">
        <v>5</v>
      </c>
      <c r="AC44" s="391">
        <f t="shared" si="74"/>
        <v>220000</v>
      </c>
      <c r="AD44" s="392">
        <v>0</v>
      </c>
      <c r="AE44" s="391">
        <f t="shared" si="75"/>
        <v>0</v>
      </c>
      <c r="AF44" s="392">
        <v>0</v>
      </c>
      <c r="AG44" s="391">
        <f t="shared" si="76"/>
        <v>0</v>
      </c>
      <c r="AH44" s="392">
        <v>0</v>
      </c>
      <c r="AI44" s="391">
        <f t="shared" si="77"/>
        <v>0</v>
      </c>
      <c r="AJ44" s="392">
        <v>0</v>
      </c>
      <c r="AK44" s="391">
        <f t="shared" si="78"/>
        <v>0</v>
      </c>
      <c r="AL44" s="392">
        <v>0</v>
      </c>
      <c r="AM44" s="391">
        <f t="shared" si="79"/>
        <v>0</v>
      </c>
      <c r="AN44" s="392">
        <v>0</v>
      </c>
      <c r="AO44" s="391">
        <f t="shared" si="80"/>
        <v>0</v>
      </c>
      <c r="AP44" s="392"/>
      <c r="AQ44" s="391">
        <f t="shared" si="81"/>
        <v>0</v>
      </c>
      <c r="AR44" s="392">
        <v>5</v>
      </c>
      <c r="AS44" s="391">
        <f t="shared" si="82"/>
        <v>220000</v>
      </c>
      <c r="AT44" s="392">
        <v>0</v>
      </c>
      <c r="AU44" s="391">
        <f t="shared" si="83"/>
        <v>0</v>
      </c>
      <c r="AV44" s="392">
        <v>5</v>
      </c>
      <c r="AW44" s="391">
        <f t="shared" si="84"/>
        <v>220000</v>
      </c>
      <c r="AX44" s="391">
        <v>5</v>
      </c>
      <c r="AY44" s="391">
        <f t="shared" si="85"/>
        <v>220000</v>
      </c>
      <c r="AZ44" s="392">
        <v>0</v>
      </c>
      <c r="BA44" s="391">
        <f t="shared" si="86"/>
        <v>0</v>
      </c>
      <c r="BB44" s="392">
        <v>0</v>
      </c>
      <c r="BC44" s="391">
        <f t="shared" si="87"/>
        <v>0</v>
      </c>
      <c r="BD44" s="392">
        <v>0</v>
      </c>
      <c r="BE44" s="391">
        <f t="shared" si="88"/>
        <v>0</v>
      </c>
      <c r="BF44" s="392">
        <v>0</v>
      </c>
      <c r="BG44" s="391">
        <f t="shared" si="89"/>
        <v>0</v>
      </c>
      <c r="BH44" s="392"/>
      <c r="BI44" s="391">
        <f t="shared" si="90"/>
        <v>0</v>
      </c>
      <c r="BJ44" s="392">
        <f t="shared" si="91"/>
        <v>20</v>
      </c>
      <c r="BK44" s="392">
        <f t="shared" si="91"/>
        <v>880000</v>
      </c>
      <c r="BL44" s="326" t="s">
        <v>276</v>
      </c>
      <c r="BM44" s="400"/>
      <c r="BN44" s="396">
        <f>G44</f>
        <v>880000</v>
      </c>
      <c r="BO44" s="251"/>
      <c r="BP44" s="251"/>
      <c r="BQ44" s="251"/>
      <c r="BR44" s="251">
        <f>BN44+BO44+BP44+BQ44</f>
        <v>880000</v>
      </c>
      <c r="BS44" s="251"/>
      <c r="BT44" s="251"/>
      <c r="BU44" s="251"/>
      <c r="BV44" s="393">
        <f>BR44+BU44</f>
        <v>880000</v>
      </c>
    </row>
    <row r="45" spans="1:74" x14ac:dyDescent="0.25">
      <c r="A45" s="394"/>
      <c r="B45" s="377"/>
      <c r="C45" s="408" t="s">
        <v>264</v>
      </c>
      <c r="D45" s="408" t="s">
        <v>265</v>
      </c>
      <c r="E45" s="409">
        <v>182</v>
      </c>
      <c r="F45" s="395">
        <f t="shared" si="92"/>
        <v>0</v>
      </c>
      <c r="G45" s="396">
        <f>F45*E45</f>
        <v>0</v>
      </c>
      <c r="H45" s="396"/>
      <c r="I45" s="396"/>
      <c r="J45" s="396"/>
      <c r="K45" s="396"/>
      <c r="L45" s="396"/>
      <c r="M45" s="397">
        <f>G45</f>
        <v>0</v>
      </c>
      <c r="N45" s="396"/>
      <c r="O45" s="396"/>
      <c r="P45" s="396"/>
      <c r="Q45" s="396"/>
      <c r="R45" s="392">
        <f t="shared" si="65"/>
        <v>0</v>
      </c>
      <c r="S45" s="392">
        <f t="shared" si="66"/>
        <v>0</v>
      </c>
      <c r="T45" s="392">
        <f t="shared" si="67"/>
        <v>0</v>
      </c>
      <c r="U45" s="392">
        <f t="shared" si="68"/>
        <v>0</v>
      </c>
      <c r="V45" s="391">
        <f t="shared" si="69"/>
        <v>0</v>
      </c>
      <c r="W45" s="391">
        <f t="shared" si="70"/>
        <v>0</v>
      </c>
      <c r="X45" s="391">
        <f t="shared" si="71"/>
        <v>0</v>
      </c>
      <c r="Y45" s="391">
        <f t="shared" si="72"/>
        <v>0</v>
      </c>
      <c r="Z45" s="392">
        <v>0</v>
      </c>
      <c r="AA45" s="391">
        <f t="shared" si="73"/>
        <v>0</v>
      </c>
      <c r="AB45" s="395">
        <v>0</v>
      </c>
      <c r="AC45" s="391">
        <f t="shared" si="74"/>
        <v>0</v>
      </c>
      <c r="AD45" s="392">
        <v>0</v>
      </c>
      <c r="AE45" s="391">
        <f t="shared" si="75"/>
        <v>0</v>
      </c>
      <c r="AF45" s="392">
        <v>0</v>
      </c>
      <c r="AG45" s="391">
        <f t="shared" si="76"/>
        <v>0</v>
      </c>
      <c r="AH45" s="392">
        <v>0</v>
      </c>
      <c r="AI45" s="391">
        <f t="shared" si="77"/>
        <v>0</v>
      </c>
      <c r="AJ45" s="392">
        <v>0</v>
      </c>
      <c r="AK45" s="391">
        <f t="shared" si="78"/>
        <v>0</v>
      </c>
      <c r="AL45" s="392">
        <v>0</v>
      </c>
      <c r="AM45" s="391">
        <f t="shared" si="79"/>
        <v>0</v>
      </c>
      <c r="AN45" s="392">
        <v>0</v>
      </c>
      <c r="AO45" s="391">
        <f t="shared" si="80"/>
        <v>0</v>
      </c>
      <c r="AP45" s="392">
        <v>0</v>
      </c>
      <c r="AQ45" s="391">
        <f t="shared" si="81"/>
        <v>0</v>
      </c>
      <c r="AR45" s="392">
        <v>0</v>
      </c>
      <c r="AS45" s="391">
        <f t="shared" si="82"/>
        <v>0</v>
      </c>
      <c r="AT45" s="392">
        <v>0</v>
      </c>
      <c r="AU45" s="391">
        <f t="shared" si="83"/>
        <v>0</v>
      </c>
      <c r="AV45" s="392">
        <v>0</v>
      </c>
      <c r="AW45" s="391">
        <f t="shared" si="84"/>
        <v>0</v>
      </c>
      <c r="AX45" s="391">
        <v>0</v>
      </c>
      <c r="AY45" s="391">
        <f t="shared" si="85"/>
        <v>0</v>
      </c>
      <c r="AZ45" s="392">
        <v>0</v>
      </c>
      <c r="BA45" s="391">
        <f t="shared" si="86"/>
        <v>0</v>
      </c>
      <c r="BB45" s="392">
        <v>0</v>
      </c>
      <c r="BC45" s="391">
        <f t="shared" si="87"/>
        <v>0</v>
      </c>
      <c r="BD45" s="392">
        <v>0</v>
      </c>
      <c r="BE45" s="391">
        <f t="shared" si="88"/>
        <v>0</v>
      </c>
      <c r="BF45" s="392">
        <v>0</v>
      </c>
      <c r="BG45" s="391">
        <f t="shared" si="89"/>
        <v>0</v>
      </c>
      <c r="BH45" s="392"/>
      <c r="BI45" s="391">
        <f t="shared" si="90"/>
        <v>0</v>
      </c>
      <c r="BJ45" s="392">
        <f t="shared" si="91"/>
        <v>0</v>
      </c>
      <c r="BK45" s="392">
        <f t="shared" si="91"/>
        <v>0</v>
      </c>
      <c r="BL45" s="326" t="s">
        <v>276</v>
      </c>
      <c r="BM45" s="400"/>
      <c r="BN45" s="396">
        <f>G45</f>
        <v>0</v>
      </c>
      <c r="BO45" s="251"/>
      <c r="BP45" s="251"/>
      <c r="BQ45" s="251"/>
      <c r="BR45" s="251">
        <f>BN45+BO45+BP45+BQ45</f>
        <v>0</v>
      </c>
      <c r="BS45" s="251"/>
      <c r="BT45" s="251"/>
      <c r="BU45" s="251"/>
      <c r="BV45" s="393">
        <f>BR45+BU45</f>
        <v>0</v>
      </c>
    </row>
    <row r="46" spans="1:74" x14ac:dyDescent="0.25">
      <c r="A46" s="394"/>
      <c r="B46" s="377"/>
      <c r="C46" s="408" t="s">
        <v>275</v>
      </c>
      <c r="D46" s="408" t="s">
        <v>238</v>
      </c>
      <c r="E46" s="409">
        <v>17000</v>
      </c>
      <c r="F46" s="395">
        <f t="shared" si="92"/>
        <v>0</v>
      </c>
      <c r="G46" s="396">
        <f>F46*E46</f>
        <v>0</v>
      </c>
      <c r="H46" s="396"/>
      <c r="I46" s="396"/>
      <c r="J46" s="396"/>
      <c r="K46" s="396"/>
      <c r="L46" s="396"/>
      <c r="M46" s="397">
        <f>G46</f>
        <v>0</v>
      </c>
      <c r="N46" s="396"/>
      <c r="O46" s="396"/>
      <c r="P46" s="396"/>
      <c r="Q46" s="396"/>
      <c r="R46" s="392">
        <f t="shared" si="65"/>
        <v>0</v>
      </c>
      <c r="S46" s="392">
        <f t="shared" si="66"/>
        <v>0</v>
      </c>
      <c r="T46" s="392">
        <f t="shared" si="67"/>
        <v>0</v>
      </c>
      <c r="U46" s="392">
        <f t="shared" si="68"/>
        <v>0</v>
      </c>
      <c r="V46" s="391">
        <f t="shared" si="69"/>
        <v>0</v>
      </c>
      <c r="W46" s="391">
        <f t="shared" si="70"/>
        <v>0</v>
      </c>
      <c r="X46" s="391">
        <f t="shared" si="71"/>
        <v>0</v>
      </c>
      <c r="Y46" s="391">
        <f t="shared" si="72"/>
        <v>0</v>
      </c>
      <c r="Z46" s="392">
        <v>0</v>
      </c>
      <c r="AA46" s="391">
        <f t="shared" si="73"/>
        <v>0</v>
      </c>
      <c r="AB46" s="395">
        <v>0</v>
      </c>
      <c r="AC46" s="391">
        <f t="shared" si="74"/>
        <v>0</v>
      </c>
      <c r="AD46" s="392">
        <v>0</v>
      </c>
      <c r="AE46" s="391">
        <f t="shared" si="75"/>
        <v>0</v>
      </c>
      <c r="AF46" s="392">
        <v>0</v>
      </c>
      <c r="AG46" s="391">
        <f t="shared" si="76"/>
        <v>0</v>
      </c>
      <c r="AH46" s="392">
        <v>0</v>
      </c>
      <c r="AI46" s="391">
        <f t="shared" si="77"/>
        <v>0</v>
      </c>
      <c r="AJ46" s="392"/>
      <c r="AK46" s="391">
        <f t="shared" si="78"/>
        <v>0</v>
      </c>
      <c r="AL46" s="392">
        <v>0</v>
      </c>
      <c r="AM46" s="391">
        <f t="shared" si="79"/>
        <v>0</v>
      </c>
      <c r="AN46" s="392">
        <v>0</v>
      </c>
      <c r="AO46" s="391">
        <f t="shared" si="80"/>
        <v>0</v>
      </c>
      <c r="AP46" s="392">
        <v>0</v>
      </c>
      <c r="AQ46" s="391">
        <f t="shared" si="81"/>
        <v>0</v>
      </c>
      <c r="AR46" s="392">
        <v>0</v>
      </c>
      <c r="AS46" s="391">
        <f t="shared" si="82"/>
        <v>0</v>
      </c>
      <c r="AT46" s="392">
        <v>0</v>
      </c>
      <c r="AU46" s="391">
        <f t="shared" si="83"/>
        <v>0</v>
      </c>
      <c r="AV46" s="392">
        <v>0</v>
      </c>
      <c r="AW46" s="391">
        <f t="shared" si="84"/>
        <v>0</v>
      </c>
      <c r="AX46" s="391">
        <v>0</v>
      </c>
      <c r="AY46" s="391">
        <f t="shared" si="85"/>
        <v>0</v>
      </c>
      <c r="AZ46" s="392">
        <v>0</v>
      </c>
      <c r="BA46" s="391">
        <f t="shared" si="86"/>
        <v>0</v>
      </c>
      <c r="BB46" s="392">
        <v>0</v>
      </c>
      <c r="BC46" s="391">
        <f t="shared" si="87"/>
        <v>0</v>
      </c>
      <c r="BD46" s="392">
        <v>0</v>
      </c>
      <c r="BE46" s="391">
        <f t="shared" si="88"/>
        <v>0</v>
      </c>
      <c r="BF46" s="392">
        <v>0</v>
      </c>
      <c r="BG46" s="391">
        <f t="shared" si="89"/>
        <v>0</v>
      </c>
      <c r="BH46" s="392"/>
      <c r="BI46" s="391">
        <f t="shared" si="90"/>
        <v>0</v>
      </c>
      <c r="BJ46" s="392">
        <f t="shared" si="91"/>
        <v>0</v>
      </c>
      <c r="BK46" s="392">
        <f t="shared" si="91"/>
        <v>0</v>
      </c>
      <c r="BL46" s="326" t="s">
        <v>276</v>
      </c>
      <c r="BM46" s="400"/>
      <c r="BN46" s="396">
        <f>G46</f>
        <v>0</v>
      </c>
      <c r="BO46" s="251"/>
      <c r="BP46" s="251"/>
      <c r="BQ46" s="251"/>
      <c r="BR46" s="251">
        <f>BN46+BO46+BP46+BQ46</f>
        <v>0</v>
      </c>
      <c r="BS46" s="251"/>
      <c r="BT46" s="251"/>
      <c r="BU46" s="251"/>
      <c r="BV46" s="393">
        <f>BR46+BU46</f>
        <v>0</v>
      </c>
    </row>
    <row r="47" spans="1:74" x14ac:dyDescent="0.25">
      <c r="A47" s="394"/>
      <c r="B47" s="377"/>
      <c r="C47" s="408" t="s">
        <v>281</v>
      </c>
      <c r="D47" s="408" t="s">
        <v>238</v>
      </c>
      <c r="E47" s="409">
        <v>20000</v>
      </c>
      <c r="F47" s="395">
        <f t="shared" si="92"/>
        <v>0</v>
      </c>
      <c r="G47" s="395">
        <f t="shared" si="64"/>
        <v>0</v>
      </c>
      <c r="H47" s="396"/>
      <c r="I47" s="396"/>
      <c r="J47" s="396"/>
      <c r="K47" s="396"/>
      <c r="L47" s="396"/>
      <c r="M47" s="397">
        <f>G47</f>
        <v>0</v>
      </c>
      <c r="N47" s="396"/>
      <c r="O47" s="396"/>
      <c r="P47" s="396"/>
      <c r="Q47" s="396"/>
      <c r="R47" s="392">
        <f t="shared" si="65"/>
        <v>0</v>
      </c>
      <c r="S47" s="392">
        <f t="shared" si="66"/>
        <v>0</v>
      </c>
      <c r="T47" s="392">
        <f t="shared" si="67"/>
        <v>0</v>
      </c>
      <c r="U47" s="392">
        <f t="shared" si="68"/>
        <v>0</v>
      </c>
      <c r="V47" s="391">
        <f t="shared" si="69"/>
        <v>0</v>
      </c>
      <c r="W47" s="391">
        <f t="shared" si="70"/>
        <v>0</v>
      </c>
      <c r="X47" s="391">
        <f t="shared" si="71"/>
        <v>0</v>
      </c>
      <c r="Y47" s="391">
        <f t="shared" si="72"/>
        <v>0</v>
      </c>
      <c r="Z47" s="392">
        <v>0</v>
      </c>
      <c r="AA47" s="391">
        <f t="shared" si="73"/>
        <v>0</v>
      </c>
      <c r="AB47" s="395">
        <v>0</v>
      </c>
      <c r="AC47" s="391">
        <f t="shared" si="74"/>
        <v>0</v>
      </c>
      <c r="AD47" s="392">
        <v>0</v>
      </c>
      <c r="AE47" s="391">
        <f t="shared" si="75"/>
        <v>0</v>
      </c>
      <c r="AF47" s="392">
        <v>0</v>
      </c>
      <c r="AG47" s="391">
        <f t="shared" si="76"/>
        <v>0</v>
      </c>
      <c r="AH47" s="392">
        <v>0</v>
      </c>
      <c r="AI47" s="391">
        <f t="shared" si="77"/>
        <v>0</v>
      </c>
      <c r="AJ47" s="392">
        <v>0</v>
      </c>
      <c r="AK47" s="391">
        <f t="shared" si="78"/>
        <v>0</v>
      </c>
      <c r="AL47" s="392">
        <v>0</v>
      </c>
      <c r="AM47" s="391">
        <f t="shared" si="79"/>
        <v>0</v>
      </c>
      <c r="AN47" s="392">
        <v>0</v>
      </c>
      <c r="AO47" s="391">
        <f t="shared" si="80"/>
        <v>0</v>
      </c>
      <c r="AP47" s="392">
        <v>0</v>
      </c>
      <c r="AQ47" s="391">
        <f t="shared" si="81"/>
        <v>0</v>
      </c>
      <c r="AR47" s="392">
        <v>0</v>
      </c>
      <c r="AS47" s="391">
        <f t="shared" si="82"/>
        <v>0</v>
      </c>
      <c r="AT47" s="392">
        <v>0</v>
      </c>
      <c r="AU47" s="391">
        <f t="shared" si="83"/>
        <v>0</v>
      </c>
      <c r="AV47" s="392">
        <v>0</v>
      </c>
      <c r="AW47" s="391">
        <f t="shared" si="84"/>
        <v>0</v>
      </c>
      <c r="AX47" s="391">
        <v>0</v>
      </c>
      <c r="AY47" s="391">
        <f t="shared" si="85"/>
        <v>0</v>
      </c>
      <c r="AZ47" s="392">
        <v>0</v>
      </c>
      <c r="BA47" s="391">
        <f t="shared" si="86"/>
        <v>0</v>
      </c>
      <c r="BB47" s="392">
        <v>0</v>
      </c>
      <c r="BC47" s="391">
        <f t="shared" si="87"/>
        <v>0</v>
      </c>
      <c r="BD47" s="392">
        <v>0</v>
      </c>
      <c r="BE47" s="391">
        <f t="shared" si="88"/>
        <v>0</v>
      </c>
      <c r="BF47" s="392">
        <v>0</v>
      </c>
      <c r="BG47" s="391">
        <f t="shared" si="89"/>
        <v>0</v>
      </c>
      <c r="BH47" s="392"/>
      <c r="BI47" s="391">
        <f t="shared" si="90"/>
        <v>0</v>
      </c>
      <c r="BJ47" s="392">
        <f t="shared" si="91"/>
        <v>0</v>
      </c>
      <c r="BK47" s="392">
        <f t="shared" si="91"/>
        <v>0</v>
      </c>
      <c r="BL47" s="326" t="s">
        <v>276</v>
      </c>
      <c r="BM47" s="400"/>
      <c r="BN47" s="396">
        <f>G47</f>
        <v>0</v>
      </c>
      <c r="BO47" s="251"/>
      <c r="BP47" s="251"/>
      <c r="BQ47" s="251"/>
      <c r="BR47" s="251">
        <f>BN47+BO47+BP47+BQ47</f>
        <v>0</v>
      </c>
      <c r="BS47" s="251"/>
      <c r="BT47" s="251"/>
      <c r="BU47" s="251"/>
      <c r="BV47" s="393">
        <f>BR47+BU47</f>
        <v>0</v>
      </c>
    </row>
    <row r="48" spans="1:74" x14ac:dyDescent="0.25">
      <c r="A48" s="394"/>
      <c r="B48" s="377"/>
      <c r="C48" s="408" t="s">
        <v>575</v>
      </c>
      <c r="D48" s="408" t="s">
        <v>577</v>
      </c>
      <c r="E48" s="409">
        <v>0</v>
      </c>
      <c r="F48" s="395">
        <f t="shared" si="92"/>
        <v>21</v>
      </c>
      <c r="G48" s="395">
        <f t="shared" ref="G48:G53" si="93">BK48</f>
        <v>0</v>
      </c>
      <c r="H48" s="396"/>
      <c r="I48" s="396"/>
      <c r="J48" s="396"/>
      <c r="K48" s="396"/>
      <c r="L48" s="396"/>
      <c r="M48" s="397">
        <f t="shared" ref="M48:M53" si="94">G48</f>
        <v>0</v>
      </c>
      <c r="N48" s="396"/>
      <c r="O48" s="396"/>
      <c r="P48" s="396"/>
      <c r="Q48" s="396"/>
      <c r="R48" s="392">
        <f t="shared" ref="R48:R53" si="95">F48*0.35</f>
        <v>7.35</v>
      </c>
      <c r="S48" s="392">
        <f t="shared" ref="S48:S53" si="96">F48*0.1</f>
        <v>2.1</v>
      </c>
      <c r="T48" s="392">
        <f t="shared" ref="T48:T53" si="97">F48:F48*0.15</f>
        <v>3.15</v>
      </c>
      <c r="U48" s="392">
        <f t="shared" ref="U48:U53" si="98">F48*0.4</f>
        <v>8.4</v>
      </c>
      <c r="V48" s="391">
        <f>G48*0.25</f>
        <v>0</v>
      </c>
      <c r="W48" s="391">
        <f>G48*0.25</f>
        <v>0</v>
      </c>
      <c r="X48" s="391">
        <f>G48*0.25</f>
        <v>0</v>
      </c>
      <c r="Y48" s="391">
        <f>G48*0.25</f>
        <v>0</v>
      </c>
      <c r="Z48" s="392">
        <v>1</v>
      </c>
      <c r="AA48" s="391">
        <v>0</v>
      </c>
      <c r="AB48" s="395">
        <v>5</v>
      </c>
      <c r="AC48" s="391">
        <f t="shared" si="74"/>
        <v>0</v>
      </c>
      <c r="AD48" s="392">
        <v>0</v>
      </c>
      <c r="AE48" s="391">
        <f t="shared" si="75"/>
        <v>0</v>
      </c>
      <c r="AF48" s="392">
        <v>0</v>
      </c>
      <c r="AG48" s="391">
        <f t="shared" si="76"/>
        <v>0</v>
      </c>
      <c r="AH48" s="392"/>
      <c r="AI48" s="391">
        <f t="shared" si="77"/>
        <v>0</v>
      </c>
      <c r="AJ48" s="392">
        <v>10</v>
      </c>
      <c r="AK48" s="391">
        <f t="shared" si="78"/>
        <v>0</v>
      </c>
      <c r="AL48" s="392"/>
      <c r="AM48" s="391"/>
      <c r="AN48" s="392">
        <v>3</v>
      </c>
      <c r="AO48" s="391">
        <f t="shared" si="80"/>
        <v>0</v>
      </c>
      <c r="AP48" s="392">
        <v>0</v>
      </c>
      <c r="AQ48" s="391">
        <f t="shared" si="81"/>
        <v>0</v>
      </c>
      <c r="AR48" s="392"/>
      <c r="AS48" s="391">
        <f t="shared" si="82"/>
        <v>0</v>
      </c>
      <c r="AT48" s="392">
        <v>0</v>
      </c>
      <c r="AU48" s="391">
        <f t="shared" si="83"/>
        <v>0</v>
      </c>
      <c r="AV48" s="392">
        <v>0</v>
      </c>
      <c r="AW48" s="391">
        <f t="shared" si="84"/>
        <v>0</v>
      </c>
      <c r="AX48" s="391">
        <v>0</v>
      </c>
      <c r="AY48" s="391">
        <f t="shared" si="85"/>
        <v>0</v>
      </c>
      <c r="AZ48" s="392">
        <v>0</v>
      </c>
      <c r="BA48" s="391">
        <f t="shared" si="86"/>
        <v>0</v>
      </c>
      <c r="BB48" s="392"/>
      <c r="BC48" s="391">
        <f t="shared" si="87"/>
        <v>0</v>
      </c>
      <c r="BD48" s="392">
        <v>0</v>
      </c>
      <c r="BE48" s="391">
        <f t="shared" si="88"/>
        <v>0</v>
      </c>
      <c r="BF48" s="392">
        <v>2</v>
      </c>
      <c r="BG48" s="391">
        <f t="shared" si="89"/>
        <v>0</v>
      </c>
      <c r="BH48" s="392"/>
      <c r="BI48" s="391">
        <f t="shared" si="90"/>
        <v>0</v>
      </c>
      <c r="BJ48" s="392">
        <f t="shared" ref="BJ48:BJ53" si="99">BH48+BF48+BD48+BB48+AZ48+AX48+AV48+AT48+AR48+AP48+AN48+AL48+AJ48+AH48+AF48+AD48+AB48+Z48</f>
        <v>21</v>
      </c>
      <c r="BK48" s="392">
        <f t="shared" si="91"/>
        <v>0</v>
      </c>
      <c r="BL48" s="326" t="s">
        <v>276</v>
      </c>
      <c r="BM48" s="400"/>
      <c r="BN48" s="396">
        <f t="shared" ref="BN48:BN53" si="100">G48</f>
        <v>0</v>
      </c>
      <c r="BO48" s="251"/>
      <c r="BP48" s="251"/>
      <c r="BQ48" s="251"/>
      <c r="BR48" s="251">
        <f t="shared" ref="BR48:BR53" si="101">BN48+BO48+BP48+BQ48</f>
        <v>0</v>
      </c>
      <c r="BS48" s="251"/>
      <c r="BT48" s="251"/>
      <c r="BU48" s="251"/>
      <c r="BV48" s="393">
        <f t="shared" ref="BV48:BV52" si="102">BR48+BU48</f>
        <v>0</v>
      </c>
    </row>
    <row r="49" spans="1:74" x14ac:dyDescent="0.25">
      <c r="A49" s="394"/>
      <c r="B49" s="377"/>
      <c r="C49" s="408" t="s">
        <v>576</v>
      </c>
      <c r="D49" s="408" t="s">
        <v>577</v>
      </c>
      <c r="E49" s="409">
        <v>400000</v>
      </c>
      <c r="F49" s="395">
        <f t="shared" si="92"/>
        <v>10</v>
      </c>
      <c r="G49" s="395">
        <f t="shared" si="93"/>
        <v>4000000</v>
      </c>
      <c r="H49" s="396"/>
      <c r="I49" s="396"/>
      <c r="J49" s="396"/>
      <c r="K49" s="396"/>
      <c r="L49" s="396"/>
      <c r="M49" s="397">
        <f t="shared" si="94"/>
        <v>4000000</v>
      </c>
      <c r="N49" s="396"/>
      <c r="O49" s="396"/>
      <c r="P49" s="396"/>
      <c r="Q49" s="396"/>
      <c r="R49" s="392">
        <f t="shared" si="95"/>
        <v>3.5</v>
      </c>
      <c r="S49" s="392">
        <f t="shared" si="96"/>
        <v>1</v>
      </c>
      <c r="T49" s="392">
        <f t="shared" si="97"/>
        <v>1.5</v>
      </c>
      <c r="U49" s="392">
        <f t="shared" si="98"/>
        <v>4</v>
      </c>
      <c r="V49" s="391">
        <f t="shared" ref="V49:V53" si="103">R49*E49</f>
        <v>1400000</v>
      </c>
      <c r="W49" s="391">
        <f t="shared" ref="W49:W53" si="104">S49*E49</f>
        <v>400000</v>
      </c>
      <c r="X49" s="391">
        <f t="shared" ref="X49:X53" si="105">T49*E49</f>
        <v>600000</v>
      </c>
      <c r="Y49" s="391">
        <f t="shared" ref="Y49:Y53" si="106">U49*E49</f>
        <v>1600000</v>
      </c>
      <c r="Z49" s="392"/>
      <c r="AA49" s="391">
        <v>0</v>
      </c>
      <c r="AB49" s="395">
        <v>4</v>
      </c>
      <c r="AC49" s="391">
        <f t="shared" si="74"/>
        <v>1600000</v>
      </c>
      <c r="AD49" s="392">
        <v>0</v>
      </c>
      <c r="AE49" s="391">
        <f>AD49*E49</f>
        <v>0</v>
      </c>
      <c r="AF49" s="392">
        <v>5</v>
      </c>
      <c r="AG49" s="391">
        <f t="shared" si="76"/>
        <v>2000000</v>
      </c>
      <c r="AH49" s="392">
        <v>0</v>
      </c>
      <c r="AI49" s="391">
        <f t="shared" si="77"/>
        <v>0</v>
      </c>
      <c r="AJ49" s="392">
        <v>1</v>
      </c>
      <c r="AK49" s="391">
        <f t="shared" si="78"/>
        <v>400000</v>
      </c>
      <c r="AL49" s="392"/>
      <c r="AM49" s="391"/>
      <c r="AN49" s="392"/>
      <c r="AO49" s="391">
        <f t="shared" si="80"/>
        <v>0</v>
      </c>
      <c r="AP49" s="392">
        <v>0</v>
      </c>
      <c r="AQ49" s="391">
        <f t="shared" si="81"/>
        <v>0</v>
      </c>
      <c r="AR49" s="392">
        <v>0</v>
      </c>
      <c r="AS49" s="391">
        <f t="shared" si="82"/>
        <v>0</v>
      </c>
      <c r="AT49" s="392">
        <v>0</v>
      </c>
      <c r="AU49" s="391">
        <f t="shared" si="83"/>
        <v>0</v>
      </c>
      <c r="AV49" s="392">
        <v>0</v>
      </c>
      <c r="AW49" s="391">
        <f t="shared" si="84"/>
        <v>0</v>
      </c>
      <c r="AX49" s="391">
        <v>0</v>
      </c>
      <c r="AY49" s="391">
        <f t="shared" si="85"/>
        <v>0</v>
      </c>
      <c r="AZ49" s="392">
        <v>0</v>
      </c>
      <c r="BA49" s="391">
        <f t="shared" si="86"/>
        <v>0</v>
      </c>
      <c r="BB49" s="392"/>
      <c r="BC49" s="391">
        <f t="shared" si="87"/>
        <v>0</v>
      </c>
      <c r="BD49" s="392">
        <v>0</v>
      </c>
      <c r="BE49" s="391">
        <f t="shared" si="88"/>
        <v>0</v>
      </c>
      <c r="BF49" s="392">
        <v>0</v>
      </c>
      <c r="BG49" s="391">
        <f t="shared" si="89"/>
        <v>0</v>
      </c>
      <c r="BH49" s="392"/>
      <c r="BI49" s="391">
        <f t="shared" si="90"/>
        <v>0</v>
      </c>
      <c r="BJ49" s="392">
        <f t="shared" si="99"/>
        <v>10</v>
      </c>
      <c r="BK49" s="392">
        <f t="shared" si="91"/>
        <v>4000000</v>
      </c>
      <c r="BL49" s="326" t="s">
        <v>276</v>
      </c>
      <c r="BM49" s="400"/>
      <c r="BN49" s="396">
        <f t="shared" si="100"/>
        <v>4000000</v>
      </c>
      <c r="BO49" s="251"/>
      <c r="BP49" s="251"/>
      <c r="BQ49" s="251"/>
      <c r="BR49" s="251">
        <f t="shared" si="101"/>
        <v>4000000</v>
      </c>
      <c r="BS49" s="251"/>
      <c r="BT49" s="251"/>
      <c r="BU49" s="251"/>
      <c r="BV49" s="393">
        <f t="shared" si="102"/>
        <v>4000000</v>
      </c>
    </row>
    <row r="50" spans="1:74" x14ac:dyDescent="0.25">
      <c r="A50" s="394"/>
      <c r="B50" s="377"/>
      <c r="C50" s="408" t="s">
        <v>579</v>
      </c>
      <c r="D50" s="408"/>
      <c r="E50" s="409">
        <v>10700</v>
      </c>
      <c r="F50" s="395">
        <f t="shared" si="92"/>
        <v>150</v>
      </c>
      <c r="G50" s="395">
        <f t="shared" si="93"/>
        <v>1605000</v>
      </c>
      <c r="H50" s="396"/>
      <c r="I50" s="396"/>
      <c r="J50" s="396"/>
      <c r="K50" s="396"/>
      <c r="L50" s="396"/>
      <c r="M50" s="397">
        <f t="shared" si="94"/>
        <v>1605000</v>
      </c>
      <c r="N50" s="396"/>
      <c r="O50" s="396"/>
      <c r="P50" s="396"/>
      <c r="Q50" s="396"/>
      <c r="R50" s="392">
        <f t="shared" si="95"/>
        <v>52.5</v>
      </c>
      <c r="S50" s="392">
        <f t="shared" si="96"/>
        <v>15</v>
      </c>
      <c r="T50" s="392">
        <f t="shared" si="97"/>
        <v>22.5</v>
      </c>
      <c r="U50" s="392">
        <f t="shared" si="98"/>
        <v>60</v>
      </c>
      <c r="V50" s="391">
        <f t="shared" si="103"/>
        <v>561750</v>
      </c>
      <c r="W50" s="391">
        <f t="shared" si="104"/>
        <v>160500</v>
      </c>
      <c r="X50" s="391">
        <f t="shared" si="105"/>
        <v>240750</v>
      </c>
      <c r="Y50" s="391">
        <f t="shared" si="106"/>
        <v>642000</v>
      </c>
      <c r="Z50" s="392">
        <v>0</v>
      </c>
      <c r="AA50" s="391">
        <f>Z50*E50</f>
        <v>0</v>
      </c>
      <c r="AB50" s="395">
        <v>10</v>
      </c>
      <c r="AC50" s="391">
        <f t="shared" si="74"/>
        <v>107000</v>
      </c>
      <c r="AD50" s="392">
        <v>0</v>
      </c>
      <c r="AE50" s="391">
        <f t="shared" si="75"/>
        <v>0</v>
      </c>
      <c r="AF50" s="392">
        <v>0</v>
      </c>
      <c r="AG50" s="391">
        <f t="shared" si="76"/>
        <v>0</v>
      </c>
      <c r="AH50" s="392"/>
      <c r="AI50" s="391">
        <f t="shared" si="77"/>
        <v>0</v>
      </c>
      <c r="AJ50" s="392">
        <v>0</v>
      </c>
      <c r="AK50" s="391">
        <f t="shared" si="78"/>
        <v>0</v>
      </c>
      <c r="AL50" s="392"/>
      <c r="AM50" s="391"/>
      <c r="AN50" s="392"/>
      <c r="AO50" s="391">
        <f t="shared" si="80"/>
        <v>0</v>
      </c>
      <c r="AP50" s="392">
        <v>0</v>
      </c>
      <c r="AQ50" s="391"/>
      <c r="AR50" s="392">
        <v>100</v>
      </c>
      <c r="AS50" s="391">
        <f t="shared" si="82"/>
        <v>1070000</v>
      </c>
      <c r="AT50" s="392"/>
      <c r="AU50" s="391"/>
      <c r="AV50" s="392">
        <v>0</v>
      </c>
      <c r="AW50" s="391">
        <f t="shared" si="84"/>
        <v>0</v>
      </c>
      <c r="AX50" s="391">
        <v>0</v>
      </c>
      <c r="AY50" s="391">
        <f t="shared" si="85"/>
        <v>0</v>
      </c>
      <c r="AZ50" s="392">
        <v>20</v>
      </c>
      <c r="BA50" s="391">
        <f t="shared" si="86"/>
        <v>214000</v>
      </c>
      <c r="BB50" s="392">
        <v>20</v>
      </c>
      <c r="BC50" s="391">
        <f t="shared" si="87"/>
        <v>214000</v>
      </c>
      <c r="BD50" s="392"/>
      <c r="BE50" s="391">
        <f t="shared" si="88"/>
        <v>0</v>
      </c>
      <c r="BF50" s="392">
        <v>0</v>
      </c>
      <c r="BG50" s="391">
        <f t="shared" si="89"/>
        <v>0</v>
      </c>
      <c r="BH50" s="392"/>
      <c r="BI50" s="391">
        <f t="shared" si="90"/>
        <v>0</v>
      </c>
      <c r="BJ50" s="392">
        <f t="shared" si="99"/>
        <v>150</v>
      </c>
      <c r="BK50" s="392">
        <f t="shared" si="91"/>
        <v>1605000</v>
      </c>
      <c r="BL50" s="326" t="s">
        <v>276</v>
      </c>
      <c r="BM50" s="400"/>
      <c r="BN50" s="396">
        <f t="shared" si="100"/>
        <v>1605000</v>
      </c>
      <c r="BO50" s="251"/>
      <c r="BP50" s="251"/>
      <c r="BQ50" s="251"/>
      <c r="BR50" s="251">
        <f t="shared" si="101"/>
        <v>1605000</v>
      </c>
      <c r="BS50" s="251"/>
      <c r="BT50" s="251"/>
      <c r="BU50" s="251"/>
      <c r="BV50" s="393">
        <f t="shared" si="102"/>
        <v>1605000</v>
      </c>
    </row>
    <row r="51" spans="1:74" x14ac:dyDescent="0.25">
      <c r="A51" s="394"/>
      <c r="B51" s="377"/>
      <c r="C51" s="408" t="s">
        <v>580</v>
      </c>
      <c r="D51" s="408" t="s">
        <v>239</v>
      </c>
      <c r="E51" s="409">
        <v>443</v>
      </c>
      <c r="F51" s="395">
        <f t="shared" si="92"/>
        <v>2100</v>
      </c>
      <c r="G51" s="395">
        <f t="shared" si="93"/>
        <v>1974600</v>
      </c>
      <c r="H51" s="396"/>
      <c r="I51" s="396"/>
      <c r="J51" s="396"/>
      <c r="K51" s="396"/>
      <c r="L51" s="396"/>
      <c r="M51" s="397">
        <f t="shared" si="94"/>
        <v>1974600</v>
      </c>
      <c r="N51" s="396"/>
      <c r="O51" s="396"/>
      <c r="P51" s="396"/>
      <c r="Q51" s="396"/>
      <c r="R51" s="392">
        <f t="shared" si="95"/>
        <v>735</v>
      </c>
      <c r="S51" s="392">
        <f t="shared" si="96"/>
        <v>210</v>
      </c>
      <c r="T51" s="392">
        <f t="shared" si="97"/>
        <v>315</v>
      </c>
      <c r="U51" s="392">
        <f t="shared" si="98"/>
        <v>840</v>
      </c>
      <c r="V51" s="391">
        <f>G51*0.25</f>
        <v>493650</v>
      </c>
      <c r="W51" s="391">
        <f>G51*0.25</f>
        <v>493650</v>
      </c>
      <c r="X51" s="391">
        <f>G51*0.25</f>
        <v>493650</v>
      </c>
      <c r="Y51" s="391">
        <f>G51*0.25</f>
        <v>493650</v>
      </c>
      <c r="Z51" s="392"/>
      <c r="AA51" s="391">
        <f>Z51*E51</f>
        <v>0</v>
      </c>
      <c r="AB51" s="395">
        <v>200</v>
      </c>
      <c r="AC51" s="391">
        <f t="shared" si="74"/>
        <v>88600</v>
      </c>
      <c r="AD51" s="392">
        <v>0</v>
      </c>
      <c r="AE51" s="391">
        <f t="shared" si="75"/>
        <v>0</v>
      </c>
      <c r="AF51" s="392">
        <v>500</v>
      </c>
      <c r="AG51" s="391">
        <f t="shared" si="76"/>
        <v>221500</v>
      </c>
      <c r="AH51" s="392"/>
      <c r="AI51" s="391">
        <f t="shared" si="77"/>
        <v>0</v>
      </c>
      <c r="AJ51" s="392">
        <v>0</v>
      </c>
      <c r="AK51" s="391">
        <f t="shared" si="78"/>
        <v>0</v>
      </c>
      <c r="AL51" s="392">
        <v>200</v>
      </c>
      <c r="AM51" s="391">
        <v>221500</v>
      </c>
      <c r="AN51" s="392">
        <v>200</v>
      </c>
      <c r="AO51" s="391">
        <v>1000000</v>
      </c>
      <c r="AP51" s="392"/>
      <c r="AQ51" s="391"/>
      <c r="AR51" s="392">
        <v>1000</v>
      </c>
      <c r="AS51" s="391">
        <f t="shared" si="82"/>
        <v>443000</v>
      </c>
      <c r="AT51" s="392"/>
      <c r="AU51" s="391"/>
      <c r="AV51" s="392">
        <v>0</v>
      </c>
      <c r="AW51" s="391">
        <f t="shared" si="84"/>
        <v>0</v>
      </c>
      <c r="AX51" s="391">
        <v>0</v>
      </c>
      <c r="AY51" s="391">
        <f t="shared" si="85"/>
        <v>0</v>
      </c>
      <c r="AZ51" s="392">
        <v>0</v>
      </c>
      <c r="BA51" s="391">
        <f t="shared" si="86"/>
        <v>0</v>
      </c>
      <c r="BB51" s="392"/>
      <c r="BC51" s="391">
        <f t="shared" si="87"/>
        <v>0</v>
      </c>
      <c r="BD51" s="392">
        <v>0</v>
      </c>
      <c r="BE51" s="391">
        <f t="shared" si="88"/>
        <v>0</v>
      </c>
      <c r="BF51" s="392">
        <v>0</v>
      </c>
      <c r="BG51" s="391">
        <f t="shared" si="89"/>
        <v>0</v>
      </c>
      <c r="BH51" s="392"/>
      <c r="BI51" s="391">
        <f t="shared" si="90"/>
        <v>0</v>
      </c>
      <c r="BJ51" s="392">
        <f t="shared" si="99"/>
        <v>2100</v>
      </c>
      <c r="BK51" s="392">
        <f t="shared" si="91"/>
        <v>1974600</v>
      </c>
      <c r="BL51" s="326" t="s">
        <v>276</v>
      </c>
      <c r="BM51" s="400"/>
      <c r="BN51" s="396">
        <f t="shared" si="100"/>
        <v>1974600</v>
      </c>
      <c r="BO51" s="251"/>
      <c r="BP51" s="251"/>
      <c r="BQ51" s="251"/>
      <c r="BR51" s="251">
        <f t="shared" si="101"/>
        <v>1974600</v>
      </c>
      <c r="BS51" s="251"/>
      <c r="BT51" s="251"/>
      <c r="BU51" s="251"/>
      <c r="BV51" s="393">
        <f t="shared" si="102"/>
        <v>1974600</v>
      </c>
    </row>
    <row r="52" spans="1:74" x14ac:dyDescent="0.25">
      <c r="A52" s="394"/>
      <c r="B52" s="377"/>
      <c r="C52" s="408" t="s">
        <v>581</v>
      </c>
      <c r="D52" s="408" t="s">
        <v>239</v>
      </c>
      <c r="E52" s="409">
        <v>354</v>
      </c>
      <c r="F52" s="395">
        <f t="shared" si="92"/>
        <v>600</v>
      </c>
      <c r="G52" s="395">
        <f t="shared" si="93"/>
        <v>354000</v>
      </c>
      <c r="H52" s="396"/>
      <c r="I52" s="396"/>
      <c r="J52" s="396"/>
      <c r="K52" s="396"/>
      <c r="L52" s="396"/>
      <c r="M52" s="397">
        <f t="shared" si="94"/>
        <v>354000</v>
      </c>
      <c r="N52" s="396"/>
      <c r="O52" s="396"/>
      <c r="P52" s="396"/>
      <c r="Q52" s="396"/>
      <c r="R52" s="392">
        <f t="shared" si="95"/>
        <v>210</v>
      </c>
      <c r="S52" s="392">
        <f t="shared" si="96"/>
        <v>60</v>
      </c>
      <c r="T52" s="392">
        <f t="shared" si="97"/>
        <v>90</v>
      </c>
      <c r="U52" s="392">
        <f t="shared" si="98"/>
        <v>240</v>
      </c>
      <c r="V52" s="391">
        <f>G52*0.25</f>
        <v>88500</v>
      </c>
      <c r="W52" s="391">
        <f>G52*0.25</f>
        <v>88500</v>
      </c>
      <c r="X52" s="391">
        <f>G52*0.25</f>
        <v>88500</v>
      </c>
      <c r="Y52" s="391">
        <f>G52*0.25</f>
        <v>88500</v>
      </c>
      <c r="Z52" s="392"/>
      <c r="AA52" s="391">
        <f>Z52*E52</f>
        <v>0</v>
      </c>
      <c r="AB52" s="395">
        <v>0</v>
      </c>
      <c r="AC52" s="391">
        <f t="shared" si="74"/>
        <v>0</v>
      </c>
      <c r="AD52" s="392">
        <v>0</v>
      </c>
      <c r="AE52" s="391">
        <f t="shared" si="75"/>
        <v>0</v>
      </c>
      <c r="AF52" s="392">
        <v>0</v>
      </c>
      <c r="AG52" s="391">
        <f t="shared" si="76"/>
        <v>0</v>
      </c>
      <c r="AH52" s="392"/>
      <c r="AI52" s="391">
        <f t="shared" si="77"/>
        <v>0</v>
      </c>
      <c r="AJ52" s="392">
        <v>0</v>
      </c>
      <c r="AK52" s="391">
        <f t="shared" si="78"/>
        <v>0</v>
      </c>
      <c r="AL52" s="359">
        <v>100</v>
      </c>
      <c r="AM52" s="410">
        <v>177000</v>
      </c>
      <c r="AN52" s="392"/>
      <c r="AO52" s="391">
        <f t="shared" si="80"/>
        <v>0</v>
      </c>
      <c r="AP52" s="392"/>
      <c r="AQ52" s="391"/>
      <c r="AR52" s="392">
        <v>500</v>
      </c>
      <c r="AS52" s="391">
        <f t="shared" si="82"/>
        <v>177000</v>
      </c>
      <c r="AT52" s="392"/>
      <c r="AU52" s="391"/>
      <c r="AV52" s="392">
        <v>0</v>
      </c>
      <c r="AW52" s="391">
        <f t="shared" si="84"/>
        <v>0</v>
      </c>
      <c r="AX52" s="391">
        <v>0</v>
      </c>
      <c r="AY52" s="391">
        <f t="shared" si="85"/>
        <v>0</v>
      </c>
      <c r="AZ52" s="392">
        <v>0</v>
      </c>
      <c r="BA52" s="391">
        <f t="shared" si="86"/>
        <v>0</v>
      </c>
      <c r="BB52" s="392"/>
      <c r="BC52" s="391">
        <f t="shared" si="87"/>
        <v>0</v>
      </c>
      <c r="BD52" s="392">
        <v>0</v>
      </c>
      <c r="BE52" s="391">
        <f t="shared" si="88"/>
        <v>0</v>
      </c>
      <c r="BF52" s="392">
        <v>0</v>
      </c>
      <c r="BG52" s="391">
        <f t="shared" si="89"/>
        <v>0</v>
      </c>
      <c r="BH52" s="392"/>
      <c r="BI52" s="391">
        <f t="shared" si="90"/>
        <v>0</v>
      </c>
      <c r="BJ52" s="392">
        <f t="shared" si="99"/>
        <v>600</v>
      </c>
      <c r="BK52" s="392">
        <f t="shared" si="91"/>
        <v>354000</v>
      </c>
      <c r="BL52" s="326" t="s">
        <v>276</v>
      </c>
      <c r="BM52" s="400"/>
      <c r="BN52" s="396">
        <f t="shared" si="100"/>
        <v>354000</v>
      </c>
      <c r="BO52" s="251"/>
      <c r="BP52" s="251"/>
      <c r="BQ52" s="251"/>
      <c r="BR52" s="251">
        <f t="shared" si="101"/>
        <v>354000</v>
      </c>
      <c r="BS52" s="251"/>
      <c r="BT52" s="251"/>
      <c r="BU52" s="251"/>
      <c r="BV52" s="393">
        <f t="shared" si="102"/>
        <v>354000</v>
      </c>
    </row>
    <row r="53" spans="1:74" x14ac:dyDescent="0.25">
      <c r="A53" s="394"/>
      <c r="B53" s="377"/>
      <c r="C53" s="408" t="s">
        <v>583</v>
      </c>
      <c r="D53" s="408" t="s">
        <v>577</v>
      </c>
      <c r="E53" s="409">
        <v>300000</v>
      </c>
      <c r="F53" s="395">
        <f t="shared" si="92"/>
        <v>13</v>
      </c>
      <c r="G53" s="395">
        <f t="shared" si="93"/>
        <v>3900000</v>
      </c>
      <c r="H53" s="396"/>
      <c r="I53" s="396"/>
      <c r="J53" s="396"/>
      <c r="K53" s="396"/>
      <c r="L53" s="396"/>
      <c r="M53" s="397">
        <f t="shared" si="94"/>
        <v>3900000</v>
      </c>
      <c r="N53" s="396"/>
      <c r="O53" s="396"/>
      <c r="P53" s="396"/>
      <c r="Q53" s="396"/>
      <c r="R53" s="392">
        <f t="shared" si="95"/>
        <v>4.55</v>
      </c>
      <c r="S53" s="392">
        <f t="shared" si="96"/>
        <v>1.3</v>
      </c>
      <c r="T53" s="392">
        <f t="shared" si="97"/>
        <v>1.95</v>
      </c>
      <c r="U53" s="392">
        <f t="shared" si="98"/>
        <v>5.2</v>
      </c>
      <c r="V53" s="391">
        <f t="shared" si="103"/>
        <v>1365000</v>
      </c>
      <c r="W53" s="391">
        <f t="shared" si="104"/>
        <v>390000</v>
      </c>
      <c r="X53" s="391">
        <f t="shared" si="105"/>
        <v>585000</v>
      </c>
      <c r="Y53" s="391">
        <f t="shared" si="106"/>
        <v>1560000</v>
      </c>
      <c r="Z53" s="392">
        <v>2</v>
      </c>
      <c r="AA53" s="391">
        <f>Z53*E53</f>
        <v>600000</v>
      </c>
      <c r="AB53" s="395">
        <v>2</v>
      </c>
      <c r="AC53" s="391">
        <f t="shared" si="74"/>
        <v>600000</v>
      </c>
      <c r="AD53" s="392">
        <v>0</v>
      </c>
      <c r="AE53" s="391">
        <f t="shared" si="75"/>
        <v>0</v>
      </c>
      <c r="AF53" s="392">
        <v>2</v>
      </c>
      <c r="AG53" s="391">
        <f t="shared" si="76"/>
        <v>600000</v>
      </c>
      <c r="AH53" s="392">
        <v>2</v>
      </c>
      <c r="AI53" s="391">
        <f t="shared" si="77"/>
        <v>600000</v>
      </c>
      <c r="AJ53" s="392">
        <v>0</v>
      </c>
      <c r="AK53" s="391">
        <f t="shared" si="78"/>
        <v>0</v>
      </c>
      <c r="AL53" s="392"/>
      <c r="AM53" s="391"/>
      <c r="AN53" s="392">
        <v>2</v>
      </c>
      <c r="AO53" s="391">
        <f t="shared" si="80"/>
        <v>600000</v>
      </c>
      <c r="AP53" s="392"/>
      <c r="AQ53" s="391"/>
      <c r="AR53" s="392">
        <v>1</v>
      </c>
      <c r="AS53" s="391">
        <f t="shared" si="82"/>
        <v>300000</v>
      </c>
      <c r="AT53" s="392">
        <v>2</v>
      </c>
      <c r="AU53" s="391">
        <f>AT53*E53</f>
        <v>600000</v>
      </c>
      <c r="AV53" s="392">
        <v>0</v>
      </c>
      <c r="AW53" s="391">
        <f t="shared" si="84"/>
        <v>0</v>
      </c>
      <c r="AX53" s="391">
        <v>0</v>
      </c>
      <c r="AY53" s="391">
        <f t="shared" si="85"/>
        <v>0</v>
      </c>
      <c r="AZ53" s="392">
        <v>0</v>
      </c>
      <c r="BA53" s="391">
        <f t="shared" si="86"/>
        <v>0</v>
      </c>
      <c r="BB53" s="392">
        <v>0</v>
      </c>
      <c r="BC53" s="391">
        <f t="shared" si="87"/>
        <v>0</v>
      </c>
      <c r="BD53" s="391">
        <v>0</v>
      </c>
      <c r="BE53" s="391">
        <f t="shared" si="88"/>
        <v>0</v>
      </c>
      <c r="BF53" s="392">
        <v>0</v>
      </c>
      <c r="BG53" s="391">
        <f>BF53*E53</f>
        <v>0</v>
      </c>
      <c r="BH53" s="392"/>
      <c r="BI53" s="391">
        <f t="shared" si="90"/>
        <v>0</v>
      </c>
      <c r="BJ53" s="392">
        <f t="shared" si="99"/>
        <v>13</v>
      </c>
      <c r="BK53" s="392">
        <f t="shared" si="91"/>
        <v>3900000</v>
      </c>
      <c r="BL53" s="326" t="s">
        <v>276</v>
      </c>
      <c r="BM53" s="400"/>
      <c r="BN53" s="396">
        <f t="shared" si="100"/>
        <v>3900000</v>
      </c>
      <c r="BO53" s="251"/>
      <c r="BP53" s="251"/>
      <c r="BQ53" s="251"/>
      <c r="BR53" s="251">
        <f t="shared" si="101"/>
        <v>3900000</v>
      </c>
      <c r="BS53" s="251"/>
      <c r="BT53" s="251"/>
      <c r="BU53" s="251"/>
      <c r="BV53" s="393">
        <f>BR53+BU53</f>
        <v>3900000</v>
      </c>
    </row>
    <row r="54" spans="1:74" x14ac:dyDescent="0.25">
      <c r="A54" s="394"/>
      <c r="B54" s="375"/>
      <c r="C54" s="412" t="s">
        <v>3</v>
      </c>
      <c r="D54" s="382"/>
      <c r="E54" s="413"/>
      <c r="F54" s="380">
        <f>SUM(F43:F53)</f>
        <v>2934</v>
      </c>
      <c r="G54" s="380">
        <f>SUM(G43:G53)</f>
        <v>14973600</v>
      </c>
      <c r="H54" s="380">
        <f t="shared" ref="H54:BK54" si="107">SUM(H43:H53)</f>
        <v>0</v>
      </c>
      <c r="I54" s="380">
        <f t="shared" si="107"/>
        <v>0</v>
      </c>
      <c r="J54" s="380">
        <f t="shared" si="107"/>
        <v>0</v>
      </c>
      <c r="K54" s="380">
        <f t="shared" si="107"/>
        <v>0</v>
      </c>
      <c r="L54" s="380">
        <f t="shared" si="107"/>
        <v>0</v>
      </c>
      <c r="M54" s="380">
        <f t="shared" si="107"/>
        <v>14973600</v>
      </c>
      <c r="N54" s="380">
        <f t="shared" si="107"/>
        <v>0</v>
      </c>
      <c r="O54" s="380">
        <f t="shared" si="107"/>
        <v>0</v>
      </c>
      <c r="P54" s="380">
        <f t="shared" si="107"/>
        <v>0</v>
      </c>
      <c r="Q54" s="380">
        <f t="shared" si="107"/>
        <v>0</v>
      </c>
      <c r="R54" s="380">
        <f t="shared" si="107"/>
        <v>1026.9000000000001</v>
      </c>
      <c r="S54" s="380">
        <f t="shared" si="107"/>
        <v>293.40000000000003</v>
      </c>
      <c r="T54" s="380">
        <f t="shared" si="107"/>
        <v>440.09999999999997</v>
      </c>
      <c r="U54" s="380">
        <f t="shared" si="107"/>
        <v>1173.6000000000001</v>
      </c>
      <c r="V54" s="380">
        <f t="shared" si="107"/>
        <v>5007900</v>
      </c>
      <c r="W54" s="380">
        <f t="shared" si="107"/>
        <v>1846650</v>
      </c>
      <c r="X54" s="380">
        <f t="shared" si="107"/>
        <v>2478900</v>
      </c>
      <c r="Y54" s="380">
        <f t="shared" si="107"/>
        <v>5640150</v>
      </c>
      <c r="Z54" s="380">
        <f t="shared" si="107"/>
        <v>8</v>
      </c>
      <c r="AA54" s="380">
        <f t="shared" si="107"/>
        <v>1165000</v>
      </c>
      <c r="AB54" s="380">
        <f t="shared" si="107"/>
        <v>226</v>
      </c>
      <c r="AC54" s="380">
        <f t="shared" si="107"/>
        <v>2615600</v>
      </c>
      <c r="AD54" s="380">
        <f t="shared" si="107"/>
        <v>0</v>
      </c>
      <c r="AE54" s="380">
        <f t="shared" si="107"/>
        <v>0</v>
      </c>
      <c r="AF54" s="380">
        <f t="shared" si="107"/>
        <v>512</v>
      </c>
      <c r="AG54" s="380">
        <f t="shared" si="107"/>
        <v>3386500</v>
      </c>
      <c r="AH54" s="380">
        <f t="shared" si="107"/>
        <v>2</v>
      </c>
      <c r="AI54" s="380">
        <f t="shared" si="107"/>
        <v>600000</v>
      </c>
      <c r="AJ54" s="380">
        <f t="shared" si="107"/>
        <v>16</v>
      </c>
      <c r="AK54" s="380">
        <f t="shared" si="107"/>
        <v>965000</v>
      </c>
      <c r="AL54" s="380">
        <f t="shared" si="107"/>
        <v>300</v>
      </c>
      <c r="AM54" s="380">
        <f t="shared" si="107"/>
        <v>398500</v>
      </c>
      <c r="AN54" s="380">
        <f t="shared" si="107"/>
        <v>205</v>
      </c>
      <c r="AO54" s="380">
        <f t="shared" si="107"/>
        <v>1600000</v>
      </c>
      <c r="AP54" s="380">
        <f t="shared" si="107"/>
        <v>0</v>
      </c>
      <c r="AQ54" s="380">
        <f t="shared" si="107"/>
        <v>0</v>
      </c>
      <c r="AR54" s="380">
        <f t="shared" si="107"/>
        <v>1606</v>
      </c>
      <c r="AS54" s="380">
        <f t="shared" si="107"/>
        <v>2210000</v>
      </c>
      <c r="AT54" s="380">
        <f t="shared" si="107"/>
        <v>2</v>
      </c>
      <c r="AU54" s="380">
        <f t="shared" si="107"/>
        <v>600000</v>
      </c>
      <c r="AV54" s="380">
        <f t="shared" si="107"/>
        <v>10</v>
      </c>
      <c r="AW54" s="380">
        <f t="shared" si="107"/>
        <v>785000</v>
      </c>
      <c r="AX54" s="380">
        <f t="shared" si="107"/>
        <v>5</v>
      </c>
      <c r="AY54" s="380">
        <f t="shared" si="107"/>
        <v>220000</v>
      </c>
      <c r="AZ54" s="380">
        <f t="shared" si="107"/>
        <v>20</v>
      </c>
      <c r="BA54" s="380">
        <f t="shared" si="107"/>
        <v>214000</v>
      </c>
      <c r="BB54" s="380">
        <f t="shared" si="107"/>
        <v>20</v>
      </c>
      <c r="BC54" s="380">
        <f t="shared" si="107"/>
        <v>214000</v>
      </c>
      <c r="BD54" s="380">
        <f t="shared" si="107"/>
        <v>0</v>
      </c>
      <c r="BE54" s="380">
        <f t="shared" si="107"/>
        <v>0</v>
      </c>
      <c r="BF54" s="380">
        <f t="shared" si="107"/>
        <v>2</v>
      </c>
      <c r="BG54" s="380">
        <f t="shared" si="107"/>
        <v>0</v>
      </c>
      <c r="BH54" s="380">
        <f t="shared" si="107"/>
        <v>0</v>
      </c>
      <c r="BI54" s="380">
        <f t="shared" si="107"/>
        <v>0</v>
      </c>
      <c r="BJ54" s="380">
        <f t="shared" si="107"/>
        <v>2934</v>
      </c>
      <c r="BK54" s="380">
        <f t="shared" si="107"/>
        <v>14973600</v>
      </c>
      <c r="BL54" s="380">
        <f t="shared" ref="BL54:BU54" si="108">SUM(BL43:BL47)</f>
        <v>0</v>
      </c>
      <c r="BM54" s="380">
        <f t="shared" si="108"/>
        <v>0</v>
      </c>
      <c r="BN54" s="380">
        <f>SUM(BN43:BN53)</f>
        <v>14973600</v>
      </c>
      <c r="BO54" s="380">
        <f t="shared" si="108"/>
        <v>0</v>
      </c>
      <c r="BP54" s="380">
        <f t="shared" si="108"/>
        <v>0</v>
      </c>
      <c r="BQ54" s="380">
        <f t="shared" si="108"/>
        <v>0</v>
      </c>
      <c r="BR54" s="380">
        <f>SUM(BR43:BR53)</f>
        <v>14973600</v>
      </c>
      <c r="BS54" s="380">
        <f t="shared" si="108"/>
        <v>0</v>
      </c>
      <c r="BT54" s="380">
        <f t="shared" si="108"/>
        <v>0</v>
      </c>
      <c r="BU54" s="380">
        <f t="shared" si="108"/>
        <v>0</v>
      </c>
      <c r="BV54" s="380">
        <f>SUM(BV43:BV53)</f>
        <v>14973600</v>
      </c>
    </row>
    <row r="55" spans="1:74" s="376" customFormat="1" x14ac:dyDescent="0.25">
      <c r="A55" s="394"/>
      <c r="B55" s="377"/>
      <c r="C55" s="382" t="s">
        <v>76</v>
      </c>
      <c r="D55" s="408"/>
      <c r="E55" s="409"/>
      <c r="F55" s="395"/>
      <c r="G55" s="396"/>
      <c r="H55" s="396"/>
      <c r="I55" s="396"/>
      <c r="J55" s="396"/>
      <c r="K55" s="396"/>
      <c r="L55" s="396"/>
      <c r="M55" s="396"/>
      <c r="N55" s="396"/>
      <c r="O55" s="396"/>
      <c r="P55" s="396"/>
      <c r="Q55" s="396"/>
      <c r="R55" s="392"/>
      <c r="S55" s="392"/>
      <c r="T55" s="392"/>
      <c r="U55" s="392"/>
      <c r="V55" s="391"/>
      <c r="W55" s="391"/>
      <c r="X55" s="391"/>
      <c r="Y55" s="391"/>
      <c r="Z55" s="392"/>
      <c r="AA55" s="391">
        <f>Z55*E55</f>
        <v>0</v>
      </c>
      <c r="AB55" s="392"/>
      <c r="AC55" s="391">
        <f t="shared" ref="AC55:AC77" si="109">AB55*E55</f>
        <v>0</v>
      </c>
      <c r="AD55" s="392"/>
      <c r="AE55" s="391">
        <f t="shared" ref="AE55:AE77" si="110">AD55*E55</f>
        <v>0</v>
      </c>
      <c r="AF55" s="392"/>
      <c r="AG55" s="391">
        <f t="shared" ref="AG55:AG77" si="111">AF55*E55</f>
        <v>0</v>
      </c>
      <c r="AH55" s="392"/>
      <c r="AI55" s="391">
        <f t="shared" ref="AI55:AI77" si="112">AH55*E55</f>
        <v>0</v>
      </c>
      <c r="AJ55" s="392"/>
      <c r="AK55" s="391">
        <f>AJ55*E55</f>
        <v>0</v>
      </c>
      <c r="AL55" s="392"/>
      <c r="AM55" s="391">
        <f>AL55*E55</f>
        <v>0</v>
      </c>
      <c r="AN55" s="392"/>
      <c r="AO55" s="391">
        <f t="shared" ref="AO55:AO67" si="113">AN55*E55</f>
        <v>0</v>
      </c>
      <c r="AP55" s="392"/>
      <c r="AQ55" s="391">
        <f t="shared" ref="AQ55:AQ77" si="114">AP55*E55</f>
        <v>0</v>
      </c>
      <c r="AR55" s="392"/>
      <c r="AS55" s="391">
        <f t="shared" ref="AS55:AS77" si="115">AR55*E55</f>
        <v>0</v>
      </c>
      <c r="AT55" s="392"/>
      <c r="AU55" s="391">
        <f t="shared" ref="AU55:AU77" si="116">AT55*E55</f>
        <v>0</v>
      </c>
      <c r="AV55" s="392"/>
      <c r="AW55" s="391">
        <f t="shared" ref="AW55:AW77" si="117">AV55*E55</f>
        <v>0</v>
      </c>
      <c r="AX55" s="391"/>
      <c r="AY55" s="391">
        <f t="shared" ref="AY55:AY77" si="118">AX55*E55</f>
        <v>0</v>
      </c>
      <c r="AZ55" s="392"/>
      <c r="BA55" s="391">
        <f t="shared" ref="BA55:BA77" si="119">AZ55*E55</f>
        <v>0</v>
      </c>
      <c r="BB55" s="392"/>
      <c r="BC55" s="391">
        <f>BB55*E55</f>
        <v>0</v>
      </c>
      <c r="BD55" s="392"/>
      <c r="BE55" s="391">
        <f>BD55*E55</f>
        <v>0</v>
      </c>
      <c r="BF55" s="392"/>
      <c r="BG55" s="391">
        <f t="shared" ref="BG55:BG77" si="120">BF55*E55</f>
        <v>0</v>
      </c>
      <c r="BH55" s="392"/>
      <c r="BI55" s="391">
        <f t="shared" ref="BI55:BI77" si="121">BH55*E55</f>
        <v>0</v>
      </c>
      <c r="BJ55" s="392">
        <f t="shared" ref="BJ55:BJ77" si="122">BH55+BF55+BD55+BB55+AZ55+AX55+AV55+AT55+AR55+AP55+AN55+AL55+AJ55+AH55+AF55+AD55+AB55+Z55</f>
        <v>0</v>
      </c>
      <c r="BK55" s="392">
        <f t="shared" ref="BK55:BK77" si="123">BI55+BG55+BE55+BC55+BA55+AY55+AW55+AU55+AS55+AQ55+AO55+AM55+AK55+AI55+AG55+AE55+AC55+AA55</f>
        <v>0</v>
      </c>
      <c r="BL55" s="367"/>
      <c r="BM55" s="400"/>
      <c r="BN55" s="396">
        <f t="shared" ref="BN55:BN66" si="124">G55</f>
        <v>0</v>
      </c>
      <c r="BO55" s="252"/>
      <c r="BP55" s="252"/>
      <c r="BQ55" s="252"/>
      <c r="BR55" s="251">
        <f t="shared" ref="BR55:BR71" si="125">BN55+BO55+BP55+BQ55</f>
        <v>0</v>
      </c>
      <c r="BS55" s="252"/>
      <c r="BT55" s="252"/>
      <c r="BU55" s="251">
        <f>BS55+BT55</f>
        <v>0</v>
      </c>
      <c r="BV55" s="393">
        <f t="shared" ref="BV55:BV70" si="126">BR55+BU55</f>
        <v>0</v>
      </c>
    </row>
    <row r="56" spans="1:74" s="376" customFormat="1" x14ac:dyDescent="0.25">
      <c r="A56" s="394"/>
      <c r="B56" s="377"/>
      <c r="C56" s="408" t="s">
        <v>272</v>
      </c>
      <c r="D56" s="408" t="s">
        <v>238</v>
      </c>
      <c r="E56" s="409">
        <v>0</v>
      </c>
      <c r="F56" s="395">
        <f t="shared" ref="F56:G66" si="127">BJ56</f>
        <v>10</v>
      </c>
      <c r="G56" s="396">
        <f t="shared" ref="G56:G70" si="128">F56*E56</f>
        <v>0</v>
      </c>
      <c r="H56" s="396"/>
      <c r="I56" s="396"/>
      <c r="J56" s="397"/>
      <c r="K56" s="397"/>
      <c r="L56" s="397"/>
      <c r="M56" s="397">
        <f>G56</f>
        <v>0</v>
      </c>
      <c r="N56" s="396"/>
      <c r="O56" s="396"/>
      <c r="P56" s="396"/>
      <c r="Q56" s="396"/>
      <c r="R56" s="392">
        <f>F56*0.35</f>
        <v>3.5</v>
      </c>
      <c r="S56" s="392">
        <f t="shared" ref="S56:S66" si="129">F56*0.1</f>
        <v>1</v>
      </c>
      <c r="T56" s="392">
        <f t="shared" ref="T56:T66" si="130">F56:F56*0.15</f>
        <v>1.5</v>
      </c>
      <c r="U56" s="392">
        <f t="shared" ref="U56:U66" si="131">F56*0.4</f>
        <v>4</v>
      </c>
      <c r="V56" s="391">
        <f t="shared" ref="V56:V63" si="132">R56*E56</f>
        <v>0</v>
      </c>
      <c r="W56" s="391">
        <f t="shared" ref="W56:W66" si="133">S56*E56</f>
        <v>0</v>
      </c>
      <c r="X56" s="391">
        <f t="shared" ref="X56:X66" si="134">T56*E56</f>
        <v>0</v>
      </c>
      <c r="Y56" s="391">
        <f t="shared" ref="Y56:Y66" si="135">U56*E56</f>
        <v>0</v>
      </c>
      <c r="Z56" s="392">
        <v>0</v>
      </c>
      <c r="AA56" s="391">
        <f>Z56*E56</f>
        <v>0</v>
      </c>
      <c r="AB56" s="392">
        <v>0</v>
      </c>
      <c r="AC56" s="391">
        <f t="shared" si="109"/>
        <v>0</v>
      </c>
      <c r="AD56" s="392">
        <v>0</v>
      </c>
      <c r="AE56" s="391">
        <f t="shared" si="110"/>
        <v>0</v>
      </c>
      <c r="AF56" s="392">
        <v>0</v>
      </c>
      <c r="AG56" s="391">
        <f t="shared" si="111"/>
        <v>0</v>
      </c>
      <c r="AH56" s="392">
        <v>0</v>
      </c>
      <c r="AI56" s="391">
        <f t="shared" si="112"/>
        <v>0</v>
      </c>
      <c r="AJ56" s="392">
        <v>0</v>
      </c>
      <c r="AK56" s="391">
        <f>AJ56*E56</f>
        <v>0</v>
      </c>
      <c r="AL56" s="392">
        <v>0</v>
      </c>
      <c r="AM56" s="391">
        <f>AL56*E56</f>
        <v>0</v>
      </c>
      <c r="AN56" s="392">
        <v>0</v>
      </c>
      <c r="AO56" s="391">
        <f t="shared" si="113"/>
        <v>0</v>
      </c>
      <c r="AP56" s="392">
        <v>0</v>
      </c>
      <c r="AQ56" s="391">
        <f t="shared" si="114"/>
        <v>0</v>
      </c>
      <c r="AR56" s="392">
        <v>0</v>
      </c>
      <c r="AS56" s="391">
        <f t="shared" si="115"/>
        <v>0</v>
      </c>
      <c r="AT56" s="392">
        <v>0</v>
      </c>
      <c r="AU56" s="391">
        <f t="shared" si="116"/>
        <v>0</v>
      </c>
      <c r="AV56" s="392">
        <v>0</v>
      </c>
      <c r="AW56" s="391">
        <f t="shared" si="117"/>
        <v>0</v>
      </c>
      <c r="AX56" s="391">
        <v>5</v>
      </c>
      <c r="AY56" s="391">
        <f t="shared" si="118"/>
        <v>0</v>
      </c>
      <c r="AZ56" s="392">
        <v>5</v>
      </c>
      <c r="BA56" s="391">
        <f t="shared" si="119"/>
        <v>0</v>
      </c>
      <c r="BB56" s="392">
        <v>0</v>
      </c>
      <c r="BC56" s="391">
        <f>BB56*E56</f>
        <v>0</v>
      </c>
      <c r="BD56" s="392">
        <v>0</v>
      </c>
      <c r="BE56" s="391">
        <f>BD56*E56</f>
        <v>0</v>
      </c>
      <c r="BF56" s="392">
        <v>0</v>
      </c>
      <c r="BG56" s="391">
        <f t="shared" si="120"/>
        <v>0</v>
      </c>
      <c r="BH56" s="392"/>
      <c r="BI56" s="391">
        <f t="shared" si="121"/>
        <v>0</v>
      </c>
      <c r="BJ56" s="392">
        <f t="shared" si="122"/>
        <v>10</v>
      </c>
      <c r="BK56" s="392">
        <f t="shared" si="123"/>
        <v>0</v>
      </c>
      <c r="BL56" s="326" t="s">
        <v>276</v>
      </c>
      <c r="BM56" s="400"/>
      <c r="BN56" s="396">
        <f t="shared" si="124"/>
        <v>0</v>
      </c>
      <c r="BO56" s="252"/>
      <c r="BP56" s="252"/>
      <c r="BQ56" s="252"/>
      <c r="BR56" s="251">
        <f t="shared" si="125"/>
        <v>0</v>
      </c>
      <c r="BS56" s="252"/>
      <c r="BT56" s="252"/>
      <c r="BU56" s="251"/>
      <c r="BV56" s="393">
        <f t="shared" si="126"/>
        <v>0</v>
      </c>
    </row>
    <row r="57" spans="1:74" s="376" customFormat="1" x14ac:dyDescent="0.25">
      <c r="A57" s="394"/>
      <c r="B57" s="377"/>
      <c r="C57" s="408" t="s">
        <v>564</v>
      </c>
      <c r="D57" s="408" t="s">
        <v>238</v>
      </c>
      <c r="E57" s="409">
        <v>0</v>
      </c>
      <c r="F57" s="395">
        <f t="shared" si="127"/>
        <v>24</v>
      </c>
      <c r="G57" s="396">
        <f>BK57</f>
        <v>0</v>
      </c>
      <c r="H57" s="396"/>
      <c r="I57" s="396"/>
      <c r="J57" s="397"/>
      <c r="K57" s="397"/>
      <c r="L57" s="397"/>
      <c r="M57" s="397">
        <f>G57</f>
        <v>0</v>
      </c>
      <c r="N57" s="396"/>
      <c r="O57" s="396"/>
      <c r="P57" s="396"/>
      <c r="Q57" s="396"/>
      <c r="R57" s="392"/>
      <c r="S57" s="392">
        <f t="shared" si="129"/>
        <v>2.4000000000000004</v>
      </c>
      <c r="T57" s="392">
        <f t="shared" si="130"/>
        <v>3.5999999999999996</v>
      </c>
      <c r="U57" s="392">
        <f t="shared" si="131"/>
        <v>9.6000000000000014</v>
      </c>
      <c r="V57" s="391">
        <f>G57*0</f>
        <v>0</v>
      </c>
      <c r="W57" s="391">
        <f>G57:G57*0.5</f>
        <v>0</v>
      </c>
      <c r="X57" s="391">
        <f>G57*0.25</f>
        <v>0</v>
      </c>
      <c r="Y57" s="391">
        <f>G57*0.25</f>
        <v>0</v>
      </c>
      <c r="Z57" s="392">
        <v>2</v>
      </c>
      <c r="AA57" s="391">
        <f>Z57*E57</f>
        <v>0</v>
      </c>
      <c r="AB57" s="392">
        <v>2</v>
      </c>
      <c r="AC57" s="391">
        <f t="shared" si="109"/>
        <v>0</v>
      </c>
      <c r="AD57" s="392">
        <v>0</v>
      </c>
      <c r="AE57" s="391">
        <f t="shared" si="110"/>
        <v>0</v>
      </c>
      <c r="AF57" s="392">
        <v>2</v>
      </c>
      <c r="AG57" s="391">
        <f t="shared" si="111"/>
        <v>0</v>
      </c>
      <c r="AH57" s="392">
        <v>2</v>
      </c>
      <c r="AI57" s="391">
        <f>AH57*E57</f>
        <v>0</v>
      </c>
      <c r="AJ57" s="392">
        <v>0</v>
      </c>
      <c r="AK57" s="391"/>
      <c r="AL57" s="392">
        <v>0</v>
      </c>
      <c r="AM57" s="391">
        <f t="shared" ref="AM57:AM58" si="136">AL57*E57</f>
        <v>0</v>
      </c>
      <c r="AN57" s="392">
        <v>3</v>
      </c>
      <c r="AO57" s="391">
        <f>AN57*E57</f>
        <v>0</v>
      </c>
      <c r="AP57" s="392">
        <v>2</v>
      </c>
      <c r="AQ57" s="391">
        <f t="shared" si="114"/>
        <v>0</v>
      </c>
      <c r="AR57" s="392">
        <v>2</v>
      </c>
      <c r="AS57" s="391">
        <f t="shared" si="115"/>
        <v>0</v>
      </c>
      <c r="AT57" s="392">
        <v>2</v>
      </c>
      <c r="AU57" s="391">
        <f t="shared" si="116"/>
        <v>0</v>
      </c>
      <c r="AV57" s="392">
        <v>2</v>
      </c>
      <c r="AW57" s="391">
        <f t="shared" si="117"/>
        <v>0</v>
      </c>
      <c r="AX57" s="391">
        <v>3</v>
      </c>
      <c r="AY57" s="391">
        <f t="shared" si="118"/>
        <v>0</v>
      </c>
      <c r="AZ57" s="392">
        <v>2</v>
      </c>
      <c r="BA57" s="391">
        <f t="shared" si="119"/>
        <v>0</v>
      </c>
      <c r="BB57" s="392">
        <v>0</v>
      </c>
      <c r="BC57" s="391">
        <f>BB57*E57</f>
        <v>0</v>
      </c>
      <c r="BD57" s="392">
        <v>0</v>
      </c>
      <c r="BE57" s="391">
        <f>BD57*E57</f>
        <v>0</v>
      </c>
      <c r="BF57" s="392">
        <v>0</v>
      </c>
      <c r="BG57" s="391">
        <f t="shared" si="120"/>
        <v>0</v>
      </c>
      <c r="BH57" s="392"/>
      <c r="BI57" s="391">
        <f t="shared" si="121"/>
        <v>0</v>
      </c>
      <c r="BJ57" s="392">
        <f>BH57+BF57+BD57+BB57+AZ57+AX57+AV57+AT57+AR57+AP57+AN57+AL57+AJ57+AH57+AF57+AD57+AB57+Z57</f>
        <v>24</v>
      </c>
      <c r="BK57" s="392">
        <f t="shared" si="123"/>
        <v>0</v>
      </c>
      <c r="BL57" s="326" t="s">
        <v>276</v>
      </c>
      <c r="BM57" s="400"/>
      <c r="BN57" s="396">
        <f t="shared" si="124"/>
        <v>0</v>
      </c>
      <c r="BO57" s="252"/>
      <c r="BP57" s="252"/>
      <c r="BQ57" s="252"/>
      <c r="BR57" s="251">
        <f t="shared" si="125"/>
        <v>0</v>
      </c>
      <c r="BS57" s="252"/>
      <c r="BT57" s="252"/>
      <c r="BU57" s="251"/>
      <c r="BV57" s="393">
        <f t="shared" si="126"/>
        <v>0</v>
      </c>
    </row>
    <row r="58" spans="1:74" s="376" customFormat="1" ht="36" customHeight="1" x14ac:dyDescent="0.25">
      <c r="A58" s="394"/>
      <c r="B58" s="377"/>
      <c r="C58" s="408" t="s">
        <v>892</v>
      </c>
      <c r="D58" s="408" t="s">
        <v>238</v>
      </c>
      <c r="E58" s="409">
        <v>600000</v>
      </c>
      <c r="F58" s="395">
        <f t="shared" si="127"/>
        <v>0</v>
      </c>
      <c r="G58" s="396">
        <f>BK58</f>
        <v>0</v>
      </c>
      <c r="H58" s="396"/>
      <c r="I58" s="396"/>
      <c r="J58" s="397"/>
      <c r="K58" s="397"/>
      <c r="L58" s="397">
        <f>G58</f>
        <v>0</v>
      </c>
      <c r="M58" s="397"/>
      <c r="N58" s="396"/>
      <c r="O58" s="396"/>
      <c r="P58" s="396"/>
      <c r="Q58" s="396"/>
      <c r="R58" s="392">
        <f t="shared" ref="R58:R66" si="137">F58*0.35</f>
        <v>0</v>
      </c>
      <c r="S58" s="392">
        <f t="shared" si="129"/>
        <v>0</v>
      </c>
      <c r="T58" s="392">
        <f t="shared" si="130"/>
        <v>0</v>
      </c>
      <c r="U58" s="392">
        <f t="shared" si="131"/>
        <v>0</v>
      </c>
      <c r="V58" s="391">
        <f>G58*0.25</f>
        <v>0</v>
      </c>
      <c r="W58" s="391">
        <f>G58*0.25</f>
        <v>0</v>
      </c>
      <c r="X58" s="391">
        <f>G58*0.25</f>
        <v>0</v>
      </c>
      <c r="Y58" s="391">
        <f>G58*0.25</f>
        <v>0</v>
      </c>
      <c r="Z58" s="392">
        <v>0</v>
      </c>
      <c r="AA58" s="391">
        <f>Z58*E58</f>
        <v>0</v>
      </c>
      <c r="AB58" s="392">
        <v>0</v>
      </c>
      <c r="AC58" s="391">
        <f t="shared" si="109"/>
        <v>0</v>
      </c>
      <c r="AD58" s="392">
        <v>0</v>
      </c>
      <c r="AE58" s="391">
        <f t="shared" si="110"/>
        <v>0</v>
      </c>
      <c r="AF58" s="392">
        <v>0</v>
      </c>
      <c r="AG58" s="391">
        <f t="shared" si="111"/>
        <v>0</v>
      </c>
      <c r="AH58" s="392">
        <v>0</v>
      </c>
      <c r="AI58" s="391">
        <f t="shared" si="112"/>
        <v>0</v>
      </c>
      <c r="AJ58" s="392">
        <v>0</v>
      </c>
      <c r="AK58" s="391">
        <f t="shared" ref="AK58:AK77" si="138">AJ58*E58</f>
        <v>0</v>
      </c>
      <c r="AL58" s="392">
        <v>0</v>
      </c>
      <c r="AM58" s="391">
        <f t="shared" si="136"/>
        <v>0</v>
      </c>
      <c r="AN58" s="392">
        <v>0</v>
      </c>
      <c r="AO58" s="391">
        <f>AN58*E58</f>
        <v>0</v>
      </c>
      <c r="AP58" s="392">
        <v>0</v>
      </c>
      <c r="AQ58" s="391">
        <f t="shared" si="114"/>
        <v>0</v>
      </c>
      <c r="AR58" s="392">
        <v>0</v>
      </c>
      <c r="AS58" s="391">
        <f t="shared" si="115"/>
        <v>0</v>
      </c>
      <c r="AT58" s="392">
        <v>0</v>
      </c>
      <c r="AU58" s="391">
        <f t="shared" si="116"/>
        <v>0</v>
      </c>
      <c r="AV58" s="392">
        <v>0</v>
      </c>
      <c r="AW58" s="391">
        <f t="shared" si="117"/>
        <v>0</v>
      </c>
      <c r="AX58" s="391">
        <v>0</v>
      </c>
      <c r="AY58" s="391">
        <f t="shared" si="118"/>
        <v>0</v>
      </c>
      <c r="AZ58" s="392">
        <v>0</v>
      </c>
      <c r="BA58" s="391">
        <f t="shared" si="119"/>
        <v>0</v>
      </c>
      <c r="BB58" s="392">
        <v>0</v>
      </c>
      <c r="BC58" s="391">
        <f t="shared" ref="BC58:BC74" si="139">BB58*E58</f>
        <v>0</v>
      </c>
      <c r="BD58" s="392">
        <v>0</v>
      </c>
      <c r="BE58" s="391">
        <f t="shared" ref="BE58:BE67" si="140">BD58*E58</f>
        <v>0</v>
      </c>
      <c r="BF58" s="392">
        <v>0</v>
      </c>
      <c r="BG58" s="391">
        <f t="shared" si="120"/>
        <v>0</v>
      </c>
      <c r="BH58" s="392">
        <v>0</v>
      </c>
      <c r="BI58" s="391">
        <f t="shared" si="121"/>
        <v>0</v>
      </c>
      <c r="BJ58" s="392">
        <f t="shared" si="122"/>
        <v>0</v>
      </c>
      <c r="BK58" s="392">
        <f t="shared" si="123"/>
        <v>0</v>
      </c>
      <c r="BL58" s="326" t="s">
        <v>515</v>
      </c>
      <c r="BM58" s="400"/>
      <c r="BN58" s="396">
        <f t="shared" si="124"/>
        <v>0</v>
      </c>
      <c r="BO58" s="252"/>
      <c r="BP58" s="252"/>
      <c r="BQ58" s="252"/>
      <c r="BR58" s="251">
        <f t="shared" si="125"/>
        <v>0</v>
      </c>
      <c r="BS58" s="252"/>
      <c r="BT58" s="252"/>
      <c r="BU58" s="251"/>
      <c r="BV58" s="393">
        <f t="shared" si="126"/>
        <v>0</v>
      </c>
    </row>
    <row r="59" spans="1:74" s="376" customFormat="1" ht="36.75" customHeight="1" x14ac:dyDescent="0.25">
      <c r="A59" s="394"/>
      <c r="B59" s="377"/>
      <c r="C59" s="408" t="s">
        <v>893</v>
      </c>
      <c r="D59" s="408" t="s">
        <v>238</v>
      </c>
      <c r="E59" s="409">
        <v>600000</v>
      </c>
      <c r="F59" s="395">
        <f t="shared" si="127"/>
        <v>0</v>
      </c>
      <c r="G59" s="396">
        <f>BK59</f>
        <v>0</v>
      </c>
      <c r="H59" s="396"/>
      <c r="I59" s="396"/>
      <c r="J59" s="397"/>
      <c r="K59" s="397"/>
      <c r="L59" s="397">
        <f>G59</f>
        <v>0</v>
      </c>
      <c r="M59" s="397"/>
      <c r="N59" s="396"/>
      <c r="O59" s="396"/>
      <c r="P59" s="396"/>
      <c r="Q59" s="396"/>
      <c r="R59" s="392">
        <v>0</v>
      </c>
      <c r="S59" s="392">
        <v>0</v>
      </c>
      <c r="T59" s="392">
        <v>0</v>
      </c>
      <c r="U59" s="392">
        <v>0</v>
      </c>
      <c r="V59" s="391">
        <f>G59*0.25</f>
        <v>0</v>
      </c>
      <c r="W59" s="391">
        <f>G59*0.25</f>
        <v>0</v>
      </c>
      <c r="X59" s="391">
        <f>G59*0.25</f>
        <v>0</v>
      </c>
      <c r="Y59" s="391">
        <f>G59*0.25</f>
        <v>0</v>
      </c>
      <c r="Z59" s="392">
        <v>0</v>
      </c>
      <c r="AA59" s="391">
        <f>Z59*E59</f>
        <v>0</v>
      </c>
      <c r="AB59" s="392">
        <v>0</v>
      </c>
      <c r="AC59" s="391">
        <f>AB59*E59</f>
        <v>0</v>
      </c>
      <c r="AD59" s="392">
        <v>0</v>
      </c>
      <c r="AE59" s="391">
        <f t="shared" si="110"/>
        <v>0</v>
      </c>
      <c r="AF59" s="392">
        <v>0</v>
      </c>
      <c r="AG59" s="391">
        <f t="shared" si="111"/>
        <v>0</v>
      </c>
      <c r="AH59" s="392">
        <v>0</v>
      </c>
      <c r="AI59" s="391">
        <f t="shared" si="112"/>
        <v>0</v>
      </c>
      <c r="AJ59" s="392">
        <v>0</v>
      </c>
      <c r="AK59" s="391">
        <f t="shared" si="138"/>
        <v>0</v>
      </c>
      <c r="AL59" s="392">
        <v>0</v>
      </c>
      <c r="AM59" s="391">
        <f t="shared" ref="AM59:AM77" si="141">AL59*E59</f>
        <v>0</v>
      </c>
      <c r="AN59" s="392">
        <v>0</v>
      </c>
      <c r="AO59" s="391">
        <f t="shared" si="113"/>
        <v>0</v>
      </c>
      <c r="AP59" s="392">
        <v>0</v>
      </c>
      <c r="AQ59" s="391">
        <f>AP59*E59</f>
        <v>0</v>
      </c>
      <c r="AR59" s="392">
        <v>0</v>
      </c>
      <c r="AS59" s="391">
        <v>0</v>
      </c>
      <c r="AT59" s="392">
        <v>0</v>
      </c>
      <c r="AU59" s="391">
        <f t="shared" si="116"/>
        <v>0</v>
      </c>
      <c r="AV59" s="392">
        <v>0</v>
      </c>
      <c r="AW59" s="391">
        <f t="shared" si="117"/>
        <v>0</v>
      </c>
      <c r="AX59" s="391">
        <v>0</v>
      </c>
      <c r="AY59" s="391">
        <f t="shared" si="118"/>
        <v>0</v>
      </c>
      <c r="AZ59" s="392">
        <v>0</v>
      </c>
      <c r="BA59" s="391">
        <f t="shared" si="119"/>
        <v>0</v>
      </c>
      <c r="BB59" s="392">
        <v>0</v>
      </c>
      <c r="BC59" s="391">
        <f t="shared" si="139"/>
        <v>0</v>
      </c>
      <c r="BD59" s="392">
        <v>0</v>
      </c>
      <c r="BE59" s="391">
        <f t="shared" si="140"/>
        <v>0</v>
      </c>
      <c r="BF59" s="392">
        <v>0</v>
      </c>
      <c r="BG59" s="391">
        <f t="shared" si="120"/>
        <v>0</v>
      </c>
      <c r="BH59" s="392">
        <v>0</v>
      </c>
      <c r="BI59" s="391">
        <f t="shared" si="121"/>
        <v>0</v>
      </c>
      <c r="BJ59" s="392">
        <f t="shared" si="122"/>
        <v>0</v>
      </c>
      <c r="BK59" s="392">
        <f t="shared" si="123"/>
        <v>0</v>
      </c>
      <c r="BL59" s="326" t="s">
        <v>515</v>
      </c>
      <c r="BM59" s="400"/>
      <c r="BN59" s="396">
        <f t="shared" si="124"/>
        <v>0</v>
      </c>
      <c r="BO59" s="252"/>
      <c r="BP59" s="252"/>
      <c r="BQ59" s="252"/>
      <c r="BR59" s="251">
        <f t="shared" si="125"/>
        <v>0</v>
      </c>
      <c r="BS59" s="252"/>
      <c r="BT59" s="252"/>
      <c r="BU59" s="251"/>
      <c r="BV59" s="393">
        <f t="shared" si="126"/>
        <v>0</v>
      </c>
    </row>
    <row r="60" spans="1:74" s="376" customFormat="1" x14ac:dyDescent="0.25">
      <c r="A60" s="394"/>
      <c r="B60" s="377"/>
      <c r="C60" s="408" t="s">
        <v>561</v>
      </c>
      <c r="D60" s="408" t="s">
        <v>271</v>
      </c>
      <c r="E60" s="409">
        <v>1000</v>
      </c>
      <c r="F60" s="395">
        <f t="shared" si="127"/>
        <v>0</v>
      </c>
      <c r="G60" s="395">
        <f t="shared" si="127"/>
        <v>0</v>
      </c>
      <c r="H60" s="396"/>
      <c r="I60" s="396"/>
      <c r="J60" s="397"/>
      <c r="K60" s="397"/>
      <c r="L60" s="397"/>
      <c r="M60" s="397">
        <f>G60</f>
        <v>0</v>
      </c>
      <c r="N60" s="396"/>
      <c r="O60" s="396"/>
      <c r="P60" s="396"/>
      <c r="Q60" s="396"/>
      <c r="R60" s="392">
        <f t="shared" si="137"/>
        <v>0</v>
      </c>
      <c r="S60" s="392">
        <f t="shared" si="129"/>
        <v>0</v>
      </c>
      <c r="T60" s="392">
        <f t="shared" si="130"/>
        <v>0</v>
      </c>
      <c r="U60" s="392">
        <f t="shared" si="131"/>
        <v>0</v>
      </c>
      <c r="V60" s="391">
        <f t="shared" si="132"/>
        <v>0</v>
      </c>
      <c r="W60" s="391">
        <f t="shared" si="133"/>
        <v>0</v>
      </c>
      <c r="X60" s="391">
        <f t="shared" si="134"/>
        <v>0</v>
      </c>
      <c r="Y60" s="391">
        <f t="shared" si="135"/>
        <v>0</v>
      </c>
      <c r="Z60" s="392"/>
      <c r="AA60" s="391">
        <f t="shared" ref="AA60:AA77" si="142">Z60*E60</f>
        <v>0</v>
      </c>
      <c r="AB60" s="392">
        <v>0</v>
      </c>
      <c r="AC60" s="391">
        <f>AB60*E60</f>
        <v>0</v>
      </c>
      <c r="AD60" s="392">
        <v>0</v>
      </c>
      <c r="AE60" s="391">
        <f>AD60*E60</f>
        <v>0</v>
      </c>
      <c r="AF60" s="392">
        <v>0</v>
      </c>
      <c r="AG60" s="391">
        <f t="shared" si="111"/>
        <v>0</v>
      </c>
      <c r="AH60" s="392">
        <v>0</v>
      </c>
      <c r="AI60" s="391">
        <f>AH60*E60</f>
        <v>0</v>
      </c>
      <c r="AJ60" s="392">
        <v>0</v>
      </c>
      <c r="AK60" s="391">
        <f t="shared" si="138"/>
        <v>0</v>
      </c>
      <c r="AL60" s="392">
        <v>0</v>
      </c>
      <c r="AM60" s="391">
        <f t="shared" si="141"/>
        <v>0</v>
      </c>
      <c r="AN60" s="392">
        <v>0</v>
      </c>
      <c r="AO60" s="391">
        <f t="shared" si="113"/>
        <v>0</v>
      </c>
      <c r="AP60" s="392"/>
      <c r="AQ60" s="391">
        <f t="shared" si="114"/>
        <v>0</v>
      </c>
      <c r="AR60" s="392">
        <v>0</v>
      </c>
      <c r="AS60" s="391">
        <f t="shared" si="115"/>
        <v>0</v>
      </c>
      <c r="AT60" s="392">
        <v>0</v>
      </c>
      <c r="AU60" s="391">
        <f t="shared" si="116"/>
        <v>0</v>
      </c>
      <c r="AV60" s="392">
        <v>0</v>
      </c>
      <c r="AW60" s="391">
        <f t="shared" si="117"/>
        <v>0</v>
      </c>
      <c r="AX60" s="391">
        <v>0</v>
      </c>
      <c r="AY60" s="391">
        <f t="shared" si="118"/>
        <v>0</v>
      </c>
      <c r="AZ60" s="392">
        <v>0</v>
      </c>
      <c r="BA60" s="391">
        <f t="shared" si="119"/>
        <v>0</v>
      </c>
      <c r="BB60" s="392">
        <v>0</v>
      </c>
      <c r="BC60" s="391">
        <f t="shared" si="139"/>
        <v>0</v>
      </c>
      <c r="BD60" s="392">
        <v>0</v>
      </c>
      <c r="BE60" s="391">
        <f t="shared" si="140"/>
        <v>0</v>
      </c>
      <c r="BF60" s="392">
        <v>0</v>
      </c>
      <c r="BG60" s="391">
        <f t="shared" si="120"/>
        <v>0</v>
      </c>
      <c r="BH60" s="392"/>
      <c r="BI60" s="391">
        <f t="shared" si="121"/>
        <v>0</v>
      </c>
      <c r="BJ60" s="392">
        <f t="shared" si="122"/>
        <v>0</v>
      </c>
      <c r="BK60" s="392">
        <f t="shared" si="123"/>
        <v>0</v>
      </c>
      <c r="BL60" s="326" t="s">
        <v>276</v>
      </c>
      <c r="BM60" s="400"/>
      <c r="BN60" s="396">
        <f t="shared" si="124"/>
        <v>0</v>
      </c>
      <c r="BO60" s="252"/>
      <c r="BP60" s="252"/>
      <c r="BQ60" s="252"/>
      <c r="BR60" s="251">
        <f t="shared" si="125"/>
        <v>0</v>
      </c>
      <c r="BS60" s="252"/>
      <c r="BT60" s="252"/>
      <c r="BU60" s="251"/>
      <c r="BV60" s="393">
        <f t="shared" si="126"/>
        <v>0</v>
      </c>
    </row>
    <row r="61" spans="1:74" s="376" customFormat="1" ht="47.25" x14ac:dyDescent="0.25">
      <c r="A61" s="394"/>
      <c r="B61" s="377"/>
      <c r="C61" s="408" t="s">
        <v>739</v>
      </c>
      <c r="D61" s="408" t="s">
        <v>238</v>
      </c>
      <c r="E61" s="409">
        <v>250000</v>
      </c>
      <c r="F61" s="395">
        <f t="shared" si="127"/>
        <v>0</v>
      </c>
      <c r="G61" s="396">
        <f t="shared" si="128"/>
        <v>0</v>
      </c>
      <c r="H61" s="396"/>
      <c r="I61" s="396"/>
      <c r="J61" s="397">
        <f>G61</f>
        <v>0</v>
      </c>
      <c r="K61" s="397"/>
      <c r="L61" s="397">
        <f>I61</f>
        <v>0</v>
      </c>
      <c r="M61" s="397"/>
      <c r="N61" s="396"/>
      <c r="O61" s="396"/>
      <c r="P61" s="396"/>
      <c r="Q61" s="396"/>
      <c r="R61" s="392">
        <f t="shared" si="137"/>
        <v>0</v>
      </c>
      <c r="S61" s="392">
        <f t="shared" si="129"/>
        <v>0</v>
      </c>
      <c r="T61" s="392">
        <f t="shared" si="130"/>
        <v>0</v>
      </c>
      <c r="U61" s="392">
        <f t="shared" si="131"/>
        <v>0</v>
      </c>
      <c r="V61" s="391">
        <f t="shared" si="132"/>
        <v>0</v>
      </c>
      <c r="W61" s="391">
        <f t="shared" si="133"/>
        <v>0</v>
      </c>
      <c r="X61" s="391">
        <f t="shared" si="134"/>
        <v>0</v>
      </c>
      <c r="Y61" s="391">
        <f t="shared" si="135"/>
        <v>0</v>
      </c>
      <c r="Z61" s="392">
        <v>0</v>
      </c>
      <c r="AA61" s="391">
        <f t="shared" si="142"/>
        <v>0</v>
      </c>
      <c r="AB61" s="392">
        <v>0</v>
      </c>
      <c r="AC61" s="391">
        <f t="shared" si="109"/>
        <v>0</v>
      </c>
      <c r="AD61" s="392">
        <v>0</v>
      </c>
      <c r="AE61" s="391">
        <f t="shared" si="110"/>
        <v>0</v>
      </c>
      <c r="AF61" s="392">
        <v>0</v>
      </c>
      <c r="AG61" s="391">
        <f t="shared" si="111"/>
        <v>0</v>
      </c>
      <c r="AH61" s="392">
        <v>0</v>
      </c>
      <c r="AI61" s="391">
        <f t="shared" si="112"/>
        <v>0</v>
      </c>
      <c r="AJ61" s="392">
        <v>0</v>
      </c>
      <c r="AK61" s="391">
        <f t="shared" si="138"/>
        <v>0</v>
      </c>
      <c r="AL61" s="392">
        <v>0</v>
      </c>
      <c r="AM61" s="391">
        <f t="shared" si="141"/>
        <v>0</v>
      </c>
      <c r="AN61" s="392">
        <v>0</v>
      </c>
      <c r="AO61" s="391">
        <f t="shared" si="113"/>
        <v>0</v>
      </c>
      <c r="AP61" s="392">
        <v>0</v>
      </c>
      <c r="AQ61" s="391">
        <f t="shared" si="114"/>
        <v>0</v>
      </c>
      <c r="AR61" s="392">
        <v>0</v>
      </c>
      <c r="AS61" s="391">
        <f t="shared" si="115"/>
        <v>0</v>
      </c>
      <c r="AT61" s="392">
        <v>0</v>
      </c>
      <c r="AU61" s="391">
        <f t="shared" si="116"/>
        <v>0</v>
      </c>
      <c r="AV61" s="392">
        <v>0</v>
      </c>
      <c r="AW61" s="391">
        <f t="shared" si="117"/>
        <v>0</v>
      </c>
      <c r="AX61" s="391">
        <v>0</v>
      </c>
      <c r="AY61" s="391">
        <f t="shared" si="118"/>
        <v>0</v>
      </c>
      <c r="AZ61" s="392">
        <v>0</v>
      </c>
      <c r="BA61" s="391">
        <f t="shared" si="119"/>
        <v>0</v>
      </c>
      <c r="BB61" s="392">
        <v>0</v>
      </c>
      <c r="BC61" s="391">
        <f t="shared" si="139"/>
        <v>0</v>
      </c>
      <c r="BD61" s="392">
        <v>0</v>
      </c>
      <c r="BE61" s="391">
        <f t="shared" si="140"/>
        <v>0</v>
      </c>
      <c r="BF61" s="392">
        <v>0</v>
      </c>
      <c r="BG61" s="391">
        <f t="shared" si="120"/>
        <v>0</v>
      </c>
      <c r="BH61" s="392"/>
      <c r="BI61" s="391">
        <f t="shared" si="121"/>
        <v>0</v>
      </c>
      <c r="BJ61" s="392">
        <f t="shared" si="122"/>
        <v>0</v>
      </c>
      <c r="BK61" s="392">
        <f t="shared" si="123"/>
        <v>0</v>
      </c>
      <c r="BL61" s="326" t="s">
        <v>738</v>
      </c>
      <c r="BM61" s="400"/>
      <c r="BN61" s="396">
        <f t="shared" si="124"/>
        <v>0</v>
      </c>
      <c r="BO61" s="252"/>
      <c r="BP61" s="252"/>
      <c r="BQ61" s="252"/>
      <c r="BR61" s="251">
        <f t="shared" si="125"/>
        <v>0</v>
      </c>
      <c r="BS61" s="252"/>
      <c r="BT61" s="252"/>
      <c r="BU61" s="251"/>
      <c r="BV61" s="393">
        <f t="shared" si="126"/>
        <v>0</v>
      </c>
    </row>
    <row r="62" spans="1:74" s="376" customFormat="1" ht="47.85" customHeight="1" x14ac:dyDescent="0.25">
      <c r="A62" s="394"/>
      <c r="B62" s="377"/>
      <c r="C62" s="408" t="s">
        <v>660</v>
      </c>
      <c r="D62" s="408" t="s">
        <v>238</v>
      </c>
      <c r="E62" s="409">
        <v>350000</v>
      </c>
      <c r="F62" s="395">
        <f t="shared" si="127"/>
        <v>0</v>
      </c>
      <c r="G62" s="396">
        <f t="shared" si="128"/>
        <v>0</v>
      </c>
      <c r="H62" s="396"/>
      <c r="I62" s="396"/>
      <c r="J62" s="397">
        <f>G62</f>
        <v>0</v>
      </c>
      <c r="K62" s="397"/>
      <c r="L62" s="397"/>
      <c r="M62" s="397"/>
      <c r="N62" s="396"/>
      <c r="O62" s="396"/>
      <c r="P62" s="396"/>
      <c r="Q62" s="396"/>
      <c r="R62" s="392">
        <f t="shared" si="137"/>
        <v>0</v>
      </c>
      <c r="S62" s="392">
        <f t="shared" si="129"/>
        <v>0</v>
      </c>
      <c r="T62" s="392">
        <f t="shared" si="130"/>
        <v>0</v>
      </c>
      <c r="U62" s="392">
        <f t="shared" si="131"/>
        <v>0</v>
      </c>
      <c r="V62" s="391">
        <f t="shared" si="132"/>
        <v>0</v>
      </c>
      <c r="W62" s="391">
        <f t="shared" si="133"/>
        <v>0</v>
      </c>
      <c r="X62" s="391">
        <f t="shared" si="134"/>
        <v>0</v>
      </c>
      <c r="Y62" s="391">
        <f t="shared" si="135"/>
        <v>0</v>
      </c>
      <c r="Z62" s="392">
        <v>0</v>
      </c>
      <c r="AA62" s="391">
        <f t="shared" si="142"/>
        <v>0</v>
      </c>
      <c r="AB62" s="392">
        <v>0</v>
      </c>
      <c r="AC62" s="391">
        <f t="shared" si="109"/>
        <v>0</v>
      </c>
      <c r="AD62" s="392">
        <v>0</v>
      </c>
      <c r="AE62" s="391">
        <f t="shared" si="110"/>
        <v>0</v>
      </c>
      <c r="AF62" s="392">
        <v>0</v>
      </c>
      <c r="AG62" s="391">
        <f t="shared" si="111"/>
        <v>0</v>
      </c>
      <c r="AH62" s="392">
        <v>0</v>
      </c>
      <c r="AI62" s="391">
        <f t="shared" si="112"/>
        <v>0</v>
      </c>
      <c r="AJ62" s="392">
        <v>0</v>
      </c>
      <c r="AK62" s="391">
        <f t="shared" si="138"/>
        <v>0</v>
      </c>
      <c r="AL62" s="392">
        <v>0</v>
      </c>
      <c r="AM62" s="391">
        <f t="shared" si="141"/>
        <v>0</v>
      </c>
      <c r="AN62" s="392">
        <v>0</v>
      </c>
      <c r="AO62" s="391">
        <f t="shared" si="113"/>
        <v>0</v>
      </c>
      <c r="AP62" s="392">
        <v>0</v>
      </c>
      <c r="AQ62" s="391">
        <f t="shared" si="114"/>
        <v>0</v>
      </c>
      <c r="AR62" s="392">
        <v>0</v>
      </c>
      <c r="AS62" s="391">
        <f t="shared" si="115"/>
        <v>0</v>
      </c>
      <c r="AT62" s="392">
        <v>0</v>
      </c>
      <c r="AU62" s="391">
        <f t="shared" si="116"/>
        <v>0</v>
      </c>
      <c r="AV62" s="392">
        <v>0</v>
      </c>
      <c r="AW62" s="391">
        <f t="shared" si="117"/>
        <v>0</v>
      </c>
      <c r="AX62" s="391">
        <v>0</v>
      </c>
      <c r="AY62" s="391">
        <f t="shared" si="118"/>
        <v>0</v>
      </c>
      <c r="AZ62" s="392">
        <v>0</v>
      </c>
      <c r="BA62" s="391">
        <f t="shared" si="119"/>
        <v>0</v>
      </c>
      <c r="BB62" s="392">
        <v>0</v>
      </c>
      <c r="BC62" s="391">
        <f t="shared" si="139"/>
        <v>0</v>
      </c>
      <c r="BD62" s="392">
        <v>0</v>
      </c>
      <c r="BE62" s="391">
        <f t="shared" si="140"/>
        <v>0</v>
      </c>
      <c r="BF62" s="392">
        <v>0</v>
      </c>
      <c r="BG62" s="391">
        <f t="shared" si="120"/>
        <v>0</v>
      </c>
      <c r="BH62" s="392"/>
      <c r="BI62" s="391">
        <f t="shared" si="121"/>
        <v>0</v>
      </c>
      <c r="BJ62" s="392">
        <f t="shared" si="122"/>
        <v>0</v>
      </c>
      <c r="BK62" s="392">
        <f t="shared" si="123"/>
        <v>0</v>
      </c>
      <c r="BL62" s="326" t="s">
        <v>526</v>
      </c>
      <c r="BM62" s="400"/>
      <c r="BN62" s="396">
        <f t="shared" si="124"/>
        <v>0</v>
      </c>
      <c r="BO62" s="252"/>
      <c r="BP62" s="252"/>
      <c r="BQ62" s="252"/>
      <c r="BR62" s="251">
        <f t="shared" si="125"/>
        <v>0</v>
      </c>
      <c r="BS62" s="252"/>
      <c r="BT62" s="252"/>
      <c r="BU62" s="251"/>
      <c r="BV62" s="393">
        <f t="shared" si="126"/>
        <v>0</v>
      </c>
    </row>
    <row r="63" spans="1:74" s="376" customFormat="1" ht="47.85" customHeight="1" x14ac:dyDescent="0.25">
      <c r="A63" s="394"/>
      <c r="B63" s="377"/>
      <c r="C63" s="408" t="s">
        <v>842</v>
      </c>
      <c r="D63" s="408" t="s">
        <v>238</v>
      </c>
      <c r="E63" s="409">
        <v>500000</v>
      </c>
      <c r="F63" s="395">
        <f t="shared" si="127"/>
        <v>0</v>
      </c>
      <c r="G63" s="396">
        <f t="shared" si="128"/>
        <v>0</v>
      </c>
      <c r="H63" s="396"/>
      <c r="I63" s="396"/>
      <c r="J63" s="397">
        <f>G63</f>
        <v>0</v>
      </c>
      <c r="K63" s="397"/>
      <c r="L63" s="397"/>
      <c r="M63" s="397"/>
      <c r="N63" s="396"/>
      <c r="O63" s="396"/>
      <c r="P63" s="396"/>
      <c r="Q63" s="396"/>
      <c r="R63" s="392">
        <f t="shared" si="137"/>
        <v>0</v>
      </c>
      <c r="S63" s="392">
        <f t="shared" si="129"/>
        <v>0</v>
      </c>
      <c r="T63" s="392">
        <f t="shared" si="130"/>
        <v>0</v>
      </c>
      <c r="U63" s="392">
        <f t="shared" si="131"/>
        <v>0</v>
      </c>
      <c r="V63" s="391">
        <f t="shared" si="132"/>
        <v>0</v>
      </c>
      <c r="W63" s="391">
        <f t="shared" si="133"/>
        <v>0</v>
      </c>
      <c r="X63" s="391">
        <f t="shared" si="134"/>
        <v>0</v>
      </c>
      <c r="Y63" s="391">
        <f t="shared" si="135"/>
        <v>0</v>
      </c>
      <c r="Z63" s="392">
        <v>0</v>
      </c>
      <c r="AA63" s="391">
        <f t="shared" si="142"/>
        <v>0</v>
      </c>
      <c r="AB63" s="392">
        <v>0</v>
      </c>
      <c r="AC63" s="391">
        <f t="shared" si="109"/>
        <v>0</v>
      </c>
      <c r="AD63" s="392">
        <v>0</v>
      </c>
      <c r="AE63" s="391">
        <f t="shared" si="110"/>
        <v>0</v>
      </c>
      <c r="AF63" s="392">
        <v>0</v>
      </c>
      <c r="AG63" s="391">
        <f t="shared" si="111"/>
        <v>0</v>
      </c>
      <c r="AH63" s="392">
        <v>0</v>
      </c>
      <c r="AI63" s="391">
        <f t="shared" si="112"/>
        <v>0</v>
      </c>
      <c r="AJ63" s="392">
        <v>0</v>
      </c>
      <c r="AK63" s="391">
        <f t="shared" si="138"/>
        <v>0</v>
      </c>
      <c r="AL63" s="392">
        <v>0</v>
      </c>
      <c r="AM63" s="391">
        <f t="shared" si="141"/>
        <v>0</v>
      </c>
      <c r="AN63" s="392">
        <v>0</v>
      </c>
      <c r="AO63" s="391">
        <f t="shared" si="113"/>
        <v>0</v>
      </c>
      <c r="AP63" s="392">
        <v>0</v>
      </c>
      <c r="AQ63" s="391">
        <f t="shared" si="114"/>
        <v>0</v>
      </c>
      <c r="AR63" s="392">
        <v>0</v>
      </c>
      <c r="AS63" s="391">
        <f t="shared" si="115"/>
        <v>0</v>
      </c>
      <c r="AT63" s="392">
        <v>0</v>
      </c>
      <c r="AU63" s="391">
        <f t="shared" si="116"/>
        <v>0</v>
      </c>
      <c r="AV63" s="392">
        <v>0</v>
      </c>
      <c r="AW63" s="391">
        <f t="shared" si="117"/>
        <v>0</v>
      </c>
      <c r="AX63" s="391">
        <v>0</v>
      </c>
      <c r="AY63" s="391">
        <f t="shared" si="118"/>
        <v>0</v>
      </c>
      <c r="AZ63" s="392">
        <v>0</v>
      </c>
      <c r="BA63" s="391">
        <f t="shared" si="119"/>
        <v>0</v>
      </c>
      <c r="BB63" s="392">
        <v>0</v>
      </c>
      <c r="BC63" s="391">
        <f t="shared" si="139"/>
        <v>0</v>
      </c>
      <c r="BD63" s="392">
        <v>0</v>
      </c>
      <c r="BE63" s="391">
        <f t="shared" si="140"/>
        <v>0</v>
      </c>
      <c r="BF63" s="392">
        <v>0</v>
      </c>
      <c r="BG63" s="391">
        <f t="shared" si="120"/>
        <v>0</v>
      </c>
      <c r="BH63" s="392"/>
      <c r="BI63" s="391">
        <f t="shared" si="121"/>
        <v>0</v>
      </c>
      <c r="BJ63" s="392">
        <f t="shared" si="122"/>
        <v>0</v>
      </c>
      <c r="BK63" s="392">
        <f t="shared" si="123"/>
        <v>0</v>
      </c>
      <c r="BL63" s="326" t="s">
        <v>526</v>
      </c>
      <c r="BM63" s="400"/>
      <c r="BN63" s="396">
        <f t="shared" si="124"/>
        <v>0</v>
      </c>
      <c r="BO63" s="252"/>
      <c r="BP63" s="252"/>
      <c r="BQ63" s="252"/>
      <c r="BR63" s="251">
        <f t="shared" si="125"/>
        <v>0</v>
      </c>
      <c r="BS63" s="252"/>
      <c r="BT63" s="252"/>
      <c r="BU63" s="251"/>
      <c r="BV63" s="393">
        <f t="shared" si="126"/>
        <v>0</v>
      </c>
    </row>
    <row r="64" spans="1:74" s="376" customFormat="1" x14ac:dyDescent="0.25">
      <c r="A64" s="394"/>
      <c r="B64" s="377"/>
      <c r="C64" s="408" t="s">
        <v>257</v>
      </c>
      <c r="D64" s="408" t="s">
        <v>238</v>
      </c>
      <c r="E64" s="409">
        <v>1750000</v>
      </c>
      <c r="F64" s="395">
        <f t="shared" si="127"/>
        <v>0</v>
      </c>
      <c r="G64" s="396">
        <f>BK64</f>
        <v>0</v>
      </c>
      <c r="H64" s="396"/>
      <c r="I64" s="396"/>
      <c r="J64" s="396"/>
      <c r="K64" s="396"/>
      <c r="L64" s="396">
        <v>0</v>
      </c>
      <c r="M64" s="396">
        <v>0</v>
      </c>
      <c r="N64" s="396"/>
      <c r="O64" s="396"/>
      <c r="P64" s="396"/>
      <c r="Q64" s="396">
        <f>G64*1</f>
        <v>0</v>
      </c>
      <c r="R64" s="392">
        <f t="shared" si="137"/>
        <v>0</v>
      </c>
      <c r="S64" s="392">
        <f t="shared" si="129"/>
        <v>0</v>
      </c>
      <c r="T64" s="392">
        <f t="shared" si="130"/>
        <v>0</v>
      </c>
      <c r="U64" s="392">
        <f t="shared" si="131"/>
        <v>0</v>
      </c>
      <c r="V64" s="391">
        <f>R64*E64</f>
        <v>0</v>
      </c>
      <c r="W64" s="391">
        <f t="shared" si="133"/>
        <v>0</v>
      </c>
      <c r="X64" s="391">
        <f t="shared" si="134"/>
        <v>0</v>
      </c>
      <c r="Y64" s="391">
        <f t="shared" si="135"/>
        <v>0</v>
      </c>
      <c r="Z64" s="392">
        <v>0</v>
      </c>
      <c r="AA64" s="391">
        <f t="shared" si="142"/>
        <v>0</v>
      </c>
      <c r="AB64" s="392">
        <v>0</v>
      </c>
      <c r="AC64" s="392">
        <f t="shared" si="109"/>
        <v>0</v>
      </c>
      <c r="AD64" s="392">
        <v>0</v>
      </c>
      <c r="AE64" s="391">
        <f t="shared" si="110"/>
        <v>0</v>
      </c>
      <c r="AF64" s="392">
        <v>0</v>
      </c>
      <c r="AG64" s="391">
        <f t="shared" si="111"/>
        <v>0</v>
      </c>
      <c r="AH64" s="392">
        <v>0</v>
      </c>
      <c r="AI64" s="391">
        <f t="shared" si="112"/>
        <v>0</v>
      </c>
      <c r="AJ64" s="392">
        <v>0</v>
      </c>
      <c r="AK64" s="391">
        <f t="shared" si="138"/>
        <v>0</v>
      </c>
      <c r="AL64" s="392">
        <v>0</v>
      </c>
      <c r="AM64" s="391">
        <f t="shared" si="141"/>
        <v>0</v>
      </c>
      <c r="AN64" s="392">
        <v>0</v>
      </c>
      <c r="AO64" s="391">
        <f t="shared" si="113"/>
        <v>0</v>
      </c>
      <c r="AP64" s="392">
        <v>0</v>
      </c>
      <c r="AQ64" s="391">
        <f t="shared" si="114"/>
        <v>0</v>
      </c>
      <c r="AR64" s="392">
        <v>0</v>
      </c>
      <c r="AS64" s="391">
        <f t="shared" si="115"/>
        <v>0</v>
      </c>
      <c r="AT64" s="392">
        <v>0</v>
      </c>
      <c r="AU64" s="391">
        <f t="shared" si="116"/>
        <v>0</v>
      </c>
      <c r="AV64" s="392">
        <v>0</v>
      </c>
      <c r="AW64" s="391">
        <f t="shared" si="117"/>
        <v>0</v>
      </c>
      <c r="AX64" s="391">
        <v>0</v>
      </c>
      <c r="AY64" s="391">
        <f t="shared" si="118"/>
        <v>0</v>
      </c>
      <c r="AZ64" s="392">
        <v>0</v>
      </c>
      <c r="BA64" s="391">
        <f t="shared" si="119"/>
        <v>0</v>
      </c>
      <c r="BB64" s="392">
        <v>0</v>
      </c>
      <c r="BC64" s="391">
        <f t="shared" si="139"/>
        <v>0</v>
      </c>
      <c r="BD64" s="392">
        <v>0</v>
      </c>
      <c r="BE64" s="391">
        <f t="shared" si="140"/>
        <v>0</v>
      </c>
      <c r="BF64" s="392">
        <v>0</v>
      </c>
      <c r="BG64" s="391">
        <f t="shared" si="120"/>
        <v>0</v>
      </c>
      <c r="BH64" s="392"/>
      <c r="BI64" s="391">
        <f t="shared" si="121"/>
        <v>0</v>
      </c>
      <c r="BJ64" s="392">
        <f t="shared" ref="BJ64:BJ66" si="143">Z64+AB64+AD64+AF64+AH64+AJ64+AL64+AN64+AP64+AR64+AT64+AV64+AX64+AZ64+BB64+BD64+BF64+BH64</f>
        <v>0</v>
      </c>
      <c r="BK64" s="392">
        <f t="shared" si="123"/>
        <v>0</v>
      </c>
      <c r="BL64" s="326" t="s">
        <v>571</v>
      </c>
      <c r="BM64" s="359"/>
      <c r="BN64" s="396">
        <f t="shared" si="124"/>
        <v>0</v>
      </c>
      <c r="BO64" s="252"/>
      <c r="BP64" s="252"/>
      <c r="BQ64" s="252"/>
      <c r="BR64" s="251">
        <f t="shared" si="125"/>
        <v>0</v>
      </c>
      <c r="BS64" s="252"/>
      <c r="BT64" s="252"/>
      <c r="BU64" s="251"/>
      <c r="BV64" s="393">
        <f t="shared" si="126"/>
        <v>0</v>
      </c>
    </row>
    <row r="65" spans="1:74" s="376" customFormat="1" x14ac:dyDescent="0.25">
      <c r="A65" s="394"/>
      <c r="B65" s="377"/>
      <c r="C65" s="408" t="s">
        <v>569</v>
      </c>
      <c r="D65" s="408" t="s">
        <v>570</v>
      </c>
      <c r="E65" s="409">
        <v>12000</v>
      </c>
      <c r="F65" s="395">
        <f t="shared" si="127"/>
        <v>0</v>
      </c>
      <c r="G65" s="396">
        <f>BK65</f>
        <v>0</v>
      </c>
      <c r="H65" s="396"/>
      <c r="I65" s="396"/>
      <c r="J65" s="396"/>
      <c r="K65" s="396"/>
      <c r="L65" s="396"/>
      <c r="M65" s="396"/>
      <c r="N65" s="396"/>
      <c r="O65" s="396"/>
      <c r="P65" s="396"/>
      <c r="Q65" s="396">
        <f>G65*1</f>
        <v>0</v>
      </c>
      <c r="R65" s="392">
        <f t="shared" si="137"/>
        <v>0</v>
      </c>
      <c r="S65" s="392">
        <f t="shared" si="129"/>
        <v>0</v>
      </c>
      <c r="T65" s="392">
        <f t="shared" si="130"/>
        <v>0</v>
      </c>
      <c r="U65" s="392">
        <f t="shared" si="131"/>
        <v>0</v>
      </c>
      <c r="V65" s="391">
        <f>R65*E65</f>
        <v>0</v>
      </c>
      <c r="W65" s="391">
        <f t="shared" si="133"/>
        <v>0</v>
      </c>
      <c r="X65" s="391">
        <f t="shared" si="134"/>
        <v>0</v>
      </c>
      <c r="Y65" s="391">
        <f t="shared" si="135"/>
        <v>0</v>
      </c>
      <c r="Z65" s="392">
        <v>0</v>
      </c>
      <c r="AA65" s="391">
        <f t="shared" si="142"/>
        <v>0</v>
      </c>
      <c r="AB65" s="392">
        <v>0</v>
      </c>
      <c r="AC65" s="392">
        <f t="shared" si="109"/>
        <v>0</v>
      </c>
      <c r="AD65" s="392">
        <v>0</v>
      </c>
      <c r="AE65" s="391">
        <f t="shared" si="110"/>
        <v>0</v>
      </c>
      <c r="AF65" s="392">
        <v>0</v>
      </c>
      <c r="AG65" s="391">
        <f t="shared" si="111"/>
        <v>0</v>
      </c>
      <c r="AH65" s="392">
        <v>0</v>
      </c>
      <c r="AI65" s="391">
        <f t="shared" si="112"/>
        <v>0</v>
      </c>
      <c r="AJ65" s="392">
        <v>0</v>
      </c>
      <c r="AK65" s="391">
        <f t="shared" si="138"/>
        <v>0</v>
      </c>
      <c r="AL65" s="392">
        <v>0</v>
      </c>
      <c r="AM65" s="391">
        <f t="shared" si="141"/>
        <v>0</v>
      </c>
      <c r="AN65" s="392">
        <v>0</v>
      </c>
      <c r="AO65" s="391">
        <f t="shared" si="113"/>
        <v>0</v>
      </c>
      <c r="AP65" s="392">
        <v>0</v>
      </c>
      <c r="AQ65" s="391">
        <f t="shared" si="114"/>
        <v>0</v>
      </c>
      <c r="AR65" s="392">
        <v>0</v>
      </c>
      <c r="AS65" s="391">
        <f t="shared" si="115"/>
        <v>0</v>
      </c>
      <c r="AT65" s="392">
        <v>0</v>
      </c>
      <c r="AU65" s="391">
        <f t="shared" si="116"/>
        <v>0</v>
      </c>
      <c r="AV65" s="392">
        <v>0</v>
      </c>
      <c r="AW65" s="391">
        <f t="shared" si="117"/>
        <v>0</v>
      </c>
      <c r="AX65" s="391">
        <v>0</v>
      </c>
      <c r="AY65" s="391">
        <f t="shared" si="118"/>
        <v>0</v>
      </c>
      <c r="AZ65" s="392">
        <v>0</v>
      </c>
      <c r="BA65" s="391">
        <f t="shared" si="119"/>
        <v>0</v>
      </c>
      <c r="BB65" s="392">
        <v>0</v>
      </c>
      <c r="BC65" s="391">
        <f t="shared" si="139"/>
        <v>0</v>
      </c>
      <c r="BD65" s="392">
        <v>0</v>
      </c>
      <c r="BE65" s="391">
        <f t="shared" si="140"/>
        <v>0</v>
      </c>
      <c r="BF65" s="392">
        <v>0</v>
      </c>
      <c r="BG65" s="391">
        <f t="shared" si="120"/>
        <v>0</v>
      </c>
      <c r="BH65" s="392">
        <v>0</v>
      </c>
      <c r="BI65" s="391">
        <f t="shared" si="121"/>
        <v>0</v>
      </c>
      <c r="BJ65" s="392">
        <f t="shared" si="143"/>
        <v>0</v>
      </c>
      <c r="BK65" s="392">
        <f t="shared" si="123"/>
        <v>0</v>
      </c>
      <c r="BL65" s="326" t="s">
        <v>571</v>
      </c>
      <c r="BM65" s="359"/>
      <c r="BN65" s="396">
        <f t="shared" si="124"/>
        <v>0</v>
      </c>
      <c r="BO65" s="252"/>
      <c r="BP65" s="252"/>
      <c r="BQ65" s="252"/>
      <c r="BR65" s="251">
        <f t="shared" si="125"/>
        <v>0</v>
      </c>
      <c r="BS65" s="252"/>
      <c r="BT65" s="252"/>
      <c r="BU65" s="251"/>
      <c r="BV65" s="393">
        <f t="shared" si="126"/>
        <v>0</v>
      </c>
    </row>
    <row r="66" spans="1:74" s="376" customFormat="1" x14ac:dyDescent="0.25">
      <c r="A66" s="394"/>
      <c r="B66" s="377"/>
      <c r="C66" s="408" t="s">
        <v>851</v>
      </c>
      <c r="D66" s="408" t="s">
        <v>613</v>
      </c>
      <c r="E66" s="409">
        <v>250000</v>
      </c>
      <c r="F66" s="395">
        <f t="shared" si="127"/>
        <v>0</v>
      </c>
      <c r="G66" s="396">
        <f>BK66</f>
        <v>0</v>
      </c>
      <c r="H66" s="396"/>
      <c r="I66" s="396"/>
      <c r="J66" s="396">
        <v>0</v>
      </c>
      <c r="K66" s="396"/>
      <c r="L66" s="396"/>
      <c r="M66" s="396">
        <v>0</v>
      </c>
      <c r="N66" s="396"/>
      <c r="O66" s="396"/>
      <c r="P66" s="396"/>
      <c r="Q66" s="396">
        <f>G66*1</f>
        <v>0</v>
      </c>
      <c r="R66" s="392">
        <f t="shared" si="137"/>
        <v>0</v>
      </c>
      <c r="S66" s="392">
        <f t="shared" si="129"/>
        <v>0</v>
      </c>
      <c r="T66" s="392">
        <f t="shared" si="130"/>
        <v>0</v>
      </c>
      <c r="U66" s="392">
        <f t="shared" si="131"/>
        <v>0</v>
      </c>
      <c r="V66" s="391">
        <f>R66*E66</f>
        <v>0</v>
      </c>
      <c r="W66" s="391">
        <f t="shared" si="133"/>
        <v>0</v>
      </c>
      <c r="X66" s="391">
        <f t="shared" si="134"/>
        <v>0</v>
      </c>
      <c r="Y66" s="391">
        <f t="shared" si="135"/>
        <v>0</v>
      </c>
      <c r="Z66" s="415">
        <v>0</v>
      </c>
      <c r="AA66" s="391">
        <f t="shared" si="142"/>
        <v>0</v>
      </c>
      <c r="AB66" s="392">
        <v>0</v>
      </c>
      <c r="AC66" s="392">
        <f t="shared" si="109"/>
        <v>0</v>
      </c>
      <c r="AD66" s="392">
        <v>0</v>
      </c>
      <c r="AE66" s="391">
        <f t="shared" si="110"/>
        <v>0</v>
      </c>
      <c r="AF66" s="416">
        <v>0</v>
      </c>
      <c r="AG66" s="391">
        <f t="shared" si="111"/>
        <v>0</v>
      </c>
      <c r="AH66" s="392">
        <v>0</v>
      </c>
      <c r="AI66" s="391">
        <f t="shared" si="112"/>
        <v>0</v>
      </c>
      <c r="AJ66" s="392">
        <v>0</v>
      </c>
      <c r="AK66" s="391">
        <f t="shared" si="138"/>
        <v>0</v>
      </c>
      <c r="AL66" s="392">
        <v>0</v>
      </c>
      <c r="AM66" s="391">
        <f t="shared" si="141"/>
        <v>0</v>
      </c>
      <c r="AN66" s="392">
        <v>0</v>
      </c>
      <c r="AO66" s="391">
        <f t="shared" si="113"/>
        <v>0</v>
      </c>
      <c r="AP66" s="416">
        <v>0</v>
      </c>
      <c r="AQ66" s="391">
        <f t="shared" si="114"/>
        <v>0</v>
      </c>
      <c r="AR66" s="392">
        <v>0</v>
      </c>
      <c r="AS66" s="391">
        <f t="shared" si="115"/>
        <v>0</v>
      </c>
      <c r="AT66" s="392">
        <v>0</v>
      </c>
      <c r="AU66" s="391">
        <f t="shared" si="116"/>
        <v>0</v>
      </c>
      <c r="AV66" s="392">
        <v>0</v>
      </c>
      <c r="AW66" s="391">
        <f t="shared" si="117"/>
        <v>0</v>
      </c>
      <c r="AX66" s="391">
        <v>0</v>
      </c>
      <c r="AY66" s="391">
        <f t="shared" si="118"/>
        <v>0</v>
      </c>
      <c r="AZ66" s="392">
        <v>0</v>
      </c>
      <c r="BA66" s="391">
        <f t="shared" si="119"/>
        <v>0</v>
      </c>
      <c r="BB66" s="392">
        <v>0</v>
      </c>
      <c r="BC66" s="391">
        <f t="shared" si="139"/>
        <v>0</v>
      </c>
      <c r="BD66" s="392">
        <v>0</v>
      </c>
      <c r="BE66" s="391">
        <f t="shared" si="140"/>
        <v>0</v>
      </c>
      <c r="BF66" s="392">
        <v>0</v>
      </c>
      <c r="BG66" s="391">
        <f t="shared" si="120"/>
        <v>0</v>
      </c>
      <c r="BH66" s="392"/>
      <c r="BI66" s="391">
        <f t="shared" si="121"/>
        <v>0</v>
      </c>
      <c r="BJ66" s="392">
        <f t="shared" si="143"/>
        <v>0</v>
      </c>
      <c r="BK66" s="392">
        <f t="shared" si="123"/>
        <v>0</v>
      </c>
      <c r="BL66" s="326" t="s">
        <v>573</v>
      </c>
      <c r="BM66" s="359"/>
      <c r="BN66" s="396">
        <f t="shared" si="124"/>
        <v>0</v>
      </c>
      <c r="BO66" s="252"/>
      <c r="BP66" s="252"/>
      <c r="BQ66" s="252"/>
      <c r="BR66" s="251">
        <f t="shared" si="125"/>
        <v>0</v>
      </c>
      <c r="BS66" s="252"/>
      <c r="BT66" s="252"/>
      <c r="BU66" s="251"/>
      <c r="BV66" s="393">
        <f t="shared" si="126"/>
        <v>0</v>
      </c>
    </row>
    <row r="67" spans="1:74" s="376" customFormat="1" ht="31.5" x14ac:dyDescent="0.25">
      <c r="A67" s="394"/>
      <c r="B67" s="377"/>
      <c r="C67" s="408" t="s">
        <v>850</v>
      </c>
      <c r="D67" s="408"/>
      <c r="E67" s="409">
        <v>350000</v>
      </c>
      <c r="F67" s="395">
        <f>BJ67</f>
        <v>0</v>
      </c>
      <c r="G67" s="396">
        <f>BK67</f>
        <v>0</v>
      </c>
      <c r="H67" s="396"/>
      <c r="I67" s="396"/>
      <c r="J67" s="396"/>
      <c r="K67" s="396"/>
      <c r="L67" s="396"/>
      <c r="M67" s="396"/>
      <c r="N67" s="396"/>
      <c r="O67" s="396"/>
      <c r="P67" s="396"/>
      <c r="Q67" s="396">
        <f>G67*1</f>
        <v>0</v>
      </c>
      <c r="R67" s="392"/>
      <c r="S67" s="392"/>
      <c r="T67" s="392"/>
      <c r="U67" s="392"/>
      <c r="V67" s="391"/>
      <c r="W67" s="391"/>
      <c r="X67" s="391"/>
      <c r="Y67" s="391"/>
      <c r="Z67" s="415">
        <v>0</v>
      </c>
      <c r="AA67" s="391"/>
      <c r="AB67" s="392">
        <v>0</v>
      </c>
      <c r="AC67" s="392">
        <f t="shared" si="109"/>
        <v>0</v>
      </c>
      <c r="AD67" s="392">
        <v>0</v>
      </c>
      <c r="AE67" s="391">
        <f t="shared" si="110"/>
        <v>0</v>
      </c>
      <c r="AF67" s="416">
        <v>0</v>
      </c>
      <c r="AG67" s="391"/>
      <c r="AH67" s="392">
        <v>0</v>
      </c>
      <c r="AI67" s="391">
        <f t="shared" si="112"/>
        <v>0</v>
      </c>
      <c r="AJ67" s="392">
        <v>0</v>
      </c>
      <c r="AK67" s="391">
        <f t="shared" si="138"/>
        <v>0</v>
      </c>
      <c r="AL67" s="392">
        <v>0</v>
      </c>
      <c r="AM67" s="391">
        <f t="shared" si="141"/>
        <v>0</v>
      </c>
      <c r="AN67" s="392">
        <v>0</v>
      </c>
      <c r="AO67" s="391">
        <f t="shared" si="113"/>
        <v>0</v>
      </c>
      <c r="AP67" s="416">
        <v>0</v>
      </c>
      <c r="AQ67" s="391"/>
      <c r="AR67" s="392">
        <v>0</v>
      </c>
      <c r="AS67" s="391">
        <f t="shared" si="115"/>
        <v>0</v>
      </c>
      <c r="AT67" s="392">
        <v>0</v>
      </c>
      <c r="AU67" s="391">
        <f t="shared" si="116"/>
        <v>0</v>
      </c>
      <c r="AV67" s="392">
        <v>0</v>
      </c>
      <c r="AW67" s="391">
        <f t="shared" si="117"/>
        <v>0</v>
      </c>
      <c r="AX67" s="391">
        <v>0</v>
      </c>
      <c r="AY67" s="391">
        <f t="shared" si="118"/>
        <v>0</v>
      </c>
      <c r="AZ67" s="392">
        <v>0</v>
      </c>
      <c r="BA67" s="391">
        <f t="shared" si="119"/>
        <v>0</v>
      </c>
      <c r="BB67" s="392">
        <v>0</v>
      </c>
      <c r="BC67" s="391">
        <f t="shared" si="139"/>
        <v>0</v>
      </c>
      <c r="BD67" s="392">
        <v>0</v>
      </c>
      <c r="BE67" s="391">
        <f t="shared" si="140"/>
        <v>0</v>
      </c>
      <c r="BF67" s="392">
        <v>0</v>
      </c>
      <c r="BG67" s="391">
        <f t="shared" si="120"/>
        <v>0</v>
      </c>
      <c r="BH67" s="392"/>
      <c r="BI67" s="391">
        <f t="shared" si="121"/>
        <v>0</v>
      </c>
      <c r="BJ67" s="392">
        <f>Z67+AB67+AD67+AF67+AH67+AJ67+AL67+AN67+AP67+AR67+AT67+AV67+AX67+AZ67+BB67+BD67+BF67+BH67</f>
        <v>0</v>
      </c>
      <c r="BK67" s="392">
        <f t="shared" si="123"/>
        <v>0</v>
      </c>
      <c r="BL67" s="326"/>
      <c r="BM67" s="359"/>
      <c r="BN67" s="396"/>
      <c r="BO67" s="252"/>
      <c r="BP67" s="252"/>
      <c r="BQ67" s="252"/>
      <c r="BR67" s="251"/>
      <c r="BS67" s="252"/>
      <c r="BT67" s="252"/>
      <c r="BU67" s="251"/>
      <c r="BV67" s="393"/>
    </row>
    <row r="68" spans="1:74" s="376" customFormat="1" x14ac:dyDescent="0.25">
      <c r="A68" s="394"/>
      <c r="B68" s="377"/>
      <c r="C68" s="408" t="s">
        <v>574</v>
      </c>
      <c r="D68" s="408" t="s">
        <v>519</v>
      </c>
      <c r="E68" s="409">
        <v>9000</v>
      </c>
      <c r="F68" s="395">
        <f t="shared" ref="F68" si="144">BJ68</f>
        <v>0</v>
      </c>
      <c r="G68" s="396">
        <f t="shared" ref="G68" si="145">BK68</f>
        <v>0</v>
      </c>
      <c r="H68" s="396"/>
      <c r="I68" s="396"/>
      <c r="J68" s="396"/>
      <c r="K68" s="396"/>
      <c r="L68" s="396"/>
      <c r="M68" s="396"/>
      <c r="N68" s="396"/>
      <c r="O68" s="396"/>
      <c r="P68" s="396"/>
      <c r="Q68" s="396">
        <f>G68*1</f>
        <v>0</v>
      </c>
      <c r="R68" s="392">
        <f>F68*0.35</f>
        <v>0</v>
      </c>
      <c r="S68" s="392">
        <f>F68*0.1</f>
        <v>0</v>
      </c>
      <c r="T68" s="392">
        <f>F68:F68*0.15</f>
        <v>0</v>
      </c>
      <c r="U68" s="392">
        <f>F68*0.4</f>
        <v>0</v>
      </c>
      <c r="V68" s="391">
        <v>0</v>
      </c>
      <c r="W68" s="391">
        <f>S68*E68</f>
        <v>0</v>
      </c>
      <c r="X68" s="391">
        <f>T68*E68</f>
        <v>0</v>
      </c>
      <c r="Y68" s="391">
        <f>U68*E68</f>
        <v>0</v>
      </c>
      <c r="Z68" s="415">
        <v>0</v>
      </c>
      <c r="AA68" s="391">
        <f t="shared" si="142"/>
        <v>0</v>
      </c>
      <c r="AB68" s="392">
        <v>0</v>
      </c>
      <c r="AC68" s="392">
        <f t="shared" si="109"/>
        <v>0</v>
      </c>
      <c r="AD68" s="392">
        <v>0</v>
      </c>
      <c r="AE68" s="391">
        <f t="shared" si="110"/>
        <v>0</v>
      </c>
      <c r="AF68" s="416">
        <v>0</v>
      </c>
      <c r="AG68" s="391">
        <f t="shared" si="111"/>
        <v>0</v>
      </c>
      <c r="AH68" s="392">
        <v>0</v>
      </c>
      <c r="AI68" s="391">
        <f t="shared" si="112"/>
        <v>0</v>
      </c>
      <c r="AJ68" s="392">
        <v>0</v>
      </c>
      <c r="AK68" s="391">
        <f t="shared" si="138"/>
        <v>0</v>
      </c>
      <c r="AL68" s="392">
        <v>0</v>
      </c>
      <c r="AM68" s="391">
        <f t="shared" si="141"/>
        <v>0</v>
      </c>
      <c r="AN68" s="392">
        <v>0</v>
      </c>
      <c r="AO68" s="391">
        <f>AN68*E68</f>
        <v>0</v>
      </c>
      <c r="AP68" s="416">
        <v>0</v>
      </c>
      <c r="AQ68" s="391">
        <f t="shared" si="114"/>
        <v>0</v>
      </c>
      <c r="AR68" s="392">
        <v>0</v>
      </c>
      <c r="AS68" s="391">
        <f t="shared" si="115"/>
        <v>0</v>
      </c>
      <c r="AT68" s="392">
        <v>0</v>
      </c>
      <c r="AU68" s="391">
        <f t="shared" si="116"/>
        <v>0</v>
      </c>
      <c r="AV68" s="392">
        <v>0</v>
      </c>
      <c r="AW68" s="391">
        <f t="shared" si="117"/>
        <v>0</v>
      </c>
      <c r="AX68" s="391">
        <v>0</v>
      </c>
      <c r="AY68" s="391">
        <f t="shared" si="118"/>
        <v>0</v>
      </c>
      <c r="AZ68" s="392">
        <v>0</v>
      </c>
      <c r="BA68" s="391">
        <f t="shared" si="119"/>
        <v>0</v>
      </c>
      <c r="BB68" s="392">
        <v>0</v>
      </c>
      <c r="BC68" s="391">
        <f t="shared" si="139"/>
        <v>0</v>
      </c>
      <c r="BD68" s="392">
        <v>0</v>
      </c>
      <c r="BE68" s="391">
        <f>BD68*E68</f>
        <v>0</v>
      </c>
      <c r="BF68" s="392">
        <v>0</v>
      </c>
      <c r="BG68" s="391">
        <f t="shared" si="120"/>
        <v>0</v>
      </c>
      <c r="BH68" s="392"/>
      <c r="BI68" s="391">
        <f t="shared" si="121"/>
        <v>0</v>
      </c>
      <c r="BJ68" s="392">
        <f>Z68+AB68+AD68+AF68+AH68+AJ68+AL68+AN68+AP68+AR68+AT68+AV68+AX68+AZ68+BB68+BD68+BF68+BH68</f>
        <v>0</v>
      </c>
      <c r="BK68" s="392">
        <f t="shared" si="123"/>
        <v>0</v>
      </c>
      <c r="BL68" s="326" t="s">
        <v>573</v>
      </c>
      <c r="BM68" s="359"/>
      <c r="BN68" s="396"/>
      <c r="BO68" s="252">
        <f>G68</f>
        <v>0</v>
      </c>
      <c r="BP68" s="252"/>
      <c r="BQ68" s="252"/>
      <c r="BR68" s="251">
        <f t="shared" si="125"/>
        <v>0</v>
      </c>
      <c r="BS68" s="252"/>
      <c r="BT68" s="252"/>
      <c r="BU68" s="251"/>
      <c r="BV68" s="393">
        <f t="shared" si="126"/>
        <v>0</v>
      </c>
    </row>
    <row r="69" spans="1:74" s="376" customFormat="1" ht="37.5" customHeight="1" x14ac:dyDescent="0.25">
      <c r="A69" s="394"/>
      <c r="B69" s="377"/>
      <c r="C69" s="408" t="s">
        <v>894</v>
      </c>
      <c r="D69" s="408" t="s">
        <v>238</v>
      </c>
      <c r="E69" s="409">
        <v>500000</v>
      </c>
      <c r="F69" s="395">
        <f t="shared" ref="F69:F77" si="146">BJ69</f>
        <v>0</v>
      </c>
      <c r="G69" s="396">
        <f t="shared" si="128"/>
        <v>0</v>
      </c>
      <c r="H69" s="396"/>
      <c r="I69" s="396"/>
      <c r="J69" s="397"/>
      <c r="K69" s="397"/>
      <c r="L69" s="397">
        <f>G69</f>
        <v>0</v>
      </c>
      <c r="M69" s="397"/>
      <c r="N69" s="396"/>
      <c r="O69" s="396"/>
      <c r="P69" s="396"/>
      <c r="Q69" s="396"/>
      <c r="R69" s="392">
        <f t="shared" ref="R69:R77" si="147">F69*0.35</f>
        <v>0</v>
      </c>
      <c r="S69" s="392">
        <f t="shared" ref="S69:S77" si="148">F69*0.1</f>
        <v>0</v>
      </c>
      <c r="T69" s="392">
        <f t="shared" ref="T69:T77" si="149">F69:F69*0.15</f>
        <v>0</v>
      </c>
      <c r="U69" s="392">
        <f t="shared" ref="U69:U77" si="150">F69*0.4</f>
        <v>0</v>
      </c>
      <c r="V69" s="391">
        <f>R69*E69</f>
        <v>0</v>
      </c>
      <c r="W69" s="391">
        <f t="shared" ref="W69:W77" si="151">S69*E69</f>
        <v>0</v>
      </c>
      <c r="X69" s="391">
        <f t="shared" ref="X69:X77" si="152">T69*E69</f>
        <v>0</v>
      </c>
      <c r="Y69" s="391">
        <f t="shared" ref="Y69:Y77" si="153">U69*E69</f>
        <v>0</v>
      </c>
      <c r="Z69" s="392">
        <v>0</v>
      </c>
      <c r="AA69" s="391">
        <f t="shared" si="142"/>
        <v>0</v>
      </c>
      <c r="AB69" s="392">
        <v>0</v>
      </c>
      <c r="AC69" s="391">
        <f t="shared" si="109"/>
        <v>0</v>
      </c>
      <c r="AD69" s="392">
        <v>0</v>
      </c>
      <c r="AE69" s="391">
        <f t="shared" si="110"/>
        <v>0</v>
      </c>
      <c r="AF69" s="392">
        <v>0</v>
      </c>
      <c r="AG69" s="391">
        <f t="shared" si="111"/>
        <v>0</v>
      </c>
      <c r="AH69" s="392">
        <v>0</v>
      </c>
      <c r="AI69" s="391">
        <f t="shared" si="112"/>
        <v>0</v>
      </c>
      <c r="AJ69" s="392">
        <v>0</v>
      </c>
      <c r="AK69" s="391">
        <f t="shared" si="138"/>
        <v>0</v>
      </c>
      <c r="AL69" s="392">
        <v>0</v>
      </c>
      <c r="AM69" s="391">
        <f t="shared" si="141"/>
        <v>0</v>
      </c>
      <c r="AN69" s="392">
        <v>0</v>
      </c>
      <c r="AO69" s="391">
        <f t="shared" ref="AO69:AO77" si="154">AN69*E69</f>
        <v>0</v>
      </c>
      <c r="AP69" s="392">
        <v>0</v>
      </c>
      <c r="AQ69" s="391">
        <f t="shared" si="114"/>
        <v>0</v>
      </c>
      <c r="AR69" s="392">
        <v>0</v>
      </c>
      <c r="AS69" s="391">
        <f t="shared" si="115"/>
        <v>0</v>
      </c>
      <c r="AT69" s="392">
        <v>0</v>
      </c>
      <c r="AU69" s="391">
        <f t="shared" si="116"/>
        <v>0</v>
      </c>
      <c r="AV69" s="392">
        <v>0</v>
      </c>
      <c r="AW69" s="391">
        <f t="shared" si="117"/>
        <v>0</v>
      </c>
      <c r="AX69" s="391">
        <v>0</v>
      </c>
      <c r="AY69" s="391">
        <f t="shared" si="118"/>
        <v>0</v>
      </c>
      <c r="AZ69" s="392">
        <v>0</v>
      </c>
      <c r="BA69" s="391">
        <f t="shared" si="119"/>
        <v>0</v>
      </c>
      <c r="BB69" s="392">
        <v>0</v>
      </c>
      <c r="BC69" s="391">
        <f t="shared" si="139"/>
        <v>0</v>
      </c>
      <c r="BD69" s="392">
        <v>0</v>
      </c>
      <c r="BE69" s="391">
        <f t="shared" ref="BE69:BE77" si="155">BD69*E69</f>
        <v>0</v>
      </c>
      <c r="BF69" s="392">
        <v>0</v>
      </c>
      <c r="BG69" s="391">
        <f t="shared" si="120"/>
        <v>0</v>
      </c>
      <c r="BH69" s="392"/>
      <c r="BI69" s="391">
        <f t="shared" si="121"/>
        <v>0</v>
      </c>
      <c r="BJ69" s="392">
        <f t="shared" si="122"/>
        <v>0</v>
      </c>
      <c r="BK69" s="392">
        <f t="shared" si="123"/>
        <v>0</v>
      </c>
      <c r="BL69" s="326" t="s">
        <v>515</v>
      </c>
      <c r="BM69" s="400"/>
      <c r="BN69" s="396">
        <f t="shared" ref="BN69:BN75" si="156">G69</f>
        <v>0</v>
      </c>
      <c r="BO69" s="252"/>
      <c r="BP69" s="252"/>
      <c r="BQ69" s="252"/>
      <c r="BR69" s="251">
        <f t="shared" si="125"/>
        <v>0</v>
      </c>
      <c r="BS69" s="252"/>
      <c r="BT69" s="252"/>
      <c r="BU69" s="251"/>
      <c r="BV69" s="393">
        <f t="shared" si="126"/>
        <v>0</v>
      </c>
    </row>
    <row r="70" spans="1:74" s="376" customFormat="1" ht="36" customHeight="1" x14ac:dyDescent="0.25">
      <c r="A70" s="394"/>
      <c r="B70" s="377"/>
      <c r="C70" s="408" t="s">
        <v>895</v>
      </c>
      <c r="D70" s="408" t="s">
        <v>238</v>
      </c>
      <c r="E70" s="409">
        <v>100000</v>
      </c>
      <c r="F70" s="395">
        <f t="shared" si="146"/>
        <v>0</v>
      </c>
      <c r="G70" s="396">
        <f t="shared" si="128"/>
        <v>0</v>
      </c>
      <c r="H70" s="396"/>
      <c r="I70" s="396"/>
      <c r="J70" s="397"/>
      <c r="K70" s="397"/>
      <c r="L70" s="397">
        <f>G70</f>
        <v>0</v>
      </c>
      <c r="M70" s="397"/>
      <c r="N70" s="396"/>
      <c r="O70" s="396"/>
      <c r="P70" s="396"/>
      <c r="Q70" s="396"/>
      <c r="R70" s="392">
        <f t="shared" si="147"/>
        <v>0</v>
      </c>
      <c r="S70" s="392">
        <f t="shared" si="148"/>
        <v>0</v>
      </c>
      <c r="T70" s="392">
        <f t="shared" si="149"/>
        <v>0</v>
      </c>
      <c r="U70" s="392">
        <f t="shared" si="150"/>
        <v>0</v>
      </c>
      <c r="V70" s="391">
        <f>R70*E70</f>
        <v>0</v>
      </c>
      <c r="W70" s="391">
        <f t="shared" si="151"/>
        <v>0</v>
      </c>
      <c r="X70" s="391">
        <f t="shared" si="152"/>
        <v>0</v>
      </c>
      <c r="Y70" s="391">
        <f t="shared" si="153"/>
        <v>0</v>
      </c>
      <c r="Z70" s="392">
        <v>0</v>
      </c>
      <c r="AA70" s="391">
        <f t="shared" si="142"/>
        <v>0</v>
      </c>
      <c r="AB70" s="392">
        <v>0</v>
      </c>
      <c r="AC70" s="391">
        <f t="shared" si="109"/>
        <v>0</v>
      </c>
      <c r="AD70" s="392">
        <v>0</v>
      </c>
      <c r="AE70" s="391">
        <f t="shared" si="110"/>
        <v>0</v>
      </c>
      <c r="AF70" s="392">
        <v>0</v>
      </c>
      <c r="AG70" s="391">
        <f t="shared" si="111"/>
        <v>0</v>
      </c>
      <c r="AH70" s="392">
        <v>0</v>
      </c>
      <c r="AI70" s="391">
        <f t="shared" si="112"/>
        <v>0</v>
      </c>
      <c r="AJ70" s="392">
        <v>0</v>
      </c>
      <c r="AK70" s="391">
        <f t="shared" si="138"/>
        <v>0</v>
      </c>
      <c r="AL70" s="392">
        <v>0</v>
      </c>
      <c r="AM70" s="391">
        <f t="shared" si="141"/>
        <v>0</v>
      </c>
      <c r="AN70" s="392">
        <v>0</v>
      </c>
      <c r="AO70" s="391">
        <f t="shared" si="154"/>
        <v>0</v>
      </c>
      <c r="AP70" s="392">
        <v>0</v>
      </c>
      <c r="AQ70" s="391">
        <f t="shared" si="114"/>
        <v>0</v>
      </c>
      <c r="AR70" s="392">
        <v>0</v>
      </c>
      <c r="AS70" s="391">
        <f t="shared" si="115"/>
        <v>0</v>
      </c>
      <c r="AT70" s="392">
        <v>0</v>
      </c>
      <c r="AU70" s="391">
        <f t="shared" si="116"/>
        <v>0</v>
      </c>
      <c r="AV70" s="392">
        <v>0</v>
      </c>
      <c r="AW70" s="391">
        <f t="shared" si="117"/>
        <v>0</v>
      </c>
      <c r="AX70" s="391">
        <v>0</v>
      </c>
      <c r="AY70" s="391">
        <f t="shared" si="118"/>
        <v>0</v>
      </c>
      <c r="AZ70" s="392">
        <v>0</v>
      </c>
      <c r="BA70" s="391">
        <f t="shared" si="119"/>
        <v>0</v>
      </c>
      <c r="BB70" s="392">
        <v>0</v>
      </c>
      <c r="BC70" s="391">
        <f t="shared" si="139"/>
        <v>0</v>
      </c>
      <c r="BD70" s="392">
        <v>0</v>
      </c>
      <c r="BE70" s="391">
        <f t="shared" si="155"/>
        <v>0</v>
      </c>
      <c r="BF70" s="392">
        <v>0</v>
      </c>
      <c r="BG70" s="391">
        <f t="shared" si="120"/>
        <v>0</v>
      </c>
      <c r="BH70" s="392">
        <v>0</v>
      </c>
      <c r="BI70" s="391">
        <f t="shared" si="121"/>
        <v>0</v>
      </c>
      <c r="BJ70" s="392">
        <f t="shared" si="122"/>
        <v>0</v>
      </c>
      <c r="BK70" s="392">
        <f t="shared" si="123"/>
        <v>0</v>
      </c>
      <c r="BL70" s="326" t="s">
        <v>515</v>
      </c>
      <c r="BM70" s="400"/>
      <c r="BN70" s="396">
        <f t="shared" si="156"/>
        <v>0</v>
      </c>
      <c r="BO70" s="252"/>
      <c r="BP70" s="252"/>
      <c r="BQ70" s="252"/>
      <c r="BR70" s="251">
        <f t="shared" si="125"/>
        <v>0</v>
      </c>
      <c r="BS70" s="252"/>
      <c r="BT70" s="252"/>
      <c r="BU70" s="251"/>
      <c r="BV70" s="393">
        <f t="shared" si="126"/>
        <v>0</v>
      </c>
    </row>
    <row r="71" spans="1:74" s="376" customFormat="1" x14ac:dyDescent="0.25">
      <c r="A71" s="394"/>
      <c r="B71" s="377"/>
      <c r="C71" s="408" t="s">
        <v>257</v>
      </c>
      <c r="D71" s="408" t="s">
        <v>238</v>
      </c>
      <c r="E71" s="409">
        <v>400000</v>
      </c>
      <c r="F71" s="395">
        <f t="shared" si="146"/>
        <v>21</v>
      </c>
      <c r="G71" s="396">
        <f>BK71</f>
        <v>8400000</v>
      </c>
      <c r="H71" s="396"/>
      <c r="I71" s="396"/>
      <c r="J71" s="397"/>
      <c r="K71" s="397"/>
      <c r="L71" s="397"/>
      <c r="M71" s="397">
        <f t="shared" ref="M71:M75" si="157">G71</f>
        <v>8400000</v>
      </c>
      <c r="N71" s="396"/>
      <c r="O71" s="396"/>
      <c r="P71" s="396"/>
      <c r="Q71" s="396"/>
      <c r="R71" s="392">
        <f t="shared" si="147"/>
        <v>7.35</v>
      </c>
      <c r="S71" s="392">
        <f t="shared" si="148"/>
        <v>2.1</v>
      </c>
      <c r="T71" s="392">
        <f t="shared" si="149"/>
        <v>3.15</v>
      </c>
      <c r="U71" s="392">
        <f t="shared" si="150"/>
        <v>8.4</v>
      </c>
      <c r="V71" s="391">
        <f>G71*0</f>
        <v>0</v>
      </c>
      <c r="W71" s="391">
        <f>G71:G71*0.5</f>
        <v>4200000</v>
      </c>
      <c r="X71" s="391">
        <f>G71*0.25</f>
        <v>2100000</v>
      </c>
      <c r="Y71" s="391">
        <f>G71*0.25</f>
        <v>2100000</v>
      </c>
      <c r="Z71" s="392">
        <v>0</v>
      </c>
      <c r="AA71" s="391">
        <f t="shared" si="142"/>
        <v>0</v>
      </c>
      <c r="AB71" s="392">
        <v>0</v>
      </c>
      <c r="AC71" s="391">
        <f t="shared" si="109"/>
        <v>0</v>
      </c>
      <c r="AD71" s="392">
        <v>1</v>
      </c>
      <c r="AE71" s="391">
        <f t="shared" si="110"/>
        <v>400000</v>
      </c>
      <c r="AF71" s="392">
        <v>2</v>
      </c>
      <c r="AG71" s="391">
        <f t="shared" si="111"/>
        <v>800000</v>
      </c>
      <c r="AH71" s="392">
        <v>0</v>
      </c>
      <c r="AI71" s="391">
        <f>AH71*E71</f>
        <v>0</v>
      </c>
      <c r="AJ71" s="392">
        <v>2</v>
      </c>
      <c r="AK71" s="391">
        <f t="shared" si="138"/>
        <v>800000</v>
      </c>
      <c r="AL71" s="392">
        <v>2</v>
      </c>
      <c r="AM71" s="391">
        <f t="shared" si="141"/>
        <v>800000</v>
      </c>
      <c r="AN71" s="392">
        <v>0</v>
      </c>
      <c r="AO71" s="391">
        <f t="shared" si="154"/>
        <v>0</v>
      </c>
      <c r="AP71" s="392">
        <v>0</v>
      </c>
      <c r="AQ71" s="391">
        <f t="shared" si="114"/>
        <v>0</v>
      </c>
      <c r="AR71" s="392">
        <v>2</v>
      </c>
      <c r="AS71" s="391">
        <f t="shared" si="115"/>
        <v>800000</v>
      </c>
      <c r="AT71" s="392">
        <v>2</v>
      </c>
      <c r="AU71" s="391">
        <f t="shared" si="116"/>
        <v>800000</v>
      </c>
      <c r="AV71" s="392">
        <v>2</v>
      </c>
      <c r="AW71" s="391">
        <f t="shared" si="117"/>
        <v>800000</v>
      </c>
      <c r="AX71" s="391">
        <v>2</v>
      </c>
      <c r="AY71" s="391">
        <f t="shared" si="118"/>
        <v>800000</v>
      </c>
      <c r="AZ71" s="392">
        <v>2</v>
      </c>
      <c r="BA71" s="391">
        <f t="shared" si="119"/>
        <v>800000</v>
      </c>
      <c r="BB71" s="392">
        <v>2</v>
      </c>
      <c r="BC71" s="391">
        <f t="shared" si="139"/>
        <v>800000</v>
      </c>
      <c r="BD71" s="392">
        <v>0</v>
      </c>
      <c r="BE71" s="391">
        <f t="shared" si="155"/>
        <v>0</v>
      </c>
      <c r="BF71" s="392">
        <v>2</v>
      </c>
      <c r="BG71" s="391">
        <f t="shared" si="120"/>
        <v>800000</v>
      </c>
      <c r="BH71" s="392"/>
      <c r="BI71" s="391">
        <f t="shared" si="121"/>
        <v>0</v>
      </c>
      <c r="BJ71" s="392">
        <f t="shared" si="122"/>
        <v>21</v>
      </c>
      <c r="BK71" s="392">
        <f t="shared" si="123"/>
        <v>8400000</v>
      </c>
      <c r="BL71" s="326" t="s">
        <v>522</v>
      </c>
      <c r="BM71" s="400"/>
      <c r="BN71" s="396">
        <f t="shared" si="156"/>
        <v>8400000</v>
      </c>
      <c r="BO71" s="252"/>
      <c r="BP71" s="252"/>
      <c r="BQ71" s="252"/>
      <c r="BR71" s="251">
        <f t="shared" si="125"/>
        <v>8400000</v>
      </c>
      <c r="BS71" s="252"/>
      <c r="BT71" s="252"/>
      <c r="BU71" s="251"/>
      <c r="BV71" s="393">
        <f t="shared" ref="BV71:BV77" si="158">BR71+BU71</f>
        <v>8400000</v>
      </c>
    </row>
    <row r="72" spans="1:74" s="376" customFormat="1" ht="15.75" customHeight="1" x14ac:dyDescent="0.25">
      <c r="A72" s="394"/>
      <c r="B72" s="377"/>
      <c r="C72" s="408" t="s">
        <v>562</v>
      </c>
      <c r="D72" s="408" t="s">
        <v>238</v>
      </c>
      <c r="E72" s="409">
        <v>200000</v>
      </c>
      <c r="F72" s="395">
        <f t="shared" si="146"/>
        <v>0</v>
      </c>
      <c r="G72" s="396">
        <f>F72*E72</f>
        <v>0</v>
      </c>
      <c r="H72" s="396"/>
      <c r="I72" s="396"/>
      <c r="J72" s="397"/>
      <c r="K72" s="397"/>
      <c r="L72" s="397"/>
      <c r="M72" s="397">
        <f t="shared" si="157"/>
        <v>0</v>
      </c>
      <c r="N72" s="396"/>
      <c r="O72" s="396"/>
      <c r="P72" s="396"/>
      <c r="Q72" s="396"/>
      <c r="R72" s="392">
        <f t="shared" si="147"/>
        <v>0</v>
      </c>
      <c r="S72" s="392">
        <f t="shared" si="148"/>
        <v>0</v>
      </c>
      <c r="T72" s="392">
        <f t="shared" si="149"/>
        <v>0</v>
      </c>
      <c r="U72" s="392">
        <f t="shared" si="150"/>
        <v>0</v>
      </c>
      <c r="V72" s="391">
        <f t="shared" ref="V72:V77" si="159">R72*E72</f>
        <v>0</v>
      </c>
      <c r="W72" s="391">
        <f t="shared" si="151"/>
        <v>0</v>
      </c>
      <c r="X72" s="391">
        <f t="shared" si="152"/>
        <v>0</v>
      </c>
      <c r="Y72" s="391">
        <f t="shared" si="153"/>
        <v>0</v>
      </c>
      <c r="Z72" s="392">
        <v>0</v>
      </c>
      <c r="AA72" s="391">
        <f t="shared" si="142"/>
        <v>0</v>
      </c>
      <c r="AB72" s="392">
        <v>0</v>
      </c>
      <c r="AC72" s="391">
        <f t="shared" si="109"/>
        <v>0</v>
      </c>
      <c r="AD72" s="392">
        <v>0</v>
      </c>
      <c r="AE72" s="391">
        <f t="shared" si="110"/>
        <v>0</v>
      </c>
      <c r="AF72" s="392">
        <v>0</v>
      </c>
      <c r="AG72" s="391">
        <f t="shared" si="111"/>
        <v>0</v>
      </c>
      <c r="AH72" s="392">
        <v>0</v>
      </c>
      <c r="AI72" s="391">
        <f t="shared" si="112"/>
        <v>0</v>
      </c>
      <c r="AJ72" s="392">
        <v>0</v>
      </c>
      <c r="AK72" s="391">
        <f t="shared" si="138"/>
        <v>0</v>
      </c>
      <c r="AL72" s="392">
        <v>0</v>
      </c>
      <c r="AM72" s="391">
        <f t="shared" si="141"/>
        <v>0</v>
      </c>
      <c r="AN72" s="392">
        <v>0</v>
      </c>
      <c r="AO72" s="391">
        <f t="shared" si="154"/>
        <v>0</v>
      </c>
      <c r="AP72" s="392">
        <v>0</v>
      </c>
      <c r="AQ72" s="391">
        <f t="shared" si="114"/>
        <v>0</v>
      </c>
      <c r="AR72" s="392">
        <v>0</v>
      </c>
      <c r="AS72" s="391">
        <f t="shared" si="115"/>
        <v>0</v>
      </c>
      <c r="AT72" s="392">
        <v>0</v>
      </c>
      <c r="AU72" s="391">
        <f t="shared" si="116"/>
        <v>0</v>
      </c>
      <c r="AV72" s="392">
        <v>0</v>
      </c>
      <c r="AW72" s="391">
        <f t="shared" si="117"/>
        <v>0</v>
      </c>
      <c r="AX72" s="391">
        <v>0</v>
      </c>
      <c r="AY72" s="391">
        <f t="shared" si="118"/>
        <v>0</v>
      </c>
      <c r="AZ72" s="392">
        <v>0</v>
      </c>
      <c r="BA72" s="391">
        <f t="shared" si="119"/>
        <v>0</v>
      </c>
      <c r="BB72" s="392">
        <v>0</v>
      </c>
      <c r="BC72" s="391">
        <f t="shared" si="139"/>
        <v>0</v>
      </c>
      <c r="BD72" s="392">
        <v>0</v>
      </c>
      <c r="BE72" s="391">
        <f t="shared" si="155"/>
        <v>0</v>
      </c>
      <c r="BF72" s="392">
        <v>0</v>
      </c>
      <c r="BG72" s="391">
        <f t="shared" si="120"/>
        <v>0</v>
      </c>
      <c r="BH72" s="392"/>
      <c r="BI72" s="391">
        <f t="shared" si="121"/>
        <v>0</v>
      </c>
      <c r="BJ72" s="392">
        <f t="shared" si="122"/>
        <v>0</v>
      </c>
      <c r="BK72" s="392">
        <f t="shared" si="123"/>
        <v>0</v>
      </c>
      <c r="BL72" s="326" t="s">
        <v>276</v>
      </c>
      <c r="BM72" s="400"/>
      <c r="BN72" s="396">
        <f t="shared" si="156"/>
        <v>0</v>
      </c>
      <c r="BO72" s="252"/>
      <c r="BP72" s="252"/>
      <c r="BQ72" s="252"/>
      <c r="BR72" s="251">
        <f t="shared" ref="BR72:BR77" si="160">BN72+BO72+BP72+BQ72</f>
        <v>0</v>
      </c>
      <c r="BS72" s="252"/>
      <c r="BT72" s="252"/>
      <c r="BU72" s="251"/>
      <c r="BV72" s="393">
        <f t="shared" si="158"/>
        <v>0</v>
      </c>
    </row>
    <row r="73" spans="1:74" s="376" customFormat="1" x14ac:dyDescent="0.25">
      <c r="A73" s="394"/>
      <c r="B73" s="377"/>
      <c r="C73" s="408" t="s">
        <v>283</v>
      </c>
      <c r="D73" s="408" t="s">
        <v>238</v>
      </c>
      <c r="E73" s="409">
        <v>60000</v>
      </c>
      <c r="F73" s="395">
        <f t="shared" si="146"/>
        <v>5</v>
      </c>
      <c r="G73" s="396">
        <f>F73*E73</f>
        <v>300000</v>
      </c>
      <c r="H73" s="396"/>
      <c r="I73" s="396"/>
      <c r="J73" s="397"/>
      <c r="K73" s="397"/>
      <c r="L73" s="397"/>
      <c r="M73" s="397">
        <f t="shared" si="157"/>
        <v>300000</v>
      </c>
      <c r="N73" s="396"/>
      <c r="O73" s="396"/>
      <c r="P73" s="396"/>
      <c r="Q73" s="396"/>
      <c r="R73" s="392">
        <f t="shared" si="147"/>
        <v>1.75</v>
      </c>
      <c r="S73" s="392">
        <f t="shared" si="148"/>
        <v>0.5</v>
      </c>
      <c r="T73" s="392">
        <f t="shared" si="149"/>
        <v>0.75</v>
      </c>
      <c r="U73" s="392">
        <f t="shared" si="150"/>
        <v>2</v>
      </c>
      <c r="V73" s="391">
        <f t="shared" si="159"/>
        <v>105000</v>
      </c>
      <c r="W73" s="391">
        <f t="shared" si="151"/>
        <v>30000</v>
      </c>
      <c r="X73" s="391">
        <f t="shared" si="152"/>
        <v>45000</v>
      </c>
      <c r="Y73" s="391">
        <f t="shared" si="153"/>
        <v>120000</v>
      </c>
      <c r="Z73" s="392">
        <v>0</v>
      </c>
      <c r="AA73" s="391">
        <f t="shared" si="142"/>
        <v>0</v>
      </c>
      <c r="AB73" s="392">
        <v>0</v>
      </c>
      <c r="AC73" s="391">
        <f t="shared" si="109"/>
        <v>0</v>
      </c>
      <c r="AD73" s="392">
        <v>0</v>
      </c>
      <c r="AE73" s="391">
        <f t="shared" si="110"/>
        <v>0</v>
      </c>
      <c r="AF73" s="392">
        <v>5</v>
      </c>
      <c r="AG73" s="391">
        <f t="shared" si="111"/>
        <v>300000</v>
      </c>
      <c r="AH73" s="392">
        <v>0</v>
      </c>
      <c r="AI73" s="391">
        <f t="shared" si="112"/>
        <v>0</v>
      </c>
      <c r="AJ73" s="392">
        <v>0</v>
      </c>
      <c r="AK73" s="391">
        <f t="shared" si="138"/>
        <v>0</v>
      </c>
      <c r="AL73" s="392"/>
      <c r="AM73" s="391">
        <f t="shared" si="141"/>
        <v>0</v>
      </c>
      <c r="AN73" s="392">
        <v>0</v>
      </c>
      <c r="AO73" s="391">
        <f t="shared" si="154"/>
        <v>0</v>
      </c>
      <c r="AP73" s="392">
        <v>0</v>
      </c>
      <c r="AQ73" s="391">
        <f t="shared" si="114"/>
        <v>0</v>
      </c>
      <c r="AR73" s="392">
        <v>0</v>
      </c>
      <c r="AS73" s="391">
        <f t="shared" si="115"/>
        <v>0</v>
      </c>
      <c r="AT73" s="392">
        <v>0</v>
      </c>
      <c r="AU73" s="391">
        <f t="shared" si="116"/>
        <v>0</v>
      </c>
      <c r="AV73" s="392">
        <v>0</v>
      </c>
      <c r="AW73" s="391">
        <f t="shared" si="117"/>
        <v>0</v>
      </c>
      <c r="AX73" s="391">
        <v>0</v>
      </c>
      <c r="AY73" s="391">
        <f t="shared" si="118"/>
        <v>0</v>
      </c>
      <c r="AZ73" s="392">
        <v>0</v>
      </c>
      <c r="BA73" s="391">
        <f t="shared" si="119"/>
        <v>0</v>
      </c>
      <c r="BB73" s="392">
        <v>0</v>
      </c>
      <c r="BC73" s="391">
        <f t="shared" si="139"/>
        <v>0</v>
      </c>
      <c r="BD73" s="392">
        <v>0</v>
      </c>
      <c r="BE73" s="391">
        <f t="shared" si="155"/>
        <v>0</v>
      </c>
      <c r="BF73" s="392">
        <v>0</v>
      </c>
      <c r="BG73" s="391">
        <f t="shared" si="120"/>
        <v>0</v>
      </c>
      <c r="BH73" s="392"/>
      <c r="BI73" s="391">
        <f t="shared" si="121"/>
        <v>0</v>
      </c>
      <c r="BJ73" s="392">
        <f t="shared" si="122"/>
        <v>5</v>
      </c>
      <c r="BK73" s="392">
        <f t="shared" si="123"/>
        <v>300000</v>
      </c>
      <c r="BL73" s="326" t="s">
        <v>276</v>
      </c>
      <c r="BM73" s="400"/>
      <c r="BN73" s="396">
        <f t="shared" si="156"/>
        <v>300000</v>
      </c>
      <c r="BO73" s="252"/>
      <c r="BP73" s="252"/>
      <c r="BQ73" s="252"/>
      <c r="BR73" s="251">
        <f t="shared" si="160"/>
        <v>300000</v>
      </c>
      <c r="BS73" s="252"/>
      <c r="BT73" s="252"/>
      <c r="BU73" s="251"/>
      <c r="BV73" s="393">
        <f t="shared" si="158"/>
        <v>300000</v>
      </c>
    </row>
    <row r="74" spans="1:74" s="376" customFormat="1" ht="31.5" x14ac:dyDescent="0.25">
      <c r="A74" s="394"/>
      <c r="B74" s="377"/>
      <c r="C74" s="408" t="s">
        <v>565</v>
      </c>
      <c r="D74" s="408" t="s">
        <v>238</v>
      </c>
      <c r="E74" s="409">
        <v>200000</v>
      </c>
      <c r="F74" s="395">
        <f t="shared" si="146"/>
        <v>3</v>
      </c>
      <c r="G74" s="396">
        <f>BK74</f>
        <v>600000</v>
      </c>
      <c r="H74" s="396"/>
      <c r="I74" s="396"/>
      <c r="J74" s="397"/>
      <c r="K74" s="397"/>
      <c r="L74" s="397"/>
      <c r="M74" s="397">
        <f t="shared" si="157"/>
        <v>600000</v>
      </c>
      <c r="N74" s="396"/>
      <c r="O74" s="396"/>
      <c r="P74" s="396"/>
      <c r="Q74" s="396"/>
      <c r="R74" s="392">
        <f t="shared" si="147"/>
        <v>1.0499999999999998</v>
      </c>
      <c r="S74" s="392">
        <f t="shared" si="148"/>
        <v>0.30000000000000004</v>
      </c>
      <c r="T74" s="392">
        <f t="shared" si="149"/>
        <v>0.44999999999999996</v>
      </c>
      <c r="U74" s="392">
        <f t="shared" si="150"/>
        <v>1.2000000000000002</v>
      </c>
      <c r="V74" s="391">
        <f t="shared" si="159"/>
        <v>209999.99999999997</v>
      </c>
      <c r="W74" s="391">
        <f t="shared" si="151"/>
        <v>60000.000000000007</v>
      </c>
      <c r="X74" s="391">
        <f t="shared" si="152"/>
        <v>89999.999999999985</v>
      </c>
      <c r="Y74" s="391">
        <f t="shared" si="153"/>
        <v>240000.00000000003</v>
      </c>
      <c r="Z74" s="392">
        <v>0</v>
      </c>
      <c r="AA74" s="391">
        <f t="shared" si="142"/>
        <v>0</v>
      </c>
      <c r="AB74" s="392">
        <v>0</v>
      </c>
      <c r="AC74" s="391">
        <f t="shared" si="109"/>
        <v>0</v>
      </c>
      <c r="AD74" s="392">
        <v>0</v>
      </c>
      <c r="AE74" s="391">
        <f t="shared" si="110"/>
        <v>0</v>
      </c>
      <c r="AF74" s="392">
        <v>1</v>
      </c>
      <c r="AG74" s="391">
        <f t="shared" si="111"/>
        <v>200000</v>
      </c>
      <c r="AH74" s="392">
        <v>0</v>
      </c>
      <c r="AI74" s="391">
        <f t="shared" si="112"/>
        <v>0</v>
      </c>
      <c r="AJ74" s="392">
        <v>0</v>
      </c>
      <c r="AK74" s="391">
        <f t="shared" si="138"/>
        <v>0</v>
      </c>
      <c r="AL74" s="392">
        <v>0</v>
      </c>
      <c r="AM74" s="391">
        <f t="shared" si="141"/>
        <v>0</v>
      </c>
      <c r="AN74" s="392">
        <v>0</v>
      </c>
      <c r="AO74" s="391">
        <f t="shared" si="154"/>
        <v>0</v>
      </c>
      <c r="AP74" s="392">
        <v>0</v>
      </c>
      <c r="AQ74" s="391">
        <f t="shared" si="114"/>
        <v>0</v>
      </c>
      <c r="AR74" s="392">
        <v>0</v>
      </c>
      <c r="AS74" s="391">
        <f t="shared" si="115"/>
        <v>0</v>
      </c>
      <c r="AT74" s="392">
        <v>0</v>
      </c>
      <c r="AU74" s="391">
        <f t="shared" si="116"/>
        <v>0</v>
      </c>
      <c r="AV74" s="392">
        <v>0</v>
      </c>
      <c r="AW74" s="391">
        <f t="shared" si="117"/>
        <v>0</v>
      </c>
      <c r="AX74" s="391">
        <v>0</v>
      </c>
      <c r="AY74" s="391">
        <f t="shared" si="118"/>
        <v>0</v>
      </c>
      <c r="AZ74" s="392">
        <v>1</v>
      </c>
      <c r="BA74" s="391">
        <f t="shared" si="119"/>
        <v>200000</v>
      </c>
      <c r="BB74" s="392">
        <v>1</v>
      </c>
      <c r="BC74" s="391">
        <f t="shared" si="139"/>
        <v>200000</v>
      </c>
      <c r="BD74" s="392">
        <v>0</v>
      </c>
      <c r="BE74" s="391">
        <f t="shared" si="155"/>
        <v>0</v>
      </c>
      <c r="BF74" s="392">
        <v>0</v>
      </c>
      <c r="BG74" s="391">
        <f t="shared" si="120"/>
        <v>0</v>
      </c>
      <c r="BH74" s="392"/>
      <c r="BI74" s="391">
        <f t="shared" si="121"/>
        <v>0</v>
      </c>
      <c r="BJ74" s="392">
        <f t="shared" si="122"/>
        <v>3</v>
      </c>
      <c r="BK74" s="392">
        <f t="shared" si="123"/>
        <v>600000</v>
      </c>
      <c r="BL74" s="326" t="s">
        <v>276</v>
      </c>
      <c r="BM74" s="400"/>
      <c r="BN74" s="396">
        <f t="shared" si="156"/>
        <v>600000</v>
      </c>
      <c r="BO74" s="252"/>
      <c r="BP74" s="252"/>
      <c r="BQ74" s="252"/>
      <c r="BR74" s="251">
        <f t="shared" si="160"/>
        <v>600000</v>
      </c>
      <c r="BS74" s="252"/>
      <c r="BT74" s="252"/>
      <c r="BU74" s="251"/>
      <c r="BV74" s="393">
        <f t="shared" si="158"/>
        <v>600000</v>
      </c>
    </row>
    <row r="75" spans="1:74" s="376" customFormat="1" x14ac:dyDescent="0.25">
      <c r="A75" s="394"/>
      <c r="B75" s="377"/>
      <c r="C75" s="408" t="s">
        <v>563</v>
      </c>
      <c r="D75" s="408" t="s">
        <v>238</v>
      </c>
      <c r="E75" s="409">
        <v>180000</v>
      </c>
      <c r="F75" s="395">
        <f t="shared" si="146"/>
        <v>17</v>
      </c>
      <c r="G75" s="396">
        <f>BK75</f>
        <v>3060000</v>
      </c>
      <c r="H75" s="396"/>
      <c r="I75" s="396"/>
      <c r="J75" s="397"/>
      <c r="K75" s="397"/>
      <c r="L75" s="397"/>
      <c r="M75" s="397">
        <f t="shared" si="157"/>
        <v>3060000</v>
      </c>
      <c r="N75" s="396"/>
      <c r="O75" s="396"/>
      <c r="P75" s="396"/>
      <c r="Q75" s="396"/>
      <c r="R75" s="392">
        <f t="shared" si="147"/>
        <v>5.9499999999999993</v>
      </c>
      <c r="S75" s="392">
        <f t="shared" si="148"/>
        <v>1.7000000000000002</v>
      </c>
      <c r="T75" s="392">
        <f t="shared" si="149"/>
        <v>2.5499999999999998</v>
      </c>
      <c r="U75" s="392">
        <f t="shared" si="150"/>
        <v>6.8000000000000007</v>
      </c>
      <c r="V75" s="391">
        <f>G75*0.25</f>
        <v>765000</v>
      </c>
      <c r="W75" s="391">
        <f>G75:G75*0.5</f>
        <v>1530000</v>
      </c>
      <c r="X75" s="391">
        <f>G75*0.25</f>
        <v>765000</v>
      </c>
      <c r="Y75" s="391">
        <f>G75*0</f>
        <v>0</v>
      </c>
      <c r="Z75" s="392">
        <v>3</v>
      </c>
      <c r="AA75" s="391">
        <f t="shared" si="142"/>
        <v>540000</v>
      </c>
      <c r="AB75" s="392">
        <v>0</v>
      </c>
      <c r="AC75" s="391">
        <f t="shared" si="109"/>
        <v>0</v>
      </c>
      <c r="AD75" s="392">
        <v>0</v>
      </c>
      <c r="AE75" s="391">
        <f t="shared" si="110"/>
        <v>0</v>
      </c>
      <c r="AF75" s="392">
        <v>0</v>
      </c>
      <c r="AG75" s="391">
        <f t="shared" si="111"/>
        <v>0</v>
      </c>
      <c r="AH75" s="392">
        <v>0</v>
      </c>
      <c r="AI75" s="391">
        <f t="shared" si="112"/>
        <v>0</v>
      </c>
      <c r="AJ75" s="392">
        <v>1</v>
      </c>
      <c r="AK75" s="391">
        <f t="shared" si="138"/>
        <v>180000</v>
      </c>
      <c r="AL75" s="392">
        <v>0</v>
      </c>
      <c r="AM75" s="391">
        <f t="shared" si="141"/>
        <v>0</v>
      </c>
      <c r="AN75" s="392">
        <v>4</v>
      </c>
      <c r="AO75" s="391">
        <f t="shared" si="154"/>
        <v>720000</v>
      </c>
      <c r="AP75" s="392">
        <v>0</v>
      </c>
      <c r="AQ75" s="391">
        <f t="shared" si="114"/>
        <v>0</v>
      </c>
      <c r="AR75" s="392">
        <v>3</v>
      </c>
      <c r="AS75" s="391">
        <f t="shared" si="115"/>
        <v>540000</v>
      </c>
      <c r="AT75" s="392">
        <v>0</v>
      </c>
      <c r="AU75" s="391">
        <f t="shared" si="116"/>
        <v>0</v>
      </c>
      <c r="AV75" s="392">
        <v>3</v>
      </c>
      <c r="AW75" s="391">
        <f t="shared" si="117"/>
        <v>540000</v>
      </c>
      <c r="AX75" s="391">
        <v>0</v>
      </c>
      <c r="AY75" s="391">
        <f t="shared" si="118"/>
        <v>0</v>
      </c>
      <c r="AZ75" s="392">
        <v>1</v>
      </c>
      <c r="BA75" s="391">
        <f t="shared" si="119"/>
        <v>180000</v>
      </c>
      <c r="BB75" s="392">
        <v>2</v>
      </c>
      <c r="BC75" s="391">
        <f>BB75*E75</f>
        <v>360000</v>
      </c>
      <c r="BD75" s="392">
        <v>0</v>
      </c>
      <c r="BE75" s="391">
        <f t="shared" si="155"/>
        <v>0</v>
      </c>
      <c r="BF75" s="392">
        <v>0</v>
      </c>
      <c r="BG75" s="391">
        <f t="shared" si="120"/>
        <v>0</v>
      </c>
      <c r="BH75" s="392"/>
      <c r="BI75" s="391">
        <f t="shared" si="121"/>
        <v>0</v>
      </c>
      <c r="BJ75" s="392">
        <f>BH75+BF75+BD75+BB75+AZ75+AX75+AV75+AT75+AR75+AP75+AN75+AL75+AJ75+AH75+AF75+AD75+AB75+Z75</f>
        <v>17</v>
      </c>
      <c r="BK75" s="392">
        <f t="shared" si="123"/>
        <v>3060000</v>
      </c>
      <c r="BL75" s="326" t="s">
        <v>276</v>
      </c>
      <c r="BM75" s="400"/>
      <c r="BN75" s="396">
        <f t="shared" si="156"/>
        <v>3060000</v>
      </c>
      <c r="BO75" s="252"/>
      <c r="BP75" s="252"/>
      <c r="BQ75" s="252"/>
      <c r="BR75" s="251">
        <f t="shared" si="160"/>
        <v>3060000</v>
      </c>
      <c r="BS75" s="252"/>
      <c r="BT75" s="252"/>
      <c r="BU75" s="251"/>
      <c r="BV75" s="393">
        <f t="shared" si="158"/>
        <v>3060000</v>
      </c>
    </row>
    <row r="76" spans="1:74" s="376" customFormat="1" x14ac:dyDescent="0.25">
      <c r="A76" s="394"/>
      <c r="B76" s="377"/>
      <c r="C76" s="408" t="s">
        <v>520</v>
      </c>
      <c r="D76" s="408" t="s">
        <v>570</v>
      </c>
      <c r="E76" s="409">
        <v>15000</v>
      </c>
      <c r="F76" s="395">
        <f t="shared" si="146"/>
        <v>0</v>
      </c>
      <c r="G76" s="396">
        <f>F76*E76</f>
        <v>0</v>
      </c>
      <c r="H76" s="396"/>
      <c r="I76" s="396"/>
      <c r="J76" s="397"/>
      <c r="K76" s="397"/>
      <c r="L76" s="397">
        <f>G76*1</f>
        <v>0</v>
      </c>
      <c r="M76" s="397"/>
      <c r="N76" s="396"/>
      <c r="O76" s="396"/>
      <c r="P76" s="396"/>
      <c r="Q76" s="396"/>
      <c r="R76" s="392">
        <f t="shared" si="147"/>
        <v>0</v>
      </c>
      <c r="S76" s="392">
        <f t="shared" si="148"/>
        <v>0</v>
      </c>
      <c r="T76" s="392">
        <f t="shared" si="149"/>
        <v>0</v>
      </c>
      <c r="U76" s="392">
        <f t="shared" si="150"/>
        <v>0</v>
      </c>
      <c r="V76" s="391">
        <f t="shared" si="159"/>
        <v>0</v>
      </c>
      <c r="W76" s="391">
        <f t="shared" si="151"/>
        <v>0</v>
      </c>
      <c r="X76" s="391">
        <f t="shared" si="152"/>
        <v>0</v>
      </c>
      <c r="Y76" s="391">
        <f t="shared" si="153"/>
        <v>0</v>
      </c>
      <c r="Z76" s="392">
        <v>0</v>
      </c>
      <c r="AA76" s="391">
        <f t="shared" si="142"/>
        <v>0</v>
      </c>
      <c r="AB76" s="392">
        <v>0</v>
      </c>
      <c r="AC76" s="391">
        <f t="shared" si="109"/>
        <v>0</v>
      </c>
      <c r="AD76" s="392">
        <v>0</v>
      </c>
      <c r="AE76" s="391">
        <f t="shared" si="110"/>
        <v>0</v>
      </c>
      <c r="AF76" s="392">
        <v>0</v>
      </c>
      <c r="AG76" s="391">
        <f t="shared" si="111"/>
        <v>0</v>
      </c>
      <c r="AH76" s="392">
        <v>0</v>
      </c>
      <c r="AI76" s="391">
        <f t="shared" si="112"/>
        <v>0</v>
      </c>
      <c r="AJ76" s="392">
        <v>0</v>
      </c>
      <c r="AK76" s="391">
        <f t="shared" si="138"/>
        <v>0</v>
      </c>
      <c r="AL76" s="392">
        <v>0</v>
      </c>
      <c r="AM76" s="391">
        <f t="shared" si="141"/>
        <v>0</v>
      </c>
      <c r="AN76" s="392">
        <v>0</v>
      </c>
      <c r="AO76" s="391">
        <f t="shared" si="154"/>
        <v>0</v>
      </c>
      <c r="AP76" s="392">
        <v>0</v>
      </c>
      <c r="AQ76" s="391">
        <f t="shared" si="114"/>
        <v>0</v>
      </c>
      <c r="AR76" s="392">
        <v>0</v>
      </c>
      <c r="AS76" s="391">
        <f t="shared" si="115"/>
        <v>0</v>
      </c>
      <c r="AT76" s="392">
        <v>0</v>
      </c>
      <c r="AU76" s="391">
        <f t="shared" si="116"/>
        <v>0</v>
      </c>
      <c r="AV76" s="392">
        <v>0</v>
      </c>
      <c r="AW76" s="391">
        <f t="shared" si="117"/>
        <v>0</v>
      </c>
      <c r="AX76" s="391">
        <v>0</v>
      </c>
      <c r="AY76" s="391">
        <f t="shared" si="118"/>
        <v>0</v>
      </c>
      <c r="AZ76" s="392">
        <v>0</v>
      </c>
      <c r="BA76" s="391">
        <f t="shared" si="119"/>
        <v>0</v>
      </c>
      <c r="BB76" s="392">
        <v>0</v>
      </c>
      <c r="BC76" s="391">
        <f>BB76*E76</f>
        <v>0</v>
      </c>
      <c r="BD76" s="392">
        <v>0</v>
      </c>
      <c r="BE76" s="391">
        <f t="shared" si="155"/>
        <v>0</v>
      </c>
      <c r="BF76" s="392">
        <v>0</v>
      </c>
      <c r="BG76" s="391">
        <f t="shared" si="120"/>
        <v>0</v>
      </c>
      <c r="BH76" s="392"/>
      <c r="BI76" s="391">
        <f t="shared" si="121"/>
        <v>0</v>
      </c>
      <c r="BJ76" s="392">
        <f t="shared" si="122"/>
        <v>0</v>
      </c>
      <c r="BK76" s="392">
        <f t="shared" si="123"/>
        <v>0</v>
      </c>
      <c r="BL76" s="326" t="s">
        <v>490</v>
      </c>
      <c r="BM76" s="400"/>
      <c r="BN76" s="396"/>
      <c r="BO76" s="252"/>
      <c r="BP76" s="251">
        <f>BK76</f>
        <v>0</v>
      </c>
      <c r="BQ76" s="252"/>
      <c r="BR76" s="251">
        <f t="shared" si="160"/>
        <v>0</v>
      </c>
      <c r="BS76" s="252"/>
      <c r="BT76" s="252"/>
      <c r="BU76" s="251"/>
      <c r="BV76" s="393">
        <f t="shared" si="158"/>
        <v>0</v>
      </c>
    </row>
    <row r="77" spans="1:74" s="376" customFormat="1" x14ac:dyDescent="0.25">
      <c r="A77" s="394"/>
      <c r="B77" s="377"/>
      <c r="C77" s="408" t="s">
        <v>521</v>
      </c>
      <c r="D77" s="408" t="s">
        <v>238</v>
      </c>
      <c r="E77" s="409">
        <v>15000</v>
      </c>
      <c r="F77" s="395">
        <f t="shared" si="146"/>
        <v>0</v>
      </c>
      <c r="G77" s="396">
        <f>F77*E77</f>
        <v>0</v>
      </c>
      <c r="H77" s="396"/>
      <c r="I77" s="396"/>
      <c r="J77" s="397"/>
      <c r="K77" s="397"/>
      <c r="L77" s="397">
        <f>G77*1</f>
        <v>0</v>
      </c>
      <c r="M77" s="397"/>
      <c r="N77" s="396"/>
      <c r="O77" s="396"/>
      <c r="P77" s="396"/>
      <c r="Q77" s="396"/>
      <c r="R77" s="392">
        <f t="shared" si="147"/>
        <v>0</v>
      </c>
      <c r="S77" s="392">
        <f t="shared" si="148"/>
        <v>0</v>
      </c>
      <c r="T77" s="392">
        <f t="shared" si="149"/>
        <v>0</v>
      </c>
      <c r="U77" s="392">
        <f t="shared" si="150"/>
        <v>0</v>
      </c>
      <c r="V77" s="391">
        <f t="shared" si="159"/>
        <v>0</v>
      </c>
      <c r="W77" s="391">
        <f t="shared" si="151"/>
        <v>0</v>
      </c>
      <c r="X77" s="391">
        <f t="shared" si="152"/>
        <v>0</v>
      </c>
      <c r="Y77" s="391">
        <f t="shared" si="153"/>
        <v>0</v>
      </c>
      <c r="Z77" s="392">
        <v>0</v>
      </c>
      <c r="AA77" s="391">
        <f t="shared" si="142"/>
        <v>0</v>
      </c>
      <c r="AB77" s="392">
        <v>0</v>
      </c>
      <c r="AC77" s="391">
        <f t="shared" si="109"/>
        <v>0</v>
      </c>
      <c r="AD77" s="392">
        <v>0</v>
      </c>
      <c r="AE77" s="391">
        <f t="shared" si="110"/>
        <v>0</v>
      </c>
      <c r="AF77" s="392">
        <v>0</v>
      </c>
      <c r="AG77" s="391">
        <f t="shared" si="111"/>
        <v>0</v>
      </c>
      <c r="AH77" s="392">
        <v>0</v>
      </c>
      <c r="AI77" s="391">
        <f t="shared" si="112"/>
        <v>0</v>
      </c>
      <c r="AJ77" s="392">
        <v>0</v>
      </c>
      <c r="AK77" s="391">
        <f t="shared" si="138"/>
        <v>0</v>
      </c>
      <c r="AL77" s="392">
        <v>0</v>
      </c>
      <c r="AM77" s="391">
        <f t="shared" si="141"/>
        <v>0</v>
      </c>
      <c r="AN77" s="392">
        <v>0</v>
      </c>
      <c r="AO77" s="391">
        <f t="shared" si="154"/>
        <v>0</v>
      </c>
      <c r="AP77" s="392">
        <v>0</v>
      </c>
      <c r="AQ77" s="391">
        <f t="shared" si="114"/>
        <v>0</v>
      </c>
      <c r="AR77" s="392">
        <v>0</v>
      </c>
      <c r="AS77" s="391">
        <f t="shared" si="115"/>
        <v>0</v>
      </c>
      <c r="AT77" s="392">
        <v>0</v>
      </c>
      <c r="AU77" s="391">
        <f t="shared" si="116"/>
        <v>0</v>
      </c>
      <c r="AV77" s="392">
        <v>0</v>
      </c>
      <c r="AW77" s="391">
        <f t="shared" si="117"/>
        <v>0</v>
      </c>
      <c r="AX77" s="391">
        <v>0</v>
      </c>
      <c r="AY77" s="391">
        <f t="shared" si="118"/>
        <v>0</v>
      </c>
      <c r="AZ77" s="392">
        <v>0</v>
      </c>
      <c r="BA77" s="391">
        <f t="shared" si="119"/>
        <v>0</v>
      </c>
      <c r="BB77" s="392">
        <v>0</v>
      </c>
      <c r="BC77" s="391">
        <f>BB77*E77</f>
        <v>0</v>
      </c>
      <c r="BD77" s="392">
        <v>0</v>
      </c>
      <c r="BE77" s="391">
        <f t="shared" si="155"/>
        <v>0</v>
      </c>
      <c r="BF77" s="392">
        <v>0</v>
      </c>
      <c r="BG77" s="391">
        <f t="shared" si="120"/>
        <v>0</v>
      </c>
      <c r="BH77" s="392"/>
      <c r="BI77" s="391">
        <f t="shared" si="121"/>
        <v>0</v>
      </c>
      <c r="BJ77" s="392">
        <f t="shared" si="122"/>
        <v>0</v>
      </c>
      <c r="BK77" s="392">
        <f t="shared" si="123"/>
        <v>0</v>
      </c>
      <c r="BL77" s="326" t="s">
        <v>490</v>
      </c>
      <c r="BM77" s="400"/>
      <c r="BN77" s="396"/>
      <c r="BO77" s="252"/>
      <c r="BP77" s="251">
        <f>BK77</f>
        <v>0</v>
      </c>
      <c r="BQ77" s="252"/>
      <c r="BR77" s="251">
        <f t="shared" si="160"/>
        <v>0</v>
      </c>
      <c r="BS77" s="252"/>
      <c r="BT77" s="252"/>
      <c r="BU77" s="251"/>
      <c r="BV77" s="393">
        <f t="shared" si="158"/>
        <v>0</v>
      </c>
    </row>
    <row r="78" spans="1:74" s="376" customFormat="1" x14ac:dyDescent="0.25">
      <c r="A78" s="394"/>
      <c r="B78" s="377"/>
      <c r="C78" s="412" t="s">
        <v>3</v>
      </c>
      <c r="D78" s="408"/>
      <c r="E78" s="409"/>
      <c r="F78" s="380">
        <f t="shared" ref="F78:BK78" si="161">SUM(F56:F77)</f>
        <v>80</v>
      </c>
      <c r="G78" s="380">
        <f t="shared" si="161"/>
        <v>12360000</v>
      </c>
      <c r="H78" s="380">
        <f t="shared" si="161"/>
        <v>0</v>
      </c>
      <c r="I78" s="380">
        <f t="shared" si="161"/>
        <v>0</v>
      </c>
      <c r="J78" s="417">
        <f t="shared" si="161"/>
        <v>0</v>
      </c>
      <c r="K78" s="417">
        <f t="shared" si="161"/>
        <v>0</v>
      </c>
      <c r="L78" s="417">
        <f t="shared" si="161"/>
        <v>0</v>
      </c>
      <c r="M78" s="417">
        <f t="shared" si="161"/>
        <v>12360000</v>
      </c>
      <c r="N78" s="380">
        <f t="shared" si="161"/>
        <v>0</v>
      </c>
      <c r="O78" s="380">
        <f t="shared" si="161"/>
        <v>0</v>
      </c>
      <c r="P78" s="380">
        <f t="shared" si="161"/>
        <v>0</v>
      </c>
      <c r="Q78" s="417">
        <f t="shared" si="161"/>
        <v>0</v>
      </c>
      <c r="R78" s="380">
        <f t="shared" si="161"/>
        <v>19.599999999999998</v>
      </c>
      <c r="S78" s="380">
        <f t="shared" si="161"/>
        <v>8</v>
      </c>
      <c r="T78" s="380">
        <f t="shared" si="161"/>
        <v>12</v>
      </c>
      <c r="U78" s="380">
        <f t="shared" si="161"/>
        <v>32</v>
      </c>
      <c r="V78" s="380">
        <f t="shared" si="161"/>
        <v>1080000</v>
      </c>
      <c r="W78" s="380">
        <f t="shared" si="161"/>
        <v>5820000</v>
      </c>
      <c r="X78" s="380">
        <f t="shared" si="161"/>
        <v>3000000</v>
      </c>
      <c r="Y78" s="380">
        <f t="shared" si="161"/>
        <v>2460000</v>
      </c>
      <c r="Z78" s="380">
        <f t="shared" si="161"/>
        <v>5</v>
      </c>
      <c r="AA78" s="380">
        <f t="shared" si="161"/>
        <v>540000</v>
      </c>
      <c r="AB78" s="380">
        <f t="shared" si="161"/>
        <v>2</v>
      </c>
      <c r="AC78" s="380">
        <f t="shared" si="161"/>
        <v>0</v>
      </c>
      <c r="AD78" s="380">
        <f t="shared" si="161"/>
        <v>1</v>
      </c>
      <c r="AE78" s="380">
        <f t="shared" si="161"/>
        <v>400000</v>
      </c>
      <c r="AF78" s="380">
        <f t="shared" si="161"/>
        <v>10</v>
      </c>
      <c r="AG78" s="380">
        <f t="shared" si="161"/>
        <v>1300000</v>
      </c>
      <c r="AH78" s="380">
        <f t="shared" si="161"/>
        <v>2</v>
      </c>
      <c r="AI78" s="380">
        <f t="shared" si="161"/>
        <v>0</v>
      </c>
      <c r="AJ78" s="380">
        <f t="shared" si="161"/>
        <v>3</v>
      </c>
      <c r="AK78" s="380">
        <f t="shared" si="161"/>
        <v>980000</v>
      </c>
      <c r="AL78" s="380">
        <f t="shared" si="161"/>
        <v>2</v>
      </c>
      <c r="AM78" s="380">
        <f t="shared" si="161"/>
        <v>800000</v>
      </c>
      <c r="AN78" s="380">
        <f t="shared" si="161"/>
        <v>7</v>
      </c>
      <c r="AO78" s="380">
        <f t="shared" si="161"/>
        <v>720000</v>
      </c>
      <c r="AP78" s="380">
        <f t="shared" si="161"/>
        <v>2</v>
      </c>
      <c r="AQ78" s="380">
        <f t="shared" si="161"/>
        <v>0</v>
      </c>
      <c r="AR78" s="380">
        <f t="shared" si="161"/>
        <v>7</v>
      </c>
      <c r="AS78" s="380">
        <f t="shared" si="161"/>
        <v>1340000</v>
      </c>
      <c r="AT78" s="380">
        <f t="shared" si="161"/>
        <v>4</v>
      </c>
      <c r="AU78" s="380">
        <f t="shared" si="161"/>
        <v>800000</v>
      </c>
      <c r="AV78" s="380">
        <f t="shared" si="161"/>
        <v>7</v>
      </c>
      <c r="AW78" s="380">
        <f t="shared" si="161"/>
        <v>1340000</v>
      </c>
      <c r="AX78" s="380">
        <f t="shared" si="161"/>
        <v>10</v>
      </c>
      <c r="AY78" s="380">
        <f t="shared" si="161"/>
        <v>800000</v>
      </c>
      <c r="AZ78" s="380">
        <f t="shared" si="161"/>
        <v>11</v>
      </c>
      <c r="BA78" s="380">
        <f t="shared" si="161"/>
        <v>1180000</v>
      </c>
      <c r="BB78" s="380">
        <f t="shared" si="161"/>
        <v>5</v>
      </c>
      <c r="BC78" s="380">
        <f t="shared" si="161"/>
        <v>1360000</v>
      </c>
      <c r="BD78" s="380">
        <f t="shared" si="161"/>
        <v>0</v>
      </c>
      <c r="BE78" s="380">
        <f t="shared" si="161"/>
        <v>0</v>
      </c>
      <c r="BF78" s="380">
        <f t="shared" si="161"/>
        <v>2</v>
      </c>
      <c r="BG78" s="380">
        <f t="shared" si="161"/>
        <v>800000</v>
      </c>
      <c r="BH78" s="380">
        <f t="shared" si="161"/>
        <v>0</v>
      </c>
      <c r="BI78" s="380">
        <f t="shared" si="161"/>
        <v>0</v>
      </c>
      <c r="BJ78" s="380">
        <f t="shared" si="161"/>
        <v>80</v>
      </c>
      <c r="BK78" s="380">
        <f t="shared" si="161"/>
        <v>12360000</v>
      </c>
      <c r="BL78" s="380">
        <f t="shared" ref="BL78:BV78" si="162">SUM(BL56:BL77)</f>
        <v>0</v>
      </c>
      <c r="BM78" s="380">
        <f t="shared" si="162"/>
        <v>0</v>
      </c>
      <c r="BN78" s="380">
        <f t="shared" si="162"/>
        <v>12360000</v>
      </c>
      <c r="BO78" s="380">
        <f t="shared" si="162"/>
        <v>0</v>
      </c>
      <c r="BP78" s="380">
        <f t="shared" si="162"/>
        <v>0</v>
      </c>
      <c r="BQ78" s="380">
        <f t="shared" si="162"/>
        <v>0</v>
      </c>
      <c r="BR78" s="380">
        <f t="shared" si="162"/>
        <v>12360000</v>
      </c>
      <c r="BS78" s="380">
        <f t="shared" si="162"/>
        <v>0</v>
      </c>
      <c r="BT78" s="380">
        <f t="shared" si="162"/>
        <v>0</v>
      </c>
      <c r="BU78" s="380">
        <f t="shared" si="162"/>
        <v>0</v>
      </c>
      <c r="BV78" s="380">
        <f t="shared" si="162"/>
        <v>12360000</v>
      </c>
    </row>
    <row r="79" spans="1:74" x14ac:dyDescent="0.25">
      <c r="A79" s="394"/>
      <c r="B79" s="377"/>
      <c r="C79" s="382" t="s">
        <v>292</v>
      </c>
      <c r="D79" s="408"/>
      <c r="E79" s="409"/>
      <c r="F79" s="395"/>
      <c r="G79" s="396"/>
      <c r="H79" s="396"/>
      <c r="I79" s="396"/>
      <c r="J79" s="396"/>
      <c r="K79" s="396"/>
      <c r="L79" s="396"/>
      <c r="M79" s="396"/>
      <c r="N79" s="396"/>
      <c r="O79" s="396"/>
      <c r="P79" s="396"/>
      <c r="Q79" s="396"/>
      <c r="R79" s="392"/>
      <c r="S79" s="392"/>
      <c r="T79" s="392"/>
      <c r="U79" s="392"/>
      <c r="V79" s="391"/>
      <c r="W79" s="391"/>
      <c r="X79" s="391"/>
      <c r="Y79" s="391"/>
      <c r="Z79" s="392"/>
      <c r="AA79" s="391">
        <f>Z79*E79</f>
        <v>0</v>
      </c>
      <c r="AB79" s="380"/>
      <c r="AC79" s="391">
        <f t="shared" ref="AC79:AC105" si="163">AB79*E79</f>
        <v>0</v>
      </c>
      <c r="AD79" s="392"/>
      <c r="AE79" s="391">
        <f>AD79*E79</f>
        <v>0</v>
      </c>
      <c r="AF79" s="392"/>
      <c r="AG79" s="391">
        <f>AF79*E79</f>
        <v>0</v>
      </c>
      <c r="AH79" s="392"/>
      <c r="AI79" s="391">
        <f>AH79*E79</f>
        <v>0</v>
      </c>
      <c r="AJ79" s="392"/>
      <c r="AK79" s="391"/>
      <c r="AL79" s="392"/>
      <c r="AM79" s="391"/>
      <c r="AN79" s="392"/>
      <c r="AO79" s="391"/>
      <c r="AP79" s="392"/>
      <c r="AQ79" s="391"/>
      <c r="AR79" s="392"/>
      <c r="AS79" s="391"/>
      <c r="AT79" s="392"/>
      <c r="AU79" s="391"/>
      <c r="AV79" s="392"/>
      <c r="AW79" s="391"/>
      <c r="AX79" s="391"/>
      <c r="AY79" s="391"/>
      <c r="AZ79" s="392"/>
      <c r="BA79" s="391"/>
      <c r="BB79" s="392"/>
      <c r="BC79" s="391"/>
      <c r="BD79" s="392"/>
      <c r="BE79" s="391"/>
      <c r="BF79" s="392"/>
      <c r="BG79" s="391"/>
      <c r="BH79" s="392"/>
      <c r="BI79" s="391"/>
      <c r="BJ79" s="392"/>
      <c r="BK79" s="392"/>
      <c r="BL79" s="326"/>
      <c r="BM79" s="400"/>
      <c r="BN79" s="396"/>
      <c r="BO79" s="251"/>
      <c r="BP79" s="251"/>
      <c r="BQ79" s="251"/>
      <c r="BR79" s="251"/>
      <c r="BS79" s="251"/>
      <c r="BT79" s="251"/>
      <c r="BU79" s="251"/>
      <c r="BV79" s="393"/>
    </row>
    <row r="80" spans="1:74" x14ac:dyDescent="0.25">
      <c r="A80" s="394"/>
      <c r="B80" s="377"/>
      <c r="C80" s="408" t="s">
        <v>240</v>
      </c>
      <c r="D80" s="408" t="s">
        <v>75</v>
      </c>
      <c r="E80" s="409">
        <v>278600</v>
      </c>
      <c r="F80" s="395">
        <f t="shared" ref="F80:G96" si="164">BJ80</f>
        <v>80</v>
      </c>
      <c r="G80" s="396">
        <f>BK80</f>
        <v>14688000</v>
      </c>
      <c r="H80" s="396"/>
      <c r="I80" s="396"/>
      <c r="J80" s="396"/>
      <c r="K80" s="396"/>
      <c r="L80" s="396"/>
      <c r="M80" s="396">
        <f t="shared" ref="M80:M92" si="165">G80</f>
        <v>14688000</v>
      </c>
      <c r="N80" s="396"/>
      <c r="O80" s="396"/>
      <c r="P80" s="396"/>
      <c r="Q80" s="396"/>
      <c r="R80" s="392">
        <f t="shared" ref="R80:R88" si="166">F80*0.35</f>
        <v>28</v>
      </c>
      <c r="S80" s="392">
        <f t="shared" ref="S80:S88" si="167">F80*0.65</f>
        <v>52</v>
      </c>
      <c r="T80" s="392"/>
      <c r="U80" s="392"/>
      <c r="V80" s="391">
        <f>G80*0.25</f>
        <v>3672000</v>
      </c>
      <c r="W80" s="391">
        <f>G80:G80*0.5</f>
        <v>7344000</v>
      </c>
      <c r="X80" s="391">
        <f>G80*0.25</f>
        <v>3672000</v>
      </c>
      <c r="Y80" s="391">
        <f t="shared" ref="Y80:Y101" si="168">U80*E80</f>
        <v>0</v>
      </c>
      <c r="Z80" s="392">
        <v>0</v>
      </c>
      <c r="AA80" s="391">
        <f>Z80*E80</f>
        <v>0</v>
      </c>
      <c r="AB80" s="395">
        <v>5</v>
      </c>
      <c r="AC80" s="391">
        <f>AB80*E80-1000000</f>
        <v>393000</v>
      </c>
      <c r="AD80" s="392">
        <v>0</v>
      </c>
      <c r="AE80" s="391">
        <f>AD80*E80</f>
        <v>0</v>
      </c>
      <c r="AF80" s="416">
        <v>10</v>
      </c>
      <c r="AG80" s="391">
        <f>AF80*E80</f>
        <v>2786000</v>
      </c>
      <c r="AH80" s="392">
        <v>10</v>
      </c>
      <c r="AI80" s="391">
        <f>AH80*E80</f>
        <v>2786000</v>
      </c>
      <c r="AJ80" s="392">
        <v>10</v>
      </c>
      <c r="AK80" s="391">
        <f>AJ80*E80-2000000</f>
        <v>786000</v>
      </c>
      <c r="AL80" s="392">
        <v>0</v>
      </c>
      <c r="AM80" s="391">
        <f>AL80*E80</f>
        <v>0</v>
      </c>
      <c r="AN80" s="392">
        <v>8</v>
      </c>
      <c r="AO80" s="391">
        <f>AN80*E80-2000000</f>
        <v>228800</v>
      </c>
      <c r="AP80" s="392">
        <v>0</v>
      </c>
      <c r="AQ80" s="391">
        <v>0</v>
      </c>
      <c r="AR80" s="392">
        <v>12</v>
      </c>
      <c r="AS80" s="391">
        <f>AR80*E80</f>
        <v>3343200</v>
      </c>
      <c r="AT80" s="391">
        <v>5</v>
      </c>
      <c r="AU80" s="391">
        <f>AT80*E80</f>
        <v>1393000</v>
      </c>
      <c r="AV80" s="392">
        <v>5</v>
      </c>
      <c r="AW80" s="391">
        <f>AV80*E80-800000</f>
        <v>593000</v>
      </c>
      <c r="AX80" s="391">
        <v>0</v>
      </c>
      <c r="AY80" s="391">
        <f>AX80*E80</f>
        <v>0</v>
      </c>
      <c r="AZ80" s="392">
        <v>0</v>
      </c>
      <c r="BA80" s="391">
        <f>AZ80*E80</f>
        <v>0</v>
      </c>
      <c r="BB80" s="392">
        <v>5</v>
      </c>
      <c r="BC80" s="391">
        <f>BB80*E80-1000000</f>
        <v>393000</v>
      </c>
      <c r="BD80" s="392">
        <v>5</v>
      </c>
      <c r="BE80" s="391">
        <f t="shared" ref="BE80:BE92" si="169">BD80*E80</f>
        <v>1393000</v>
      </c>
      <c r="BF80" s="392">
        <v>5</v>
      </c>
      <c r="BG80" s="391">
        <f>BF80*E80-800000</f>
        <v>593000</v>
      </c>
      <c r="BH80" s="392"/>
      <c r="BI80" s="391">
        <f t="shared" ref="BI80:BI105" si="170">BH80*E80</f>
        <v>0</v>
      </c>
      <c r="BJ80" s="392">
        <f t="shared" ref="BJ80:BK95" si="171">BH80+BF80+BD80+BB80+AZ80+AX80+AV80+AT80+AR80+AP80+AN80+AL80+AJ80+AH80+AF80+AD80+AB80+Z80</f>
        <v>80</v>
      </c>
      <c r="BK80" s="392">
        <f t="shared" si="171"/>
        <v>14688000</v>
      </c>
      <c r="BL80" s="418" t="s">
        <v>295</v>
      </c>
      <c r="BM80" s="400"/>
      <c r="BN80" s="396"/>
      <c r="BO80" s="251"/>
      <c r="BP80" s="396">
        <f t="shared" ref="BP80:BP101" si="172">G80</f>
        <v>14688000</v>
      </c>
      <c r="BQ80" s="251"/>
      <c r="BR80" s="251">
        <f>BN80+BO80+BP80+BQ80</f>
        <v>14688000</v>
      </c>
      <c r="BS80" s="251"/>
      <c r="BT80" s="251"/>
      <c r="BU80" s="251"/>
      <c r="BV80" s="393">
        <f>BR80+BU80</f>
        <v>14688000</v>
      </c>
    </row>
    <row r="81" spans="1:74" ht="21.75" customHeight="1" x14ac:dyDescent="0.25">
      <c r="A81" s="394"/>
      <c r="B81" s="377"/>
      <c r="C81" s="408" t="s">
        <v>482</v>
      </c>
      <c r="D81" s="408" t="s">
        <v>75</v>
      </c>
      <c r="E81" s="409">
        <v>109000</v>
      </c>
      <c r="F81" s="395">
        <f t="shared" si="164"/>
        <v>126.5</v>
      </c>
      <c r="G81" s="395">
        <f t="shared" si="164"/>
        <v>12688500</v>
      </c>
      <c r="H81" s="396"/>
      <c r="I81" s="396"/>
      <c r="J81" s="396"/>
      <c r="K81" s="396"/>
      <c r="L81" s="396"/>
      <c r="M81" s="396">
        <f t="shared" si="165"/>
        <v>12688500</v>
      </c>
      <c r="N81" s="396"/>
      <c r="O81" s="396"/>
      <c r="P81" s="396"/>
      <c r="Q81" s="396"/>
      <c r="R81" s="392">
        <f t="shared" si="166"/>
        <v>44.274999999999999</v>
      </c>
      <c r="S81" s="392">
        <f t="shared" si="167"/>
        <v>82.225000000000009</v>
      </c>
      <c r="T81" s="392"/>
      <c r="U81" s="392"/>
      <c r="V81" s="391">
        <f>G81*0.5</f>
        <v>6344250</v>
      </c>
      <c r="W81" s="391">
        <f>G81*0.5</f>
        <v>6344250</v>
      </c>
      <c r="X81" s="391">
        <f t="shared" ref="X81:X101" si="173">T81*E81</f>
        <v>0</v>
      </c>
      <c r="Y81" s="391">
        <f t="shared" si="168"/>
        <v>0</v>
      </c>
      <c r="Z81" s="392">
        <v>10</v>
      </c>
      <c r="AA81" s="391">
        <f>Z81*E81</f>
        <v>1090000</v>
      </c>
      <c r="AB81" s="395">
        <v>6</v>
      </c>
      <c r="AC81" s="391">
        <f>AB81*E81-500000</f>
        <v>154000</v>
      </c>
      <c r="AD81" s="392">
        <v>0</v>
      </c>
      <c r="AE81" s="391">
        <f>AD81*E81</f>
        <v>0</v>
      </c>
      <c r="AF81" s="392">
        <v>40</v>
      </c>
      <c r="AG81" s="391">
        <f>AF81*E81</f>
        <v>4360000</v>
      </c>
      <c r="AH81" s="392">
        <v>0</v>
      </c>
      <c r="AI81" s="391">
        <f t="shared" ref="AI81:AI92" si="174">AH81*E81</f>
        <v>0</v>
      </c>
      <c r="AJ81" s="392">
        <v>0</v>
      </c>
      <c r="AK81" s="391">
        <f>AJ81*E81</f>
        <v>0</v>
      </c>
      <c r="AL81" s="392">
        <v>15</v>
      </c>
      <c r="AM81" s="391">
        <f>AL81*E81</f>
        <v>1635000</v>
      </c>
      <c r="AN81" s="392">
        <v>0</v>
      </c>
      <c r="AO81" s="391">
        <f t="shared" ref="AO81:AO105" si="175">AN81*E81</f>
        <v>0</v>
      </c>
      <c r="AP81" s="392"/>
      <c r="AQ81" s="391">
        <v>0</v>
      </c>
      <c r="AR81" s="392">
        <v>30</v>
      </c>
      <c r="AS81" s="391">
        <f>AR81*E81-400000</f>
        <v>2870000</v>
      </c>
      <c r="AT81" s="392"/>
      <c r="AU81" s="391">
        <f t="shared" ref="AU81:AU105" si="176">AT81*E81</f>
        <v>0</v>
      </c>
      <c r="AV81" s="392">
        <v>8</v>
      </c>
      <c r="AW81" s="391">
        <f>AV81*E81-200000</f>
        <v>672000</v>
      </c>
      <c r="AX81" s="391">
        <v>9.5</v>
      </c>
      <c r="AY81" s="391">
        <f t="shared" ref="AY81:AY92" si="177">AX81*E81</f>
        <v>1035500</v>
      </c>
      <c r="AZ81" s="392">
        <v>0</v>
      </c>
      <c r="BA81" s="391">
        <f>AZ81*E81</f>
        <v>0</v>
      </c>
      <c r="BB81" s="392">
        <v>0</v>
      </c>
      <c r="BC81" s="391">
        <f t="shared" ref="BC81:BC92" si="178">BB81*E81</f>
        <v>0</v>
      </c>
      <c r="BD81" s="392">
        <v>0</v>
      </c>
      <c r="BE81" s="391">
        <f t="shared" si="169"/>
        <v>0</v>
      </c>
      <c r="BF81" s="392">
        <v>8</v>
      </c>
      <c r="BG81" s="391">
        <f t="shared" ref="BG81:BG92" si="179">BF81*E81</f>
        <v>872000</v>
      </c>
      <c r="BH81" s="392"/>
      <c r="BI81" s="391">
        <f t="shared" si="170"/>
        <v>0</v>
      </c>
      <c r="BJ81" s="392">
        <f t="shared" si="171"/>
        <v>126.5</v>
      </c>
      <c r="BK81" s="392">
        <f t="shared" si="171"/>
        <v>12688500</v>
      </c>
      <c r="BL81" s="418" t="s">
        <v>295</v>
      </c>
      <c r="BM81" s="400"/>
      <c r="BN81" s="396"/>
      <c r="BO81" s="251"/>
      <c r="BP81" s="396">
        <f t="shared" si="172"/>
        <v>12688500</v>
      </c>
      <c r="BQ81" s="251"/>
      <c r="BR81" s="251">
        <f t="shared" ref="BR81:BR87" si="180">BN81+BO81+BP81+BQ81</f>
        <v>12688500</v>
      </c>
      <c r="BS81" s="251"/>
      <c r="BT81" s="251"/>
      <c r="BU81" s="251"/>
      <c r="BV81" s="393">
        <f t="shared" ref="BV81:BV86" si="181">BR81+BU81</f>
        <v>12688500</v>
      </c>
    </row>
    <row r="82" spans="1:74" x14ac:dyDescent="0.25">
      <c r="A82" s="394"/>
      <c r="B82" s="377"/>
      <c r="C82" s="408" t="s">
        <v>483</v>
      </c>
      <c r="D82" s="408" t="s">
        <v>75</v>
      </c>
      <c r="E82" s="409">
        <v>90000</v>
      </c>
      <c r="F82" s="395">
        <f t="shared" si="164"/>
        <v>48</v>
      </c>
      <c r="G82" s="395">
        <f t="shared" si="164"/>
        <v>3920000</v>
      </c>
      <c r="H82" s="396"/>
      <c r="I82" s="396"/>
      <c r="J82" s="396"/>
      <c r="K82" s="396"/>
      <c r="L82" s="396"/>
      <c r="M82" s="396">
        <f t="shared" si="165"/>
        <v>3920000</v>
      </c>
      <c r="N82" s="396"/>
      <c r="O82" s="396"/>
      <c r="P82" s="396"/>
      <c r="Q82" s="396"/>
      <c r="R82" s="392">
        <f t="shared" si="166"/>
        <v>16.799999999999997</v>
      </c>
      <c r="S82" s="392">
        <f t="shared" si="167"/>
        <v>31.200000000000003</v>
      </c>
      <c r="T82" s="392"/>
      <c r="U82" s="392"/>
      <c r="V82" s="391">
        <f>G82*0.5</f>
        <v>1960000</v>
      </c>
      <c r="W82" s="391">
        <f>G82*0.5</f>
        <v>1960000</v>
      </c>
      <c r="X82" s="391">
        <f t="shared" si="173"/>
        <v>0</v>
      </c>
      <c r="Y82" s="391">
        <f t="shared" si="168"/>
        <v>0</v>
      </c>
      <c r="Z82" s="392">
        <v>0</v>
      </c>
      <c r="AA82" s="391">
        <f t="shared" ref="AA82:AA92" si="182">Z82*E82</f>
        <v>0</v>
      </c>
      <c r="AB82" s="395">
        <v>0</v>
      </c>
      <c r="AC82" s="391">
        <f t="shared" si="163"/>
        <v>0</v>
      </c>
      <c r="AD82" s="392">
        <v>0</v>
      </c>
      <c r="AE82" s="391">
        <f t="shared" ref="AE82:AE92" si="183">AD82*E82</f>
        <v>0</v>
      </c>
      <c r="AF82" s="392">
        <v>10</v>
      </c>
      <c r="AG82" s="391">
        <f t="shared" ref="AG82:AG92" si="184">AF82*E82</f>
        <v>900000</v>
      </c>
      <c r="AH82" s="392">
        <v>0</v>
      </c>
      <c r="AI82" s="391">
        <f t="shared" si="174"/>
        <v>0</v>
      </c>
      <c r="AJ82" s="392">
        <v>0</v>
      </c>
      <c r="AK82" s="391">
        <f t="shared" ref="AK82:AK92" si="185">AJ82*E82</f>
        <v>0</v>
      </c>
      <c r="AL82" s="392">
        <v>0</v>
      </c>
      <c r="AM82" s="391">
        <f t="shared" ref="AM82:AM105" si="186">AL82*E82</f>
        <v>0</v>
      </c>
      <c r="AN82" s="392">
        <v>0</v>
      </c>
      <c r="AO82" s="391">
        <f t="shared" si="175"/>
        <v>0</v>
      </c>
      <c r="AP82" s="392"/>
      <c r="AQ82" s="391">
        <f t="shared" ref="AQ82:AQ104" si="187">AP82*E82</f>
        <v>0</v>
      </c>
      <c r="AR82" s="416">
        <v>20</v>
      </c>
      <c r="AS82" s="391">
        <f>AR82*E82-400000</f>
        <v>1400000</v>
      </c>
      <c r="AT82" s="392"/>
      <c r="AU82" s="391">
        <f t="shared" si="176"/>
        <v>0</v>
      </c>
      <c r="AV82" s="392">
        <v>5</v>
      </c>
      <c r="AW82" s="391">
        <f t="shared" ref="AW82:AW105" si="188">AV82*E82</f>
        <v>450000</v>
      </c>
      <c r="AX82" s="391">
        <v>0</v>
      </c>
      <c r="AY82" s="391">
        <f t="shared" si="177"/>
        <v>0</v>
      </c>
      <c r="AZ82" s="392">
        <v>0</v>
      </c>
      <c r="BA82" s="391">
        <f>AZ82*E82</f>
        <v>0</v>
      </c>
      <c r="BB82" s="392">
        <v>0</v>
      </c>
      <c r="BC82" s="391">
        <f t="shared" si="178"/>
        <v>0</v>
      </c>
      <c r="BD82" s="392">
        <v>0</v>
      </c>
      <c r="BE82" s="391">
        <f t="shared" si="169"/>
        <v>0</v>
      </c>
      <c r="BF82" s="392">
        <v>13</v>
      </c>
      <c r="BG82" s="391">
        <f>BF82*E82</f>
        <v>1170000</v>
      </c>
      <c r="BH82" s="392"/>
      <c r="BI82" s="391">
        <f t="shared" si="170"/>
        <v>0</v>
      </c>
      <c r="BJ82" s="392">
        <f t="shared" si="171"/>
        <v>48</v>
      </c>
      <c r="BK82" s="392">
        <f t="shared" si="171"/>
        <v>3920000</v>
      </c>
      <c r="BL82" s="418" t="s">
        <v>295</v>
      </c>
      <c r="BM82" s="400"/>
      <c r="BN82" s="396"/>
      <c r="BO82" s="251"/>
      <c r="BP82" s="396">
        <f t="shared" si="172"/>
        <v>3920000</v>
      </c>
      <c r="BQ82" s="251"/>
      <c r="BR82" s="251">
        <f t="shared" si="180"/>
        <v>3920000</v>
      </c>
      <c r="BS82" s="251"/>
      <c r="BT82" s="251"/>
      <c r="BU82" s="251"/>
      <c r="BV82" s="393">
        <f t="shared" si="181"/>
        <v>3920000</v>
      </c>
    </row>
    <row r="83" spans="1:74" ht="18.2" customHeight="1" x14ac:dyDescent="0.25">
      <c r="A83" s="394"/>
      <c r="B83" s="377"/>
      <c r="C83" s="408" t="s">
        <v>279</v>
      </c>
      <c r="D83" s="408" t="s">
        <v>75</v>
      </c>
      <c r="E83" s="409">
        <v>187300</v>
      </c>
      <c r="F83" s="395">
        <f t="shared" si="164"/>
        <v>110</v>
      </c>
      <c r="G83" s="396">
        <f>BK83</f>
        <v>20603000</v>
      </c>
      <c r="H83" s="396"/>
      <c r="I83" s="396"/>
      <c r="J83" s="396"/>
      <c r="K83" s="396"/>
      <c r="L83" s="396"/>
      <c r="M83" s="396">
        <f t="shared" si="165"/>
        <v>20603000</v>
      </c>
      <c r="N83" s="396"/>
      <c r="O83" s="396"/>
      <c r="P83" s="396"/>
      <c r="Q83" s="396"/>
      <c r="R83" s="392">
        <f t="shared" si="166"/>
        <v>38.5</v>
      </c>
      <c r="S83" s="392">
        <f t="shared" si="167"/>
        <v>71.5</v>
      </c>
      <c r="T83" s="392"/>
      <c r="U83" s="392"/>
      <c r="V83" s="391">
        <f>G83*0.25</f>
        <v>5150750</v>
      </c>
      <c r="W83" s="391">
        <f>G83:G83*0.5</f>
        <v>10301500</v>
      </c>
      <c r="X83" s="391">
        <f>G83*0.25</f>
        <v>5150750</v>
      </c>
      <c r="Y83" s="391">
        <f>U83*E83</f>
        <v>0</v>
      </c>
      <c r="Z83" s="392">
        <v>10</v>
      </c>
      <c r="AA83" s="391">
        <f>Z83*E83</f>
        <v>1873000</v>
      </c>
      <c r="AB83" s="395">
        <v>5</v>
      </c>
      <c r="AC83" s="391">
        <f>AB83*E83</f>
        <v>936500</v>
      </c>
      <c r="AD83" s="392">
        <v>10</v>
      </c>
      <c r="AE83" s="391">
        <f>AD83*E83</f>
        <v>1873000</v>
      </c>
      <c r="AF83" s="416">
        <v>10</v>
      </c>
      <c r="AG83" s="391">
        <f>AF83*E83</f>
        <v>1873000</v>
      </c>
      <c r="AH83" s="392">
        <v>0</v>
      </c>
      <c r="AI83" s="391">
        <f t="shared" si="174"/>
        <v>0</v>
      </c>
      <c r="AJ83" s="392">
        <v>5</v>
      </c>
      <c r="AK83" s="391">
        <f>AJ83*E83</f>
        <v>936500</v>
      </c>
      <c r="AL83" s="392">
        <v>0</v>
      </c>
      <c r="AM83" s="391">
        <f t="shared" si="186"/>
        <v>0</v>
      </c>
      <c r="AN83" s="392">
        <v>5</v>
      </c>
      <c r="AO83" s="391">
        <f>AN83*E83</f>
        <v>936500</v>
      </c>
      <c r="AP83" s="392">
        <v>5</v>
      </c>
      <c r="AQ83" s="391">
        <f>AP83*E83</f>
        <v>936500</v>
      </c>
      <c r="AR83" s="392">
        <v>10</v>
      </c>
      <c r="AS83" s="391">
        <f>AR83*E83</f>
        <v>1873000</v>
      </c>
      <c r="AT83" s="391">
        <v>5</v>
      </c>
      <c r="AU83" s="391">
        <f>AT83*E83</f>
        <v>936500</v>
      </c>
      <c r="AV83" s="392">
        <v>5</v>
      </c>
      <c r="AW83" s="391">
        <f>AV83*E83</f>
        <v>936500</v>
      </c>
      <c r="AX83" s="391">
        <v>10</v>
      </c>
      <c r="AY83" s="391">
        <f>AX83*E83</f>
        <v>1873000</v>
      </c>
      <c r="AZ83" s="392">
        <v>10</v>
      </c>
      <c r="BA83" s="391">
        <f>AZ83*E83</f>
        <v>1873000</v>
      </c>
      <c r="BB83" s="392">
        <v>10</v>
      </c>
      <c r="BC83" s="391">
        <f>BB83*E83</f>
        <v>1873000</v>
      </c>
      <c r="BD83" s="392">
        <v>5</v>
      </c>
      <c r="BE83" s="391">
        <f t="shared" si="169"/>
        <v>936500</v>
      </c>
      <c r="BF83" s="392">
        <v>5</v>
      </c>
      <c r="BG83" s="391">
        <f>BF83*E83</f>
        <v>936500</v>
      </c>
      <c r="BH83" s="392"/>
      <c r="BI83" s="391">
        <f t="shared" si="170"/>
        <v>0</v>
      </c>
      <c r="BJ83" s="392">
        <f t="shared" si="171"/>
        <v>110</v>
      </c>
      <c r="BK83" s="392">
        <f t="shared" si="171"/>
        <v>20603000</v>
      </c>
      <c r="BL83" s="418" t="s">
        <v>295</v>
      </c>
      <c r="BM83" s="400"/>
      <c r="BN83" s="396"/>
      <c r="BO83" s="251"/>
      <c r="BP83" s="396">
        <f t="shared" si="172"/>
        <v>20603000</v>
      </c>
      <c r="BQ83" s="251"/>
      <c r="BR83" s="251">
        <f t="shared" si="180"/>
        <v>20603000</v>
      </c>
      <c r="BS83" s="251"/>
      <c r="BT83" s="251"/>
      <c r="BU83" s="251"/>
      <c r="BV83" s="393">
        <f t="shared" si="181"/>
        <v>20603000</v>
      </c>
    </row>
    <row r="84" spans="1:74" ht="31.5" customHeight="1" x14ac:dyDescent="0.25">
      <c r="A84" s="394"/>
      <c r="B84" s="377"/>
      <c r="C84" s="408" t="s">
        <v>484</v>
      </c>
      <c r="D84" s="408" t="s">
        <v>75</v>
      </c>
      <c r="E84" s="409">
        <v>73200</v>
      </c>
      <c r="F84" s="395">
        <f t="shared" si="164"/>
        <v>221</v>
      </c>
      <c r="G84" s="395">
        <f t="shared" si="164"/>
        <v>13177200</v>
      </c>
      <c r="H84" s="396"/>
      <c r="I84" s="396"/>
      <c r="J84" s="396"/>
      <c r="K84" s="396"/>
      <c r="L84" s="396"/>
      <c r="M84" s="396">
        <f t="shared" si="165"/>
        <v>13177200</v>
      </c>
      <c r="N84" s="396"/>
      <c r="O84" s="396"/>
      <c r="P84" s="396"/>
      <c r="Q84" s="396"/>
      <c r="R84" s="392">
        <f t="shared" si="166"/>
        <v>77.349999999999994</v>
      </c>
      <c r="S84" s="392">
        <f t="shared" si="167"/>
        <v>143.65</v>
      </c>
      <c r="T84" s="392"/>
      <c r="U84" s="392"/>
      <c r="V84" s="391">
        <f t="shared" ref="V84" si="189">G84*0.5</f>
        <v>6588600</v>
      </c>
      <c r="W84" s="391">
        <f t="shared" ref="W84" si="190">G84*0.5</f>
        <v>6588600</v>
      </c>
      <c r="X84" s="391">
        <f t="shared" si="173"/>
        <v>0</v>
      </c>
      <c r="Y84" s="391">
        <f t="shared" si="168"/>
        <v>0</v>
      </c>
      <c r="Z84" s="392">
        <v>40</v>
      </c>
      <c r="AA84" s="391">
        <f>Z84*E84-1000000</f>
        <v>1928000</v>
      </c>
      <c r="AB84" s="395">
        <v>0</v>
      </c>
      <c r="AC84" s="391">
        <f t="shared" si="163"/>
        <v>0</v>
      </c>
      <c r="AD84" s="392">
        <v>0</v>
      </c>
      <c r="AE84" s="391">
        <f>AD84*E84</f>
        <v>0</v>
      </c>
      <c r="AF84" s="392">
        <v>40</v>
      </c>
      <c r="AG84" s="391">
        <f>AF84*E84-2000000</f>
        <v>928000</v>
      </c>
      <c r="AH84" s="392">
        <v>0</v>
      </c>
      <c r="AI84" s="391">
        <f t="shared" si="174"/>
        <v>0</v>
      </c>
      <c r="AJ84" s="392">
        <v>0</v>
      </c>
      <c r="AK84" s="391">
        <f t="shared" si="185"/>
        <v>0</v>
      </c>
      <c r="AL84" s="392">
        <v>15</v>
      </c>
      <c r="AM84" s="391">
        <f>AL84*E84</f>
        <v>1098000</v>
      </c>
      <c r="AN84" s="392">
        <v>50</v>
      </c>
      <c r="AO84" s="391">
        <f>AN84*E84</f>
        <v>3660000</v>
      </c>
      <c r="AP84" s="392"/>
      <c r="AQ84" s="391">
        <v>0</v>
      </c>
      <c r="AR84" s="392">
        <v>8</v>
      </c>
      <c r="AS84" s="391">
        <f t="shared" ref="AS84:AS105" si="191">AR84*E84</f>
        <v>585600</v>
      </c>
      <c r="AT84" s="392">
        <v>0</v>
      </c>
      <c r="AU84" s="391">
        <f t="shared" si="176"/>
        <v>0</v>
      </c>
      <c r="AV84" s="392">
        <v>8</v>
      </c>
      <c r="AW84" s="391">
        <f t="shared" si="188"/>
        <v>585600</v>
      </c>
      <c r="AX84" s="391">
        <v>10</v>
      </c>
      <c r="AY84" s="391">
        <f t="shared" si="177"/>
        <v>732000</v>
      </c>
      <c r="AZ84" s="392">
        <v>40</v>
      </c>
      <c r="BA84" s="391">
        <f>AZ84*E84</f>
        <v>2928000</v>
      </c>
      <c r="BB84" s="392">
        <v>0</v>
      </c>
      <c r="BC84" s="391">
        <f t="shared" si="178"/>
        <v>0</v>
      </c>
      <c r="BD84" s="392">
        <v>0</v>
      </c>
      <c r="BE84" s="391">
        <f>BD84*E84</f>
        <v>0</v>
      </c>
      <c r="BF84" s="392">
        <v>10</v>
      </c>
      <c r="BG84" s="391">
        <f t="shared" si="179"/>
        <v>732000</v>
      </c>
      <c r="BH84" s="392"/>
      <c r="BI84" s="391">
        <f t="shared" si="170"/>
        <v>0</v>
      </c>
      <c r="BJ84" s="392">
        <f t="shared" si="171"/>
        <v>221</v>
      </c>
      <c r="BK84" s="392">
        <f t="shared" si="171"/>
        <v>13177200</v>
      </c>
      <c r="BL84" s="418" t="s">
        <v>295</v>
      </c>
      <c r="BM84" s="400"/>
      <c r="BN84" s="396"/>
      <c r="BO84" s="251"/>
      <c r="BP84" s="396">
        <f t="shared" si="172"/>
        <v>13177200</v>
      </c>
      <c r="BQ84" s="251"/>
      <c r="BR84" s="251">
        <f t="shared" si="180"/>
        <v>13177200</v>
      </c>
      <c r="BS84" s="251"/>
      <c r="BT84" s="251"/>
      <c r="BU84" s="251"/>
      <c r="BV84" s="393">
        <f t="shared" si="181"/>
        <v>13177200</v>
      </c>
    </row>
    <row r="85" spans="1:74" ht="31.5" customHeight="1" x14ac:dyDescent="0.25">
      <c r="A85" s="394"/>
      <c r="B85" s="377"/>
      <c r="C85" s="408" t="s">
        <v>485</v>
      </c>
      <c r="D85" s="408" t="s">
        <v>75</v>
      </c>
      <c r="E85" s="409">
        <v>50000</v>
      </c>
      <c r="F85" s="395">
        <f t="shared" si="164"/>
        <v>32</v>
      </c>
      <c r="G85" s="395">
        <f>BK85</f>
        <v>1300000</v>
      </c>
      <c r="H85" s="396"/>
      <c r="I85" s="396"/>
      <c r="J85" s="396"/>
      <c r="K85" s="396"/>
      <c r="L85" s="396"/>
      <c r="M85" s="396">
        <f t="shared" si="165"/>
        <v>1300000</v>
      </c>
      <c r="N85" s="396"/>
      <c r="O85" s="396"/>
      <c r="P85" s="396"/>
      <c r="Q85" s="396"/>
      <c r="R85" s="392">
        <f t="shared" si="166"/>
        <v>11.2</v>
      </c>
      <c r="S85" s="392">
        <f t="shared" si="167"/>
        <v>20.8</v>
      </c>
      <c r="T85" s="392"/>
      <c r="U85" s="392"/>
      <c r="V85" s="391">
        <f>G85*0.5</f>
        <v>650000</v>
      </c>
      <c r="W85" s="391">
        <f>G85*0.5</f>
        <v>650000</v>
      </c>
      <c r="X85" s="391">
        <f t="shared" si="173"/>
        <v>0</v>
      </c>
      <c r="Y85" s="391">
        <f t="shared" si="168"/>
        <v>0</v>
      </c>
      <c r="Z85" s="392">
        <v>0</v>
      </c>
      <c r="AA85" s="391">
        <f t="shared" si="182"/>
        <v>0</v>
      </c>
      <c r="AB85" s="395">
        <v>0</v>
      </c>
      <c r="AC85" s="391">
        <f t="shared" si="163"/>
        <v>0</v>
      </c>
      <c r="AD85" s="392">
        <v>0</v>
      </c>
      <c r="AE85" s="391">
        <f t="shared" si="183"/>
        <v>0</v>
      </c>
      <c r="AF85" s="392">
        <v>25</v>
      </c>
      <c r="AG85" s="391">
        <f>AF85*E85-300000</f>
        <v>950000</v>
      </c>
      <c r="AH85" s="392">
        <v>0</v>
      </c>
      <c r="AI85" s="391">
        <f t="shared" si="174"/>
        <v>0</v>
      </c>
      <c r="AJ85" s="392">
        <v>0</v>
      </c>
      <c r="AK85" s="391">
        <f t="shared" si="185"/>
        <v>0</v>
      </c>
      <c r="AL85" s="392">
        <v>0</v>
      </c>
      <c r="AM85" s="391">
        <f t="shared" si="186"/>
        <v>0</v>
      </c>
      <c r="AN85" s="392">
        <v>0</v>
      </c>
      <c r="AO85" s="391">
        <f t="shared" si="175"/>
        <v>0</v>
      </c>
      <c r="AP85" s="392"/>
      <c r="AQ85" s="391">
        <f t="shared" si="187"/>
        <v>0</v>
      </c>
      <c r="AR85" s="392">
        <v>0</v>
      </c>
      <c r="AS85" s="391">
        <f t="shared" si="191"/>
        <v>0</v>
      </c>
      <c r="AT85" s="392">
        <v>0</v>
      </c>
      <c r="AU85" s="391">
        <f t="shared" si="176"/>
        <v>0</v>
      </c>
      <c r="AV85" s="392">
        <v>0</v>
      </c>
      <c r="AW85" s="391">
        <f t="shared" si="188"/>
        <v>0</v>
      </c>
      <c r="AX85" s="391">
        <v>0</v>
      </c>
      <c r="AY85" s="391">
        <f t="shared" si="177"/>
        <v>0</v>
      </c>
      <c r="AZ85" s="392">
        <v>0</v>
      </c>
      <c r="BA85" s="391">
        <f t="shared" ref="BA85:BA92" si="192">AZ85*E85</f>
        <v>0</v>
      </c>
      <c r="BB85" s="392">
        <v>0</v>
      </c>
      <c r="BC85" s="391">
        <f t="shared" si="178"/>
        <v>0</v>
      </c>
      <c r="BD85" s="392">
        <v>0</v>
      </c>
      <c r="BE85" s="391">
        <f t="shared" si="169"/>
        <v>0</v>
      </c>
      <c r="BF85" s="392">
        <v>7</v>
      </c>
      <c r="BG85" s="391">
        <f t="shared" si="179"/>
        <v>350000</v>
      </c>
      <c r="BH85" s="392"/>
      <c r="BI85" s="391">
        <f t="shared" si="170"/>
        <v>0</v>
      </c>
      <c r="BJ85" s="392">
        <f t="shared" si="171"/>
        <v>32</v>
      </c>
      <c r="BK85" s="392">
        <f t="shared" si="171"/>
        <v>1300000</v>
      </c>
      <c r="BL85" s="418" t="s">
        <v>295</v>
      </c>
      <c r="BM85" s="400"/>
      <c r="BN85" s="396"/>
      <c r="BO85" s="251"/>
      <c r="BP85" s="396">
        <f t="shared" si="172"/>
        <v>1300000</v>
      </c>
      <c r="BQ85" s="251"/>
      <c r="BR85" s="251">
        <f t="shared" si="180"/>
        <v>1300000</v>
      </c>
      <c r="BS85" s="251"/>
      <c r="BT85" s="251"/>
      <c r="BU85" s="251"/>
      <c r="BV85" s="393">
        <f t="shared" si="181"/>
        <v>1300000</v>
      </c>
    </row>
    <row r="86" spans="1:74" x14ac:dyDescent="0.25">
      <c r="A86" s="394"/>
      <c r="B86" s="377"/>
      <c r="C86" s="408" t="s">
        <v>241</v>
      </c>
      <c r="D86" s="408" t="s">
        <v>75</v>
      </c>
      <c r="E86" s="409">
        <v>260000</v>
      </c>
      <c r="F86" s="395">
        <f t="shared" si="164"/>
        <v>25</v>
      </c>
      <c r="G86" s="395">
        <f t="shared" si="164"/>
        <v>6500000</v>
      </c>
      <c r="H86" s="396"/>
      <c r="I86" s="396"/>
      <c r="J86" s="396"/>
      <c r="K86" s="396"/>
      <c r="L86" s="396"/>
      <c r="M86" s="396">
        <f t="shared" si="165"/>
        <v>6500000</v>
      </c>
      <c r="N86" s="396"/>
      <c r="O86" s="396"/>
      <c r="P86" s="396"/>
      <c r="Q86" s="396"/>
      <c r="R86" s="392">
        <f t="shared" si="166"/>
        <v>8.75</v>
      </c>
      <c r="S86" s="392">
        <f t="shared" si="167"/>
        <v>16.25</v>
      </c>
      <c r="T86" s="392"/>
      <c r="U86" s="392"/>
      <c r="V86" s="391">
        <f t="shared" ref="V86:V87" si="193">G86*0.5</f>
        <v>3250000</v>
      </c>
      <c r="W86" s="391">
        <f t="shared" ref="W86:W87" si="194">G86*0.5</f>
        <v>3250000</v>
      </c>
      <c r="X86" s="391">
        <f t="shared" si="173"/>
        <v>0</v>
      </c>
      <c r="Y86" s="391">
        <f t="shared" si="168"/>
        <v>0</v>
      </c>
      <c r="Z86" s="392">
        <v>0</v>
      </c>
      <c r="AA86" s="391">
        <f t="shared" si="182"/>
        <v>0</v>
      </c>
      <c r="AB86" s="395"/>
      <c r="AC86" s="391">
        <f t="shared" si="163"/>
        <v>0</v>
      </c>
      <c r="AD86" s="392">
        <v>0</v>
      </c>
      <c r="AE86" s="391">
        <f t="shared" si="183"/>
        <v>0</v>
      </c>
      <c r="AF86" s="392">
        <v>0</v>
      </c>
      <c r="AG86" s="391">
        <f t="shared" si="184"/>
        <v>0</v>
      </c>
      <c r="AH86" s="392">
        <v>0</v>
      </c>
      <c r="AI86" s="391">
        <f t="shared" si="174"/>
        <v>0</v>
      </c>
      <c r="AJ86" s="392">
        <v>10</v>
      </c>
      <c r="AK86" s="391">
        <f>AJ86*E86</f>
        <v>2600000</v>
      </c>
      <c r="AL86" s="392">
        <v>0</v>
      </c>
      <c r="AM86" s="391">
        <f>AL86*E86</f>
        <v>0</v>
      </c>
      <c r="AN86" s="392">
        <v>0</v>
      </c>
      <c r="AO86" s="391">
        <v>0</v>
      </c>
      <c r="AP86" s="392"/>
      <c r="AQ86" s="391">
        <f t="shared" si="187"/>
        <v>0</v>
      </c>
      <c r="AR86" s="392">
        <v>0</v>
      </c>
      <c r="AS86" s="391">
        <f t="shared" si="191"/>
        <v>0</v>
      </c>
      <c r="AT86" s="392">
        <v>0</v>
      </c>
      <c r="AU86" s="391">
        <f t="shared" si="176"/>
        <v>0</v>
      </c>
      <c r="AV86" s="392">
        <v>0</v>
      </c>
      <c r="AW86" s="391">
        <f t="shared" si="188"/>
        <v>0</v>
      </c>
      <c r="AX86" s="391">
        <v>0</v>
      </c>
      <c r="AY86" s="391">
        <f t="shared" si="177"/>
        <v>0</v>
      </c>
      <c r="AZ86" s="392">
        <v>10</v>
      </c>
      <c r="BA86" s="391">
        <f>AZ86*E86</f>
        <v>2600000</v>
      </c>
      <c r="BB86" s="392">
        <v>0</v>
      </c>
      <c r="BC86" s="391">
        <f t="shared" si="178"/>
        <v>0</v>
      </c>
      <c r="BD86" s="392">
        <v>5</v>
      </c>
      <c r="BE86" s="391">
        <f t="shared" si="169"/>
        <v>1300000</v>
      </c>
      <c r="BF86" s="392">
        <v>0</v>
      </c>
      <c r="BG86" s="391">
        <f t="shared" si="179"/>
        <v>0</v>
      </c>
      <c r="BH86" s="392"/>
      <c r="BI86" s="391">
        <f t="shared" si="170"/>
        <v>0</v>
      </c>
      <c r="BJ86" s="392">
        <f>BH86+BF86+BD86+BB86+AZ86+AX86+AV86+AT86+AR86+AP86+AN86+AL86+AJ86+AH86+AF86+AD86+AB86+Z86</f>
        <v>25</v>
      </c>
      <c r="BK86" s="392">
        <f t="shared" si="171"/>
        <v>6500000</v>
      </c>
      <c r="BL86" s="418" t="s">
        <v>295</v>
      </c>
      <c r="BM86" s="400"/>
      <c r="BN86" s="396"/>
      <c r="BO86" s="251"/>
      <c r="BP86" s="396">
        <f t="shared" si="172"/>
        <v>6500000</v>
      </c>
      <c r="BQ86" s="251"/>
      <c r="BR86" s="251">
        <f t="shared" si="180"/>
        <v>6500000</v>
      </c>
      <c r="BS86" s="251"/>
      <c r="BT86" s="251"/>
      <c r="BU86" s="251"/>
      <c r="BV86" s="393">
        <f t="shared" si="181"/>
        <v>6500000</v>
      </c>
    </row>
    <row r="87" spans="1:74" x14ac:dyDescent="0.25">
      <c r="A87" s="394"/>
      <c r="B87" s="377"/>
      <c r="C87" s="408" t="s">
        <v>242</v>
      </c>
      <c r="D87" s="408" t="s">
        <v>75</v>
      </c>
      <c r="E87" s="409">
        <v>0</v>
      </c>
      <c r="F87" s="395">
        <f t="shared" si="164"/>
        <v>24</v>
      </c>
      <c r="G87" s="395">
        <f t="shared" si="164"/>
        <v>0</v>
      </c>
      <c r="H87" s="396"/>
      <c r="I87" s="396"/>
      <c r="J87" s="396"/>
      <c r="K87" s="396"/>
      <c r="L87" s="396"/>
      <c r="M87" s="396">
        <f t="shared" si="165"/>
        <v>0</v>
      </c>
      <c r="N87" s="396"/>
      <c r="O87" s="396"/>
      <c r="P87" s="396"/>
      <c r="Q87" s="396"/>
      <c r="R87" s="392">
        <f t="shared" si="166"/>
        <v>8.3999999999999986</v>
      </c>
      <c r="S87" s="392">
        <f t="shared" si="167"/>
        <v>15.600000000000001</v>
      </c>
      <c r="T87" s="392"/>
      <c r="U87" s="392"/>
      <c r="V87" s="391">
        <f t="shared" si="193"/>
        <v>0</v>
      </c>
      <c r="W87" s="391">
        <f t="shared" si="194"/>
        <v>0</v>
      </c>
      <c r="X87" s="391">
        <f t="shared" si="173"/>
        <v>0</v>
      </c>
      <c r="Y87" s="391">
        <f t="shared" si="168"/>
        <v>0</v>
      </c>
      <c r="Z87" s="392">
        <v>10</v>
      </c>
      <c r="AA87" s="391">
        <f>Z87*E87</f>
        <v>0</v>
      </c>
      <c r="AB87" s="395"/>
      <c r="AC87" s="391">
        <f t="shared" si="163"/>
        <v>0</v>
      </c>
      <c r="AD87" s="392">
        <v>0</v>
      </c>
      <c r="AE87" s="391">
        <f t="shared" si="183"/>
        <v>0</v>
      </c>
      <c r="AF87" s="392">
        <v>0</v>
      </c>
      <c r="AG87" s="391">
        <f t="shared" si="184"/>
        <v>0</v>
      </c>
      <c r="AH87" s="392">
        <v>10</v>
      </c>
      <c r="AI87" s="391">
        <f t="shared" si="174"/>
        <v>0</v>
      </c>
      <c r="AJ87" s="392">
        <v>0</v>
      </c>
      <c r="AK87" s="391">
        <f t="shared" si="185"/>
        <v>0</v>
      </c>
      <c r="AL87" s="392">
        <v>0</v>
      </c>
      <c r="AM87" s="391">
        <f>AL87*E87</f>
        <v>0</v>
      </c>
      <c r="AN87" s="392">
        <v>0</v>
      </c>
      <c r="AO87" s="391">
        <f t="shared" si="175"/>
        <v>0</v>
      </c>
      <c r="AP87" s="392">
        <v>0</v>
      </c>
      <c r="AQ87" s="391">
        <f t="shared" si="187"/>
        <v>0</v>
      </c>
      <c r="AR87" s="392">
        <v>0</v>
      </c>
      <c r="AS87" s="391">
        <f t="shared" si="191"/>
        <v>0</v>
      </c>
      <c r="AT87" s="392">
        <v>0</v>
      </c>
      <c r="AU87" s="391">
        <f t="shared" si="176"/>
        <v>0</v>
      </c>
      <c r="AV87" s="392">
        <v>0</v>
      </c>
      <c r="AW87" s="391">
        <f t="shared" si="188"/>
        <v>0</v>
      </c>
      <c r="AX87" s="391">
        <v>0</v>
      </c>
      <c r="AY87" s="391">
        <f t="shared" si="177"/>
        <v>0</v>
      </c>
      <c r="AZ87" s="392">
        <v>3</v>
      </c>
      <c r="BA87" s="391">
        <f t="shared" si="192"/>
        <v>0</v>
      </c>
      <c r="BB87" s="392">
        <v>1</v>
      </c>
      <c r="BC87" s="391">
        <f t="shared" si="178"/>
        <v>0</v>
      </c>
      <c r="BD87" s="392">
        <v>0</v>
      </c>
      <c r="BE87" s="391">
        <f t="shared" si="169"/>
        <v>0</v>
      </c>
      <c r="BF87" s="392">
        <v>0</v>
      </c>
      <c r="BG87" s="391">
        <f t="shared" si="179"/>
        <v>0</v>
      </c>
      <c r="BH87" s="392"/>
      <c r="BI87" s="391">
        <f t="shared" si="170"/>
        <v>0</v>
      </c>
      <c r="BJ87" s="392">
        <f>BH87+BF87+BD87+BB87+AZ87+AX87+AV87+AT87+AR87+AP87+AN87+AL87+AJ87+AH87+AF87+AD87+AB87+Z87</f>
        <v>24</v>
      </c>
      <c r="BK87" s="392">
        <f t="shared" si="171"/>
        <v>0</v>
      </c>
      <c r="BL87" s="418" t="s">
        <v>295</v>
      </c>
      <c r="BM87" s="400"/>
      <c r="BN87" s="396"/>
      <c r="BO87" s="251"/>
      <c r="BP87" s="396">
        <f t="shared" si="172"/>
        <v>0</v>
      </c>
      <c r="BQ87" s="251"/>
      <c r="BR87" s="251">
        <f t="shared" si="180"/>
        <v>0</v>
      </c>
      <c r="BS87" s="251"/>
      <c r="BT87" s="251"/>
      <c r="BU87" s="251"/>
      <c r="BV87" s="393">
        <f t="shared" ref="BV87:BV101" si="195">BR87+BU87</f>
        <v>0</v>
      </c>
    </row>
    <row r="88" spans="1:74" x14ac:dyDescent="0.25">
      <c r="A88" s="394"/>
      <c r="B88" s="377"/>
      <c r="C88" s="408" t="s">
        <v>243</v>
      </c>
      <c r="D88" s="408" t="s">
        <v>75</v>
      </c>
      <c r="E88" s="409">
        <v>0</v>
      </c>
      <c r="F88" s="395">
        <f t="shared" si="164"/>
        <v>13</v>
      </c>
      <c r="G88" s="395">
        <f t="shared" ref="G88" si="196">BK88</f>
        <v>0</v>
      </c>
      <c r="H88" s="396"/>
      <c r="I88" s="396"/>
      <c r="J88" s="396"/>
      <c r="K88" s="396"/>
      <c r="L88" s="396"/>
      <c r="M88" s="396">
        <f t="shared" si="165"/>
        <v>0</v>
      </c>
      <c r="N88" s="396"/>
      <c r="O88" s="396"/>
      <c r="P88" s="396"/>
      <c r="Q88" s="396"/>
      <c r="R88" s="392">
        <f t="shared" si="166"/>
        <v>4.55</v>
      </c>
      <c r="S88" s="392">
        <f t="shared" si="167"/>
        <v>8.4500000000000011</v>
      </c>
      <c r="T88" s="392"/>
      <c r="U88" s="392"/>
      <c r="V88" s="391">
        <f>G88*0.5</f>
        <v>0</v>
      </c>
      <c r="W88" s="391">
        <f>G88*0.5</f>
        <v>0</v>
      </c>
      <c r="X88" s="391">
        <f t="shared" si="173"/>
        <v>0</v>
      </c>
      <c r="Y88" s="391">
        <f t="shared" si="168"/>
        <v>0</v>
      </c>
      <c r="Z88" s="392">
        <v>0</v>
      </c>
      <c r="AA88" s="391">
        <f t="shared" si="182"/>
        <v>0</v>
      </c>
      <c r="AB88" s="395">
        <v>0</v>
      </c>
      <c r="AC88" s="391">
        <f t="shared" si="163"/>
        <v>0</v>
      </c>
      <c r="AD88" s="392">
        <v>0</v>
      </c>
      <c r="AE88" s="391">
        <f t="shared" si="183"/>
        <v>0</v>
      </c>
      <c r="AF88" s="392">
        <v>0</v>
      </c>
      <c r="AG88" s="391">
        <f t="shared" si="184"/>
        <v>0</v>
      </c>
      <c r="AH88" s="392">
        <v>0</v>
      </c>
      <c r="AI88" s="391">
        <f t="shared" si="174"/>
        <v>0</v>
      </c>
      <c r="AJ88" s="392">
        <v>0</v>
      </c>
      <c r="AK88" s="391">
        <f t="shared" si="185"/>
        <v>0</v>
      </c>
      <c r="AL88" s="392">
        <v>0</v>
      </c>
      <c r="AM88" s="391">
        <f t="shared" si="186"/>
        <v>0</v>
      </c>
      <c r="AN88" s="392">
        <v>0</v>
      </c>
      <c r="AO88" s="391">
        <f t="shared" si="175"/>
        <v>0</v>
      </c>
      <c r="AP88" s="392">
        <v>0</v>
      </c>
      <c r="AQ88" s="391">
        <f t="shared" si="187"/>
        <v>0</v>
      </c>
      <c r="AR88" s="392">
        <v>10</v>
      </c>
      <c r="AS88" s="391">
        <v>0</v>
      </c>
      <c r="AT88" s="392">
        <v>3</v>
      </c>
      <c r="AU88" s="391">
        <f t="shared" si="176"/>
        <v>0</v>
      </c>
      <c r="AV88" s="392">
        <v>0</v>
      </c>
      <c r="AW88" s="391">
        <f t="shared" si="188"/>
        <v>0</v>
      </c>
      <c r="AX88" s="391">
        <v>0</v>
      </c>
      <c r="AY88" s="391">
        <f t="shared" si="177"/>
        <v>0</v>
      </c>
      <c r="AZ88" s="392">
        <v>0</v>
      </c>
      <c r="BA88" s="391">
        <f t="shared" si="192"/>
        <v>0</v>
      </c>
      <c r="BB88" s="392">
        <v>0</v>
      </c>
      <c r="BC88" s="391">
        <f t="shared" si="178"/>
        <v>0</v>
      </c>
      <c r="BD88" s="392">
        <v>0</v>
      </c>
      <c r="BE88" s="391">
        <f t="shared" si="169"/>
        <v>0</v>
      </c>
      <c r="BF88" s="392">
        <v>0</v>
      </c>
      <c r="BG88" s="391">
        <f t="shared" si="179"/>
        <v>0</v>
      </c>
      <c r="BH88" s="392"/>
      <c r="BI88" s="391">
        <f t="shared" si="170"/>
        <v>0</v>
      </c>
      <c r="BJ88" s="392">
        <f>BH88+BF88+BD88+BB88+AZ88+AX88+AV88+AT88+AR88+AP88+AN88+AL88+AJ88+AH88+AF88+AD88+AB88+Z88</f>
        <v>13</v>
      </c>
      <c r="BK88" s="392">
        <f t="shared" si="171"/>
        <v>0</v>
      </c>
      <c r="BL88" s="418" t="s">
        <v>295</v>
      </c>
      <c r="BM88" s="400"/>
      <c r="BN88" s="396"/>
      <c r="BO88" s="251"/>
      <c r="BP88" s="396">
        <f t="shared" si="172"/>
        <v>0</v>
      </c>
      <c r="BQ88" s="251"/>
      <c r="BR88" s="251">
        <f t="shared" ref="BR88:BR101" si="197">BN88+BO88+BP88+BQ88</f>
        <v>0</v>
      </c>
      <c r="BS88" s="251"/>
      <c r="BT88" s="251"/>
      <c r="BU88" s="251"/>
      <c r="BV88" s="393">
        <f t="shared" si="195"/>
        <v>0</v>
      </c>
    </row>
    <row r="89" spans="1:74" x14ac:dyDescent="0.25">
      <c r="A89" s="394"/>
      <c r="B89" s="377"/>
      <c r="C89" s="408" t="s">
        <v>608</v>
      </c>
      <c r="D89" s="408" t="s">
        <v>75</v>
      </c>
      <c r="E89" s="409">
        <v>100000</v>
      </c>
      <c r="F89" s="395">
        <f t="shared" si="164"/>
        <v>5</v>
      </c>
      <c r="G89" s="396">
        <f t="shared" ref="G89:G101" si="198">F89*E89</f>
        <v>500000</v>
      </c>
      <c r="H89" s="396"/>
      <c r="I89" s="396"/>
      <c r="J89" s="396"/>
      <c r="K89" s="396"/>
      <c r="L89" s="396"/>
      <c r="M89" s="396">
        <f t="shared" si="165"/>
        <v>500000</v>
      </c>
      <c r="N89" s="396"/>
      <c r="O89" s="396"/>
      <c r="P89" s="396"/>
      <c r="Q89" s="396"/>
      <c r="R89" s="392">
        <f>F89*0.35</f>
        <v>1.75</v>
      </c>
      <c r="S89" s="392">
        <f>F89*0.65</f>
        <v>3.25</v>
      </c>
      <c r="T89" s="392"/>
      <c r="U89" s="392"/>
      <c r="V89" s="391">
        <f>G89*0.25</f>
        <v>125000</v>
      </c>
      <c r="W89" s="391">
        <f>G89*0.25</f>
        <v>125000</v>
      </c>
      <c r="X89" s="391">
        <f>G89*0.25</f>
        <v>125000</v>
      </c>
      <c r="Y89" s="391">
        <f>G89*0.25</f>
        <v>125000</v>
      </c>
      <c r="Z89" s="392"/>
      <c r="AA89" s="391"/>
      <c r="AB89" s="395"/>
      <c r="AC89" s="391"/>
      <c r="AD89" s="392"/>
      <c r="AE89" s="391"/>
      <c r="AF89" s="392"/>
      <c r="AG89" s="391"/>
      <c r="AH89" s="392"/>
      <c r="AI89" s="391"/>
      <c r="AJ89" s="392">
        <v>0</v>
      </c>
      <c r="AK89" s="391"/>
      <c r="AL89" s="392"/>
      <c r="AM89" s="391"/>
      <c r="AN89" s="392"/>
      <c r="AO89" s="391"/>
      <c r="AP89" s="392">
        <v>0</v>
      </c>
      <c r="AQ89" s="391"/>
      <c r="AR89" s="392"/>
      <c r="AS89" s="391"/>
      <c r="AT89" s="392">
        <v>0</v>
      </c>
      <c r="AU89" s="391"/>
      <c r="AV89" s="392">
        <v>5</v>
      </c>
      <c r="AW89" s="391">
        <f t="shared" si="188"/>
        <v>500000</v>
      </c>
      <c r="AX89" s="391"/>
      <c r="AY89" s="391"/>
      <c r="AZ89" s="392">
        <v>0</v>
      </c>
      <c r="BA89" s="391"/>
      <c r="BB89" s="392">
        <v>0</v>
      </c>
      <c r="BC89" s="391"/>
      <c r="BD89" s="392"/>
      <c r="BE89" s="391"/>
      <c r="BF89" s="392"/>
      <c r="BG89" s="391"/>
      <c r="BH89" s="392"/>
      <c r="BI89" s="391">
        <f t="shared" si="170"/>
        <v>0</v>
      </c>
      <c r="BJ89" s="392">
        <f>BH89+BF89+BD89+BB89+AZ89+AX89+AV89+AT89+AR89+AP89+AN89+AL89+AJ89+AH89+AF89+AD89+AB89+Z89</f>
        <v>5</v>
      </c>
      <c r="BK89" s="392">
        <f t="shared" si="171"/>
        <v>500000</v>
      </c>
      <c r="BL89" s="418" t="s">
        <v>295</v>
      </c>
      <c r="BM89" s="400"/>
      <c r="BN89" s="396"/>
      <c r="BO89" s="251"/>
      <c r="BP89" s="396">
        <f t="shared" si="172"/>
        <v>500000</v>
      </c>
      <c r="BQ89" s="251"/>
      <c r="BR89" s="251">
        <f t="shared" si="197"/>
        <v>500000</v>
      </c>
      <c r="BS89" s="251"/>
      <c r="BT89" s="251"/>
      <c r="BU89" s="251"/>
      <c r="BV89" s="393">
        <f t="shared" si="195"/>
        <v>500000</v>
      </c>
    </row>
    <row r="90" spans="1:74" x14ac:dyDescent="0.25">
      <c r="A90" s="394"/>
      <c r="B90" s="377"/>
      <c r="C90" s="408" t="s">
        <v>623</v>
      </c>
      <c r="D90" s="408" t="s">
        <v>75</v>
      </c>
      <c r="E90" s="409">
        <v>217500</v>
      </c>
      <c r="F90" s="395">
        <f t="shared" si="164"/>
        <v>17</v>
      </c>
      <c r="G90" s="395">
        <f t="shared" ref="G90:G91" si="199">BK90</f>
        <v>2097500</v>
      </c>
      <c r="H90" s="396"/>
      <c r="I90" s="396"/>
      <c r="J90" s="396"/>
      <c r="K90" s="396"/>
      <c r="L90" s="396"/>
      <c r="M90" s="396">
        <f t="shared" si="165"/>
        <v>2097500</v>
      </c>
      <c r="N90" s="396"/>
      <c r="O90" s="396"/>
      <c r="P90" s="396"/>
      <c r="Q90" s="396"/>
      <c r="R90" s="392">
        <f>F90*0.15</f>
        <v>2.5499999999999998</v>
      </c>
      <c r="S90" s="392">
        <f>F90*0.7</f>
        <v>11.899999999999999</v>
      </c>
      <c r="T90" s="392">
        <f>F90:F90*0.15</f>
        <v>2.5499999999999998</v>
      </c>
      <c r="U90" s="392"/>
      <c r="V90" s="391">
        <f>G90*0.25</f>
        <v>524375</v>
      </c>
      <c r="W90" s="391">
        <f>G90*0.25</f>
        <v>524375</v>
      </c>
      <c r="X90" s="391">
        <f>G90*0.25</f>
        <v>524375</v>
      </c>
      <c r="Y90" s="391">
        <f>G90*0.25</f>
        <v>524375</v>
      </c>
      <c r="Z90" s="392">
        <v>0</v>
      </c>
      <c r="AA90" s="391">
        <f t="shared" si="182"/>
        <v>0</v>
      </c>
      <c r="AB90" s="395">
        <v>2</v>
      </c>
      <c r="AC90" s="391">
        <f>AB90*E90-100000</f>
        <v>335000</v>
      </c>
      <c r="AD90" s="392">
        <v>0</v>
      </c>
      <c r="AE90" s="391">
        <f t="shared" si="183"/>
        <v>0</v>
      </c>
      <c r="AF90" s="392">
        <v>0</v>
      </c>
      <c r="AG90" s="391">
        <f t="shared" si="184"/>
        <v>0</v>
      </c>
      <c r="AH90" s="392">
        <v>0</v>
      </c>
      <c r="AI90" s="391">
        <f t="shared" si="174"/>
        <v>0</v>
      </c>
      <c r="AJ90" s="392">
        <v>0</v>
      </c>
      <c r="AK90" s="391">
        <f t="shared" si="185"/>
        <v>0</v>
      </c>
      <c r="AL90" s="392">
        <v>0</v>
      </c>
      <c r="AM90" s="391">
        <f t="shared" si="186"/>
        <v>0</v>
      </c>
      <c r="AN90" s="392">
        <v>0</v>
      </c>
      <c r="AO90" s="391">
        <f t="shared" si="175"/>
        <v>0</v>
      </c>
      <c r="AP90" s="392">
        <v>5</v>
      </c>
      <c r="AQ90" s="391">
        <f>AP90*E90-300000</f>
        <v>787500</v>
      </c>
      <c r="AR90" s="392">
        <v>0</v>
      </c>
      <c r="AS90" s="391">
        <f t="shared" si="191"/>
        <v>0</v>
      </c>
      <c r="AT90" s="392">
        <v>0</v>
      </c>
      <c r="AU90" s="391">
        <f t="shared" si="176"/>
        <v>0</v>
      </c>
      <c r="AV90" s="392">
        <v>0</v>
      </c>
      <c r="AW90" s="391">
        <f t="shared" si="188"/>
        <v>0</v>
      </c>
      <c r="AX90" s="391">
        <v>0</v>
      </c>
      <c r="AY90" s="391">
        <f t="shared" si="177"/>
        <v>0</v>
      </c>
      <c r="AZ90" s="392">
        <v>0</v>
      </c>
      <c r="BA90" s="391">
        <f t="shared" si="192"/>
        <v>0</v>
      </c>
      <c r="BB90" s="392">
        <v>10</v>
      </c>
      <c r="BC90" s="391">
        <f>BB90*E90-1200000</f>
        <v>975000</v>
      </c>
      <c r="BD90" s="392">
        <v>0</v>
      </c>
      <c r="BE90" s="391">
        <f t="shared" si="169"/>
        <v>0</v>
      </c>
      <c r="BF90" s="392">
        <v>0</v>
      </c>
      <c r="BG90" s="391">
        <f t="shared" si="179"/>
        <v>0</v>
      </c>
      <c r="BH90" s="392"/>
      <c r="BI90" s="391">
        <f t="shared" si="170"/>
        <v>0</v>
      </c>
      <c r="BJ90" s="392">
        <f t="shared" ref="BJ90:BK101" si="200">BH90+BF90+BD90+BB90+AZ90+AX90+AV90+AT90+AR90+AP90+AN90+AL90+AJ90+AH90+AF90+AD90+AB90+Z90</f>
        <v>17</v>
      </c>
      <c r="BK90" s="392">
        <f t="shared" si="171"/>
        <v>2097500</v>
      </c>
      <c r="BL90" s="418" t="s">
        <v>295</v>
      </c>
      <c r="BM90" s="400"/>
      <c r="BN90" s="396"/>
      <c r="BO90" s="251"/>
      <c r="BP90" s="396">
        <f t="shared" si="172"/>
        <v>2097500</v>
      </c>
      <c r="BQ90" s="251"/>
      <c r="BR90" s="251">
        <f t="shared" si="197"/>
        <v>2097500</v>
      </c>
      <c r="BS90" s="251"/>
      <c r="BT90" s="251"/>
      <c r="BU90" s="251"/>
      <c r="BV90" s="393">
        <f t="shared" si="195"/>
        <v>2097500</v>
      </c>
    </row>
    <row r="91" spans="1:74" x14ac:dyDescent="0.25">
      <c r="A91" s="394"/>
      <c r="B91" s="377"/>
      <c r="C91" s="408" t="s">
        <v>244</v>
      </c>
      <c r="D91" s="408" t="s">
        <v>75</v>
      </c>
      <c r="E91" s="409">
        <v>236000</v>
      </c>
      <c r="F91" s="395">
        <f t="shared" si="164"/>
        <v>0</v>
      </c>
      <c r="G91" s="395">
        <f t="shared" si="199"/>
        <v>0</v>
      </c>
      <c r="H91" s="396"/>
      <c r="I91" s="396"/>
      <c r="J91" s="396"/>
      <c r="K91" s="396"/>
      <c r="L91" s="396"/>
      <c r="M91" s="396">
        <f t="shared" si="165"/>
        <v>0</v>
      </c>
      <c r="N91" s="396"/>
      <c r="O91" s="396"/>
      <c r="P91" s="396"/>
      <c r="Q91" s="396"/>
      <c r="R91" s="392">
        <f>F91*0.15</f>
        <v>0</v>
      </c>
      <c r="S91" s="392">
        <f>F91*0.7</f>
        <v>0</v>
      </c>
      <c r="T91" s="392">
        <f>F91:F91*0.15</f>
        <v>0</v>
      </c>
      <c r="U91" s="392"/>
      <c r="V91" s="391">
        <f>G91*0.25</f>
        <v>0</v>
      </c>
      <c r="W91" s="391">
        <f>G91*0.25</f>
        <v>0</v>
      </c>
      <c r="X91" s="391">
        <f>G91*0.25</f>
        <v>0</v>
      </c>
      <c r="Y91" s="391">
        <f>G91*0.25</f>
        <v>0</v>
      </c>
      <c r="Z91" s="392">
        <v>0</v>
      </c>
      <c r="AA91" s="391">
        <f t="shared" si="182"/>
        <v>0</v>
      </c>
      <c r="AB91" s="395"/>
      <c r="AC91" s="391">
        <f t="shared" si="163"/>
        <v>0</v>
      </c>
      <c r="AD91" s="392"/>
      <c r="AE91" s="391">
        <f t="shared" si="183"/>
        <v>0</v>
      </c>
      <c r="AF91" s="392">
        <v>0</v>
      </c>
      <c r="AG91" s="391">
        <f t="shared" si="184"/>
        <v>0</v>
      </c>
      <c r="AH91" s="392">
        <v>0</v>
      </c>
      <c r="AI91" s="391">
        <f t="shared" si="174"/>
        <v>0</v>
      </c>
      <c r="AJ91" s="392">
        <v>0</v>
      </c>
      <c r="AK91" s="391">
        <f t="shared" si="185"/>
        <v>0</v>
      </c>
      <c r="AL91" s="392">
        <v>0</v>
      </c>
      <c r="AM91" s="391">
        <f t="shared" si="186"/>
        <v>0</v>
      </c>
      <c r="AN91" s="392">
        <v>0</v>
      </c>
      <c r="AO91" s="391">
        <f t="shared" si="175"/>
        <v>0</v>
      </c>
      <c r="AP91" s="392">
        <v>0</v>
      </c>
      <c r="AQ91" s="391">
        <f t="shared" si="187"/>
        <v>0</v>
      </c>
      <c r="AR91" s="392">
        <v>0</v>
      </c>
      <c r="AS91" s="391">
        <f>AR91*E91</f>
        <v>0</v>
      </c>
      <c r="AT91" s="392">
        <v>0</v>
      </c>
      <c r="AU91" s="391">
        <f t="shared" si="176"/>
        <v>0</v>
      </c>
      <c r="AV91" s="392">
        <v>0</v>
      </c>
      <c r="AW91" s="391">
        <f t="shared" si="188"/>
        <v>0</v>
      </c>
      <c r="AX91" s="391">
        <v>0</v>
      </c>
      <c r="AY91" s="391">
        <f t="shared" si="177"/>
        <v>0</v>
      </c>
      <c r="AZ91" s="392"/>
      <c r="BA91" s="391">
        <f t="shared" si="192"/>
        <v>0</v>
      </c>
      <c r="BB91" s="392">
        <v>0</v>
      </c>
      <c r="BC91" s="391">
        <f t="shared" si="178"/>
        <v>0</v>
      </c>
      <c r="BD91" s="392">
        <v>0</v>
      </c>
      <c r="BE91" s="391">
        <f t="shared" si="169"/>
        <v>0</v>
      </c>
      <c r="BF91" s="392">
        <v>0</v>
      </c>
      <c r="BG91" s="391">
        <f t="shared" si="179"/>
        <v>0</v>
      </c>
      <c r="BH91" s="392"/>
      <c r="BI91" s="391">
        <f t="shared" si="170"/>
        <v>0</v>
      </c>
      <c r="BJ91" s="392">
        <f t="shared" si="200"/>
        <v>0</v>
      </c>
      <c r="BK91" s="392">
        <f t="shared" si="171"/>
        <v>0</v>
      </c>
      <c r="BL91" s="418" t="s">
        <v>295</v>
      </c>
      <c r="BM91" s="400"/>
      <c r="BN91" s="396"/>
      <c r="BO91" s="251"/>
      <c r="BP91" s="396">
        <f t="shared" si="172"/>
        <v>0</v>
      </c>
      <c r="BQ91" s="251"/>
      <c r="BR91" s="251">
        <f t="shared" si="197"/>
        <v>0</v>
      </c>
      <c r="BS91" s="251"/>
      <c r="BT91" s="251"/>
      <c r="BU91" s="251"/>
      <c r="BV91" s="393">
        <f t="shared" si="195"/>
        <v>0</v>
      </c>
    </row>
    <row r="92" spans="1:74" x14ac:dyDescent="0.25">
      <c r="A92" s="394"/>
      <c r="B92" s="377"/>
      <c r="C92" s="408" t="s">
        <v>245</v>
      </c>
      <c r="D92" s="408" t="s">
        <v>75</v>
      </c>
      <c r="E92" s="409">
        <v>228000</v>
      </c>
      <c r="F92" s="395">
        <f t="shared" si="164"/>
        <v>2</v>
      </c>
      <c r="G92" s="396">
        <f t="shared" si="198"/>
        <v>456000</v>
      </c>
      <c r="H92" s="396"/>
      <c r="I92" s="396"/>
      <c r="J92" s="396"/>
      <c r="K92" s="396"/>
      <c r="L92" s="396"/>
      <c r="M92" s="396">
        <f t="shared" si="165"/>
        <v>456000</v>
      </c>
      <c r="N92" s="396"/>
      <c r="O92" s="396"/>
      <c r="P92" s="396"/>
      <c r="Q92" s="396"/>
      <c r="R92" s="392">
        <f>F92*0.35</f>
        <v>0.7</v>
      </c>
      <c r="S92" s="392">
        <f>F92*0.65</f>
        <v>1.3</v>
      </c>
      <c r="T92" s="392"/>
      <c r="U92" s="392"/>
      <c r="V92" s="391">
        <f t="shared" ref="V92:V101" si="201">R92*E92</f>
        <v>159600</v>
      </c>
      <c r="W92" s="391">
        <f t="shared" ref="W92:W101" si="202">S92*E92</f>
        <v>296400</v>
      </c>
      <c r="X92" s="391">
        <f t="shared" si="173"/>
        <v>0</v>
      </c>
      <c r="Y92" s="391">
        <f t="shared" si="168"/>
        <v>0</v>
      </c>
      <c r="Z92" s="392">
        <v>0</v>
      </c>
      <c r="AA92" s="391">
        <f t="shared" si="182"/>
        <v>0</v>
      </c>
      <c r="AB92" s="380">
        <v>2</v>
      </c>
      <c r="AC92" s="391">
        <f t="shared" si="163"/>
        <v>456000</v>
      </c>
      <c r="AD92" s="392">
        <v>0</v>
      </c>
      <c r="AE92" s="391">
        <f t="shared" si="183"/>
        <v>0</v>
      </c>
      <c r="AF92" s="392">
        <v>0</v>
      </c>
      <c r="AG92" s="391">
        <f t="shared" si="184"/>
        <v>0</v>
      </c>
      <c r="AH92" s="392">
        <v>0</v>
      </c>
      <c r="AI92" s="391">
        <f t="shared" si="174"/>
        <v>0</v>
      </c>
      <c r="AJ92" s="392">
        <v>0</v>
      </c>
      <c r="AK92" s="391">
        <f t="shared" si="185"/>
        <v>0</v>
      </c>
      <c r="AL92" s="392">
        <v>0</v>
      </c>
      <c r="AM92" s="391">
        <f t="shared" si="186"/>
        <v>0</v>
      </c>
      <c r="AN92" s="392">
        <v>0</v>
      </c>
      <c r="AO92" s="391">
        <f t="shared" si="175"/>
        <v>0</v>
      </c>
      <c r="AP92" s="392"/>
      <c r="AQ92" s="391">
        <f t="shared" si="187"/>
        <v>0</v>
      </c>
      <c r="AR92" s="392">
        <v>0</v>
      </c>
      <c r="AS92" s="391">
        <f t="shared" si="191"/>
        <v>0</v>
      </c>
      <c r="AT92" s="392">
        <v>0</v>
      </c>
      <c r="AU92" s="391">
        <f t="shared" si="176"/>
        <v>0</v>
      </c>
      <c r="AV92" s="392">
        <v>0</v>
      </c>
      <c r="AW92" s="391">
        <f t="shared" si="188"/>
        <v>0</v>
      </c>
      <c r="AX92" s="391">
        <v>0</v>
      </c>
      <c r="AY92" s="391">
        <f t="shared" si="177"/>
        <v>0</v>
      </c>
      <c r="AZ92" s="392"/>
      <c r="BA92" s="391">
        <f t="shared" si="192"/>
        <v>0</v>
      </c>
      <c r="BB92" s="392">
        <v>0</v>
      </c>
      <c r="BC92" s="391">
        <f t="shared" si="178"/>
        <v>0</v>
      </c>
      <c r="BD92" s="392">
        <v>0</v>
      </c>
      <c r="BE92" s="391">
        <f t="shared" si="169"/>
        <v>0</v>
      </c>
      <c r="BF92" s="392">
        <v>0</v>
      </c>
      <c r="BG92" s="391">
        <f t="shared" si="179"/>
        <v>0</v>
      </c>
      <c r="BH92" s="392"/>
      <c r="BI92" s="391">
        <f t="shared" si="170"/>
        <v>0</v>
      </c>
      <c r="BJ92" s="392">
        <f t="shared" si="200"/>
        <v>2</v>
      </c>
      <c r="BK92" s="392">
        <f t="shared" si="171"/>
        <v>456000</v>
      </c>
      <c r="BL92" s="418" t="s">
        <v>295</v>
      </c>
      <c r="BM92" s="400"/>
      <c r="BN92" s="396"/>
      <c r="BO92" s="251"/>
      <c r="BP92" s="396">
        <f t="shared" si="172"/>
        <v>456000</v>
      </c>
      <c r="BQ92" s="251"/>
      <c r="BR92" s="251">
        <f t="shared" si="197"/>
        <v>456000</v>
      </c>
      <c r="BS92" s="251"/>
      <c r="BT92" s="251"/>
      <c r="BU92" s="251"/>
      <c r="BV92" s="393">
        <f t="shared" si="195"/>
        <v>456000</v>
      </c>
    </row>
    <row r="93" spans="1:74" x14ac:dyDescent="0.25">
      <c r="A93" s="394"/>
      <c r="B93" s="377" t="s">
        <v>763</v>
      </c>
      <c r="C93" s="408" t="s">
        <v>638</v>
      </c>
      <c r="D93" s="408" t="s">
        <v>75</v>
      </c>
      <c r="E93" s="409">
        <v>180000</v>
      </c>
      <c r="F93" s="395">
        <f t="shared" si="164"/>
        <v>0</v>
      </c>
      <c r="G93" s="396">
        <f>E93*F93</f>
        <v>0</v>
      </c>
      <c r="H93" s="396">
        <f t="shared" ref="H93:H100" si="203">G93*0.2</f>
        <v>0</v>
      </c>
      <c r="I93" s="396">
        <f t="shared" ref="I93:I101" si="204">G93*0.8</f>
        <v>0</v>
      </c>
      <c r="J93" s="396"/>
      <c r="K93" s="396"/>
      <c r="L93" s="396"/>
      <c r="M93" s="396"/>
      <c r="N93" s="396"/>
      <c r="O93" s="396"/>
      <c r="P93" s="396"/>
      <c r="Q93" s="396"/>
      <c r="R93" s="392">
        <f t="shared" ref="R93:R101" si="205">F93*0.15</f>
        <v>0</v>
      </c>
      <c r="S93" s="392">
        <f>F93*0.7</f>
        <v>0</v>
      </c>
      <c r="T93" s="392">
        <f>F93:F93*0.15</f>
        <v>0</v>
      </c>
      <c r="U93" s="392"/>
      <c r="V93" s="391">
        <f t="shared" si="201"/>
        <v>0</v>
      </c>
      <c r="W93" s="391">
        <f t="shared" si="202"/>
        <v>0</v>
      </c>
      <c r="X93" s="391">
        <f t="shared" si="173"/>
        <v>0</v>
      </c>
      <c r="Y93" s="391">
        <f t="shared" si="168"/>
        <v>0</v>
      </c>
      <c r="Z93" s="392">
        <v>0</v>
      </c>
      <c r="AA93" s="391">
        <f>Z93*E93</f>
        <v>0</v>
      </c>
      <c r="AB93" s="392">
        <v>0</v>
      </c>
      <c r="AC93" s="391">
        <f t="shared" si="163"/>
        <v>0</v>
      </c>
      <c r="AD93" s="392">
        <v>0</v>
      </c>
      <c r="AE93" s="391">
        <f>AD93*E93</f>
        <v>0</v>
      </c>
      <c r="AF93" s="392">
        <v>0</v>
      </c>
      <c r="AG93" s="391">
        <f>AF93*E93</f>
        <v>0</v>
      </c>
      <c r="AH93" s="392">
        <v>0</v>
      </c>
      <c r="AI93" s="391">
        <f>AH93*E93</f>
        <v>0</v>
      </c>
      <c r="AJ93" s="392">
        <v>0</v>
      </c>
      <c r="AK93" s="391">
        <f t="shared" ref="AK93:AK105" si="206">AJ93*E93</f>
        <v>0</v>
      </c>
      <c r="AL93" s="416">
        <v>0</v>
      </c>
      <c r="AM93" s="391">
        <f t="shared" si="186"/>
        <v>0</v>
      </c>
      <c r="AN93" s="392">
        <v>0</v>
      </c>
      <c r="AO93" s="391">
        <f t="shared" si="175"/>
        <v>0</v>
      </c>
      <c r="AP93" s="392">
        <v>0</v>
      </c>
      <c r="AQ93" s="391">
        <f t="shared" si="187"/>
        <v>0</v>
      </c>
      <c r="AR93" s="392">
        <v>0</v>
      </c>
      <c r="AS93" s="391">
        <f t="shared" si="191"/>
        <v>0</v>
      </c>
      <c r="AT93" s="392">
        <v>0</v>
      </c>
      <c r="AU93" s="391">
        <f t="shared" si="176"/>
        <v>0</v>
      </c>
      <c r="AV93" s="392">
        <v>0</v>
      </c>
      <c r="AW93" s="391">
        <f t="shared" si="188"/>
        <v>0</v>
      </c>
      <c r="AX93" s="391">
        <v>0</v>
      </c>
      <c r="AY93" s="391">
        <f t="shared" ref="AY93:AY104" si="207">AX93*E93</f>
        <v>0</v>
      </c>
      <c r="AZ93" s="392">
        <v>0</v>
      </c>
      <c r="BA93" s="391">
        <f>AZ93*E93</f>
        <v>0</v>
      </c>
      <c r="BB93" s="392">
        <v>0</v>
      </c>
      <c r="BC93" s="391">
        <f t="shared" ref="BC93:BC105" si="208">BB93*E93</f>
        <v>0</v>
      </c>
      <c r="BD93" s="392">
        <v>0</v>
      </c>
      <c r="BE93" s="391">
        <f t="shared" ref="BE93:BE101" si="209">BD93*E93</f>
        <v>0</v>
      </c>
      <c r="BF93" s="416">
        <v>0</v>
      </c>
      <c r="BG93" s="391">
        <f t="shared" ref="BG93:BG105" si="210">BF93*E93</f>
        <v>0</v>
      </c>
      <c r="BH93" s="392"/>
      <c r="BI93" s="391">
        <f t="shared" si="170"/>
        <v>0</v>
      </c>
      <c r="BJ93" s="392">
        <f t="shared" si="200"/>
        <v>0</v>
      </c>
      <c r="BK93" s="392">
        <f t="shared" si="171"/>
        <v>0</v>
      </c>
      <c r="BL93" s="418" t="s">
        <v>491</v>
      </c>
      <c r="BM93" s="400"/>
      <c r="BN93" s="396"/>
      <c r="BO93" s="251"/>
      <c r="BP93" s="396">
        <f t="shared" si="172"/>
        <v>0</v>
      </c>
      <c r="BQ93" s="251"/>
      <c r="BR93" s="251">
        <f t="shared" si="197"/>
        <v>0</v>
      </c>
      <c r="BS93" s="251"/>
      <c r="BT93" s="251"/>
      <c r="BU93" s="251"/>
      <c r="BV93" s="393">
        <f t="shared" si="195"/>
        <v>0</v>
      </c>
    </row>
    <row r="94" spans="1:74" x14ac:dyDescent="0.25">
      <c r="A94" s="394"/>
      <c r="B94" s="377"/>
      <c r="C94" s="408" t="s">
        <v>844</v>
      </c>
      <c r="D94" s="408" t="s">
        <v>75</v>
      </c>
      <c r="E94" s="409">
        <v>300000</v>
      </c>
      <c r="F94" s="395">
        <f>BJ94</f>
        <v>0</v>
      </c>
      <c r="G94" s="396">
        <f>F94*E94</f>
        <v>0</v>
      </c>
      <c r="H94" s="396"/>
      <c r="I94" s="396"/>
      <c r="J94" s="397">
        <f>G94</f>
        <v>0</v>
      </c>
      <c r="K94" s="396"/>
      <c r="L94" s="396"/>
      <c r="M94" s="396"/>
      <c r="N94" s="396"/>
      <c r="O94" s="396"/>
      <c r="P94" s="396"/>
      <c r="Q94" s="396"/>
      <c r="R94" s="392"/>
      <c r="S94" s="392"/>
      <c r="T94" s="392"/>
      <c r="U94" s="392"/>
      <c r="V94" s="391"/>
      <c r="W94" s="391"/>
      <c r="X94" s="391"/>
      <c r="Y94" s="391"/>
      <c r="Z94" s="392">
        <v>0</v>
      </c>
      <c r="AA94" s="391"/>
      <c r="AB94" s="392">
        <v>0</v>
      </c>
      <c r="AC94" s="391"/>
      <c r="AD94" s="392">
        <v>0</v>
      </c>
      <c r="AE94" s="391"/>
      <c r="AF94" s="392">
        <v>0</v>
      </c>
      <c r="AG94" s="391">
        <f>AF94*E94</f>
        <v>0</v>
      </c>
      <c r="AH94" s="392">
        <v>0</v>
      </c>
      <c r="AI94" s="391">
        <f>AH94*E94</f>
        <v>0</v>
      </c>
      <c r="AJ94" s="392">
        <v>0</v>
      </c>
      <c r="AK94" s="391"/>
      <c r="AL94" s="416">
        <v>0</v>
      </c>
      <c r="AM94" s="391"/>
      <c r="AN94" s="392">
        <v>0</v>
      </c>
      <c r="AO94" s="391"/>
      <c r="AP94" s="392"/>
      <c r="AQ94" s="391"/>
      <c r="AR94" s="392">
        <v>0</v>
      </c>
      <c r="AS94" s="391">
        <f t="shared" si="191"/>
        <v>0</v>
      </c>
      <c r="AT94" s="392"/>
      <c r="AU94" s="391"/>
      <c r="AV94" s="392">
        <v>0</v>
      </c>
      <c r="AW94" s="391">
        <f t="shared" si="188"/>
        <v>0</v>
      </c>
      <c r="AX94" s="391"/>
      <c r="AY94" s="391"/>
      <c r="AZ94" s="392">
        <v>0</v>
      </c>
      <c r="BA94" s="391">
        <f>AZ94*E94</f>
        <v>0</v>
      </c>
      <c r="BB94" s="392">
        <v>0</v>
      </c>
      <c r="BC94" s="391">
        <f t="shared" si="208"/>
        <v>0</v>
      </c>
      <c r="BD94" s="392"/>
      <c r="BE94" s="391"/>
      <c r="BF94" s="416"/>
      <c r="BG94" s="391"/>
      <c r="BH94" s="392"/>
      <c r="BI94" s="391"/>
      <c r="BJ94" s="392">
        <f>BH94+BF94+BD94+BB94+AZ94+AX94+AV94+AT94+AR94+AP94+AN94+AL94+AJ94+AH94+AF94+AD94+AB94+Z94</f>
        <v>0</v>
      </c>
      <c r="BK94" s="392">
        <f t="shared" si="171"/>
        <v>0</v>
      </c>
      <c r="BL94" s="418" t="s">
        <v>526</v>
      </c>
      <c r="BM94" s="400"/>
      <c r="BN94" s="396"/>
      <c r="BO94" s="251"/>
      <c r="BP94" s="396"/>
      <c r="BQ94" s="251"/>
      <c r="BR94" s="251"/>
      <c r="BS94" s="251"/>
      <c r="BT94" s="251"/>
      <c r="BU94" s="251"/>
      <c r="BV94" s="393"/>
    </row>
    <row r="95" spans="1:74" x14ac:dyDescent="0.25">
      <c r="A95" s="394"/>
      <c r="B95" s="377" t="s">
        <v>764</v>
      </c>
      <c r="C95" s="408" t="s">
        <v>639</v>
      </c>
      <c r="D95" s="408" t="s">
        <v>75</v>
      </c>
      <c r="E95" s="409">
        <v>46000</v>
      </c>
      <c r="F95" s="395">
        <f t="shared" si="164"/>
        <v>2</v>
      </c>
      <c r="G95" s="396">
        <f>E95*F95</f>
        <v>92000</v>
      </c>
      <c r="H95" s="396">
        <f>G95*0.1</f>
        <v>9200</v>
      </c>
      <c r="I95" s="396">
        <f t="shared" si="204"/>
        <v>73600</v>
      </c>
      <c r="J95" s="396"/>
      <c r="K95" s="396"/>
      <c r="L95" s="396"/>
      <c r="M95" s="396"/>
      <c r="N95" s="396"/>
      <c r="O95" s="396"/>
      <c r="P95" s="396">
        <f>G95*0.1</f>
        <v>9200</v>
      </c>
      <c r="Q95" s="396"/>
      <c r="R95" s="392">
        <f t="shared" si="205"/>
        <v>0.3</v>
      </c>
      <c r="S95" s="392">
        <f>F95*0.7</f>
        <v>1.4</v>
      </c>
      <c r="T95" s="392">
        <f>F95:F95*0.15</f>
        <v>0.3</v>
      </c>
      <c r="U95" s="392"/>
      <c r="V95" s="391">
        <f t="shared" si="201"/>
        <v>13800</v>
      </c>
      <c r="W95" s="391">
        <f t="shared" si="202"/>
        <v>64399.999999999993</v>
      </c>
      <c r="X95" s="391">
        <f t="shared" si="173"/>
        <v>13800</v>
      </c>
      <c r="Y95" s="391">
        <f t="shared" si="168"/>
        <v>0</v>
      </c>
      <c r="Z95" s="392">
        <v>0</v>
      </c>
      <c r="AA95" s="391">
        <f t="shared" ref="AA95:AA105" si="211">Z95*E95</f>
        <v>0</v>
      </c>
      <c r="AB95" s="392">
        <v>0</v>
      </c>
      <c r="AC95" s="391">
        <f t="shared" si="163"/>
        <v>0</v>
      </c>
      <c r="AD95" s="392">
        <v>0</v>
      </c>
      <c r="AE95" s="391">
        <f t="shared" ref="AE95:AE105" si="212">AD95*E95</f>
        <v>0</v>
      </c>
      <c r="AF95" s="392">
        <v>0</v>
      </c>
      <c r="AG95" s="391">
        <f t="shared" ref="AG95:AG105" si="213">AF95*E95</f>
        <v>0</v>
      </c>
      <c r="AH95" s="392">
        <v>0</v>
      </c>
      <c r="AI95" s="391">
        <f t="shared" ref="AI95:AI105" si="214">AH95*E95</f>
        <v>0</v>
      </c>
      <c r="AJ95" s="392">
        <v>0</v>
      </c>
      <c r="AK95" s="391">
        <f t="shared" si="206"/>
        <v>0</v>
      </c>
      <c r="AL95" s="392">
        <v>0</v>
      </c>
      <c r="AM95" s="391">
        <f t="shared" si="186"/>
        <v>0</v>
      </c>
      <c r="AN95" s="392">
        <v>0</v>
      </c>
      <c r="AO95" s="391">
        <f t="shared" si="175"/>
        <v>0</v>
      </c>
      <c r="AP95" s="392">
        <v>0</v>
      </c>
      <c r="AQ95" s="391">
        <f t="shared" si="187"/>
        <v>0</v>
      </c>
      <c r="AR95" s="392">
        <v>0</v>
      </c>
      <c r="AS95" s="391">
        <f t="shared" si="191"/>
        <v>0</v>
      </c>
      <c r="AT95" s="392">
        <v>2</v>
      </c>
      <c r="AU95" s="391">
        <f t="shared" si="176"/>
        <v>92000</v>
      </c>
      <c r="AV95" s="392">
        <v>0</v>
      </c>
      <c r="AW95" s="391">
        <f t="shared" si="188"/>
        <v>0</v>
      </c>
      <c r="AX95" s="391">
        <v>0</v>
      </c>
      <c r="AY95" s="391">
        <f t="shared" si="207"/>
        <v>0</v>
      </c>
      <c r="AZ95" s="392">
        <v>0</v>
      </c>
      <c r="BA95" s="391">
        <f t="shared" ref="BA95:BA105" si="215">AZ95*E95</f>
        <v>0</v>
      </c>
      <c r="BB95" s="392">
        <v>0</v>
      </c>
      <c r="BC95" s="391">
        <f t="shared" si="208"/>
        <v>0</v>
      </c>
      <c r="BD95" s="392">
        <v>0</v>
      </c>
      <c r="BE95" s="391">
        <f t="shared" si="209"/>
        <v>0</v>
      </c>
      <c r="BF95" s="392">
        <v>0</v>
      </c>
      <c r="BG95" s="391">
        <f t="shared" si="210"/>
        <v>0</v>
      </c>
      <c r="BH95" s="392"/>
      <c r="BI95" s="391">
        <f t="shared" si="170"/>
        <v>0</v>
      </c>
      <c r="BJ95" s="392">
        <f t="shared" si="200"/>
        <v>2</v>
      </c>
      <c r="BK95" s="392">
        <f t="shared" si="171"/>
        <v>92000</v>
      </c>
      <c r="BL95" s="743" t="s">
        <v>1248</v>
      </c>
      <c r="BM95" s="400"/>
      <c r="BN95" s="396"/>
      <c r="BO95" s="251"/>
      <c r="BP95" s="396">
        <f t="shared" si="172"/>
        <v>92000</v>
      </c>
      <c r="BQ95" s="251"/>
      <c r="BR95" s="251">
        <f t="shared" si="197"/>
        <v>92000</v>
      </c>
      <c r="BS95" s="251"/>
      <c r="BT95" s="251"/>
      <c r="BU95" s="251"/>
      <c r="BV95" s="393">
        <f t="shared" si="195"/>
        <v>92000</v>
      </c>
    </row>
    <row r="96" spans="1:74" x14ac:dyDescent="0.25">
      <c r="A96" s="394"/>
      <c r="B96" s="377"/>
      <c r="C96" s="408" t="s">
        <v>843</v>
      </c>
      <c r="D96" s="408" t="s">
        <v>75</v>
      </c>
      <c r="E96" s="409">
        <v>85000</v>
      </c>
      <c r="F96" s="395">
        <f t="shared" si="164"/>
        <v>0</v>
      </c>
      <c r="G96" s="396">
        <f t="shared" si="198"/>
        <v>0</v>
      </c>
      <c r="H96" s="396">
        <v>0</v>
      </c>
      <c r="I96" s="396">
        <v>0</v>
      </c>
      <c r="J96" s="397">
        <f>G96</f>
        <v>0</v>
      </c>
      <c r="K96" s="396"/>
      <c r="L96" s="396"/>
      <c r="M96" s="396"/>
      <c r="N96" s="396"/>
      <c r="O96" s="396"/>
      <c r="P96" s="396"/>
      <c r="Q96" s="396"/>
      <c r="R96" s="392">
        <f t="shared" si="205"/>
        <v>0</v>
      </c>
      <c r="S96" s="392">
        <f>F96*0.7</f>
        <v>0</v>
      </c>
      <c r="T96" s="392">
        <f>F96:F96*0.15</f>
        <v>0</v>
      </c>
      <c r="U96" s="392"/>
      <c r="V96" s="391">
        <f t="shared" si="201"/>
        <v>0</v>
      </c>
      <c r="W96" s="391">
        <f t="shared" si="202"/>
        <v>0</v>
      </c>
      <c r="X96" s="391">
        <f t="shared" si="173"/>
        <v>0</v>
      </c>
      <c r="Y96" s="391"/>
      <c r="Z96" s="392">
        <v>0</v>
      </c>
      <c r="AA96" s="391">
        <f t="shared" si="211"/>
        <v>0</v>
      </c>
      <c r="AB96" s="392">
        <v>0</v>
      </c>
      <c r="AC96" s="391">
        <f t="shared" si="163"/>
        <v>0</v>
      </c>
      <c r="AD96" s="392">
        <v>0</v>
      </c>
      <c r="AE96" s="391">
        <f t="shared" si="212"/>
        <v>0</v>
      </c>
      <c r="AF96" s="392">
        <v>0</v>
      </c>
      <c r="AG96" s="391">
        <f t="shared" si="213"/>
        <v>0</v>
      </c>
      <c r="AH96" s="392">
        <v>0</v>
      </c>
      <c r="AI96" s="391">
        <f t="shared" si="214"/>
        <v>0</v>
      </c>
      <c r="AJ96" s="392">
        <v>0</v>
      </c>
      <c r="AK96" s="391">
        <f t="shared" si="206"/>
        <v>0</v>
      </c>
      <c r="AL96" s="392">
        <v>0</v>
      </c>
      <c r="AM96" s="391">
        <f t="shared" si="186"/>
        <v>0</v>
      </c>
      <c r="AN96" s="392">
        <v>0</v>
      </c>
      <c r="AO96" s="391">
        <f t="shared" si="175"/>
        <v>0</v>
      </c>
      <c r="AP96" s="392">
        <v>0</v>
      </c>
      <c r="AQ96" s="391">
        <f t="shared" si="187"/>
        <v>0</v>
      </c>
      <c r="AR96" s="392">
        <v>0</v>
      </c>
      <c r="AS96" s="391">
        <f t="shared" si="191"/>
        <v>0</v>
      </c>
      <c r="AT96" s="392">
        <v>0</v>
      </c>
      <c r="AU96" s="391">
        <f t="shared" si="176"/>
        <v>0</v>
      </c>
      <c r="AV96" s="392">
        <v>0</v>
      </c>
      <c r="AW96" s="391">
        <f t="shared" si="188"/>
        <v>0</v>
      </c>
      <c r="AX96" s="391">
        <v>0</v>
      </c>
      <c r="AY96" s="391">
        <f t="shared" si="207"/>
        <v>0</v>
      </c>
      <c r="AZ96" s="392">
        <v>0</v>
      </c>
      <c r="BA96" s="391">
        <f t="shared" si="215"/>
        <v>0</v>
      </c>
      <c r="BB96" s="392">
        <v>0</v>
      </c>
      <c r="BC96" s="391">
        <f>BB96*E96</f>
        <v>0</v>
      </c>
      <c r="BD96" s="392">
        <v>0</v>
      </c>
      <c r="BE96" s="391">
        <f t="shared" si="209"/>
        <v>0</v>
      </c>
      <c r="BF96" s="392">
        <v>0</v>
      </c>
      <c r="BG96" s="391">
        <f t="shared" si="210"/>
        <v>0</v>
      </c>
      <c r="BH96" s="392"/>
      <c r="BI96" s="391"/>
      <c r="BJ96" s="392">
        <f t="shared" si="200"/>
        <v>0</v>
      </c>
      <c r="BK96" s="392">
        <f t="shared" si="200"/>
        <v>0</v>
      </c>
      <c r="BL96" s="418" t="s">
        <v>738</v>
      </c>
      <c r="BM96" s="400"/>
      <c r="BN96" s="396"/>
      <c r="BO96" s="251"/>
      <c r="BP96" s="396">
        <f t="shared" si="172"/>
        <v>0</v>
      </c>
      <c r="BQ96" s="251"/>
      <c r="BR96" s="251">
        <f t="shared" si="197"/>
        <v>0</v>
      </c>
      <c r="BS96" s="251"/>
      <c r="BT96" s="251"/>
      <c r="BU96" s="251"/>
      <c r="BV96" s="393">
        <f t="shared" si="195"/>
        <v>0</v>
      </c>
    </row>
    <row r="97" spans="1:74" x14ac:dyDescent="0.25">
      <c r="A97" s="394"/>
      <c r="B97" s="377"/>
      <c r="C97" s="408" t="s">
        <v>860</v>
      </c>
      <c r="D97" s="408" t="s">
        <v>75</v>
      </c>
      <c r="E97" s="409">
        <v>75000</v>
      </c>
      <c r="F97" s="395">
        <f>BJ97</f>
        <v>0</v>
      </c>
      <c r="G97" s="396">
        <f>F97*E97</f>
        <v>0</v>
      </c>
      <c r="H97" s="396">
        <v>0</v>
      </c>
      <c r="I97" s="396">
        <v>0</v>
      </c>
      <c r="J97" s="397">
        <f>G97</f>
        <v>0</v>
      </c>
      <c r="K97" s="396"/>
      <c r="L97" s="396"/>
      <c r="M97" s="396"/>
      <c r="N97" s="396"/>
      <c r="O97" s="396"/>
      <c r="P97" s="396"/>
      <c r="Q97" s="396"/>
      <c r="R97" s="392"/>
      <c r="S97" s="392"/>
      <c r="T97" s="392"/>
      <c r="U97" s="392"/>
      <c r="V97" s="391"/>
      <c r="W97" s="391"/>
      <c r="X97" s="391"/>
      <c r="Y97" s="391"/>
      <c r="Z97" s="392">
        <v>0</v>
      </c>
      <c r="AA97" s="391">
        <f t="shared" si="211"/>
        <v>0</v>
      </c>
      <c r="AB97" s="392">
        <v>0</v>
      </c>
      <c r="AC97" s="391">
        <f t="shared" si="163"/>
        <v>0</v>
      </c>
      <c r="AD97" s="392">
        <v>0</v>
      </c>
      <c r="AE97" s="391">
        <f t="shared" si="212"/>
        <v>0</v>
      </c>
      <c r="AF97" s="392">
        <v>0</v>
      </c>
      <c r="AG97" s="391">
        <f t="shared" si="213"/>
        <v>0</v>
      </c>
      <c r="AH97" s="392">
        <v>0</v>
      </c>
      <c r="AI97" s="391">
        <f t="shared" si="214"/>
        <v>0</v>
      </c>
      <c r="AJ97" s="392">
        <v>0</v>
      </c>
      <c r="AK97" s="391">
        <f t="shared" si="206"/>
        <v>0</v>
      </c>
      <c r="AL97" s="392">
        <v>0</v>
      </c>
      <c r="AM97" s="391">
        <f t="shared" si="186"/>
        <v>0</v>
      </c>
      <c r="AN97" s="392">
        <v>0</v>
      </c>
      <c r="AO97" s="391">
        <f t="shared" si="175"/>
        <v>0</v>
      </c>
      <c r="AP97" s="392">
        <v>0</v>
      </c>
      <c r="AQ97" s="391">
        <f t="shared" si="187"/>
        <v>0</v>
      </c>
      <c r="AR97" s="392">
        <v>0</v>
      </c>
      <c r="AS97" s="391">
        <f t="shared" si="191"/>
        <v>0</v>
      </c>
      <c r="AT97" s="392">
        <v>0</v>
      </c>
      <c r="AU97" s="391">
        <f t="shared" si="176"/>
        <v>0</v>
      </c>
      <c r="AV97" s="392">
        <v>0</v>
      </c>
      <c r="AW97" s="391">
        <f t="shared" si="188"/>
        <v>0</v>
      </c>
      <c r="AX97" s="391">
        <v>0</v>
      </c>
      <c r="AY97" s="391">
        <f t="shared" si="207"/>
        <v>0</v>
      </c>
      <c r="AZ97" s="392">
        <v>0</v>
      </c>
      <c r="BA97" s="391">
        <f t="shared" si="215"/>
        <v>0</v>
      </c>
      <c r="BB97" s="392">
        <v>0</v>
      </c>
      <c r="BC97" s="391">
        <f t="shared" si="208"/>
        <v>0</v>
      </c>
      <c r="BD97" s="392">
        <v>0</v>
      </c>
      <c r="BE97" s="391">
        <f t="shared" si="209"/>
        <v>0</v>
      </c>
      <c r="BF97" s="392">
        <v>0</v>
      </c>
      <c r="BG97" s="391">
        <f t="shared" si="210"/>
        <v>0</v>
      </c>
      <c r="BH97" s="392"/>
      <c r="BI97" s="391"/>
      <c r="BJ97" s="392">
        <f>BH97+BF97+BD97+BB97+AZ97+AX97+AV97+AT97+AR97+AP97+AN97+AL97+AJ97+AH97+AF97+AD97+AB97+Z97</f>
        <v>0</v>
      </c>
      <c r="BK97" s="392">
        <f t="shared" si="200"/>
        <v>0</v>
      </c>
      <c r="BL97" s="418" t="s">
        <v>738</v>
      </c>
      <c r="BM97" s="400"/>
      <c r="BN97" s="396"/>
      <c r="BO97" s="251"/>
      <c r="BP97" s="396"/>
      <c r="BQ97" s="251"/>
      <c r="BR97" s="251"/>
      <c r="BS97" s="251"/>
      <c r="BT97" s="251"/>
      <c r="BU97" s="251"/>
      <c r="BV97" s="393"/>
    </row>
    <row r="98" spans="1:74" x14ac:dyDescent="0.25">
      <c r="A98" s="394"/>
      <c r="B98" s="377" t="s">
        <v>765</v>
      </c>
      <c r="C98" s="408" t="s">
        <v>640</v>
      </c>
      <c r="D98" s="408" t="s">
        <v>75</v>
      </c>
      <c r="E98" s="409">
        <v>41800</v>
      </c>
      <c r="F98" s="395">
        <f>BJ98</f>
        <v>0</v>
      </c>
      <c r="G98" s="396">
        <f t="shared" si="198"/>
        <v>0</v>
      </c>
      <c r="H98" s="396">
        <f t="shared" si="203"/>
        <v>0</v>
      </c>
      <c r="I98" s="396">
        <f t="shared" si="204"/>
        <v>0</v>
      </c>
      <c r="J98" s="396"/>
      <c r="K98" s="396"/>
      <c r="L98" s="396"/>
      <c r="M98" s="396"/>
      <c r="N98" s="396"/>
      <c r="O98" s="396"/>
      <c r="P98" s="396"/>
      <c r="Q98" s="396"/>
      <c r="R98" s="392">
        <f t="shared" si="205"/>
        <v>0</v>
      </c>
      <c r="S98" s="392">
        <f>F98*0.85</f>
        <v>0</v>
      </c>
      <c r="T98" s="392">
        <v>0</v>
      </c>
      <c r="U98" s="392"/>
      <c r="V98" s="391">
        <f t="shared" si="201"/>
        <v>0</v>
      </c>
      <c r="W98" s="391">
        <f t="shared" si="202"/>
        <v>0</v>
      </c>
      <c r="X98" s="391">
        <f t="shared" si="173"/>
        <v>0</v>
      </c>
      <c r="Y98" s="391">
        <f t="shared" si="168"/>
        <v>0</v>
      </c>
      <c r="Z98" s="392">
        <v>0</v>
      </c>
      <c r="AA98" s="391">
        <f t="shared" si="211"/>
        <v>0</v>
      </c>
      <c r="AB98" s="392">
        <v>0</v>
      </c>
      <c r="AC98" s="391">
        <f t="shared" si="163"/>
        <v>0</v>
      </c>
      <c r="AD98" s="392">
        <v>0</v>
      </c>
      <c r="AE98" s="391">
        <f t="shared" si="212"/>
        <v>0</v>
      </c>
      <c r="AF98" s="392">
        <v>0</v>
      </c>
      <c r="AG98" s="391">
        <f t="shared" si="213"/>
        <v>0</v>
      </c>
      <c r="AH98" s="392">
        <v>0</v>
      </c>
      <c r="AI98" s="391">
        <f t="shared" si="214"/>
        <v>0</v>
      </c>
      <c r="AJ98" s="392">
        <v>0</v>
      </c>
      <c r="AK98" s="391">
        <f t="shared" si="206"/>
        <v>0</v>
      </c>
      <c r="AL98" s="392">
        <v>0</v>
      </c>
      <c r="AM98" s="391">
        <f t="shared" si="186"/>
        <v>0</v>
      </c>
      <c r="AN98" s="392">
        <v>0</v>
      </c>
      <c r="AO98" s="391">
        <f t="shared" si="175"/>
        <v>0</v>
      </c>
      <c r="AP98" s="392">
        <v>0</v>
      </c>
      <c r="AQ98" s="391">
        <f t="shared" si="187"/>
        <v>0</v>
      </c>
      <c r="AR98" s="392">
        <v>0</v>
      </c>
      <c r="AS98" s="391">
        <f t="shared" si="191"/>
        <v>0</v>
      </c>
      <c r="AT98" s="392">
        <v>0</v>
      </c>
      <c r="AU98" s="391">
        <f t="shared" si="176"/>
        <v>0</v>
      </c>
      <c r="AV98" s="392">
        <v>0</v>
      </c>
      <c r="AW98" s="391">
        <f t="shared" si="188"/>
        <v>0</v>
      </c>
      <c r="AX98" s="391">
        <v>0</v>
      </c>
      <c r="AY98" s="391">
        <f t="shared" si="207"/>
        <v>0</v>
      </c>
      <c r="AZ98" s="392">
        <v>0</v>
      </c>
      <c r="BA98" s="391">
        <f t="shared" si="215"/>
        <v>0</v>
      </c>
      <c r="BB98" s="392">
        <v>0</v>
      </c>
      <c r="BC98" s="391">
        <f t="shared" si="208"/>
        <v>0</v>
      </c>
      <c r="BD98" s="392">
        <v>0</v>
      </c>
      <c r="BE98" s="391">
        <f t="shared" si="209"/>
        <v>0</v>
      </c>
      <c r="BF98" s="392">
        <v>0</v>
      </c>
      <c r="BG98" s="391">
        <f t="shared" si="210"/>
        <v>0</v>
      </c>
      <c r="BH98" s="392"/>
      <c r="BI98" s="391">
        <f t="shared" si="170"/>
        <v>0</v>
      </c>
      <c r="BJ98" s="392">
        <f t="shared" si="200"/>
        <v>0</v>
      </c>
      <c r="BK98" s="392">
        <f t="shared" si="200"/>
        <v>0</v>
      </c>
      <c r="BL98" s="418" t="s">
        <v>1248</v>
      </c>
      <c r="BM98" s="400"/>
      <c r="BN98" s="396"/>
      <c r="BO98" s="251"/>
      <c r="BP98" s="396">
        <f t="shared" si="172"/>
        <v>0</v>
      </c>
      <c r="BQ98" s="251"/>
      <c r="BR98" s="251">
        <f t="shared" si="197"/>
        <v>0</v>
      </c>
      <c r="BS98" s="251"/>
      <c r="BT98" s="251"/>
      <c r="BU98" s="251"/>
      <c r="BV98" s="393">
        <f t="shared" si="195"/>
        <v>0</v>
      </c>
    </row>
    <row r="99" spans="1:74" x14ac:dyDescent="0.25">
      <c r="A99" s="394"/>
      <c r="B99" s="377" t="s">
        <v>766</v>
      </c>
      <c r="C99" s="408" t="s">
        <v>641</v>
      </c>
      <c r="D99" s="408" t="s">
        <v>75</v>
      </c>
      <c r="E99" s="409">
        <v>90000</v>
      </c>
      <c r="F99" s="395">
        <f>BJ99</f>
        <v>0</v>
      </c>
      <c r="G99" s="396">
        <f t="shared" si="198"/>
        <v>0</v>
      </c>
      <c r="H99" s="396">
        <f t="shared" si="203"/>
        <v>0</v>
      </c>
      <c r="I99" s="396">
        <f t="shared" si="204"/>
        <v>0</v>
      </c>
      <c r="J99" s="396"/>
      <c r="K99" s="396"/>
      <c r="L99" s="396"/>
      <c r="M99" s="396"/>
      <c r="N99" s="396"/>
      <c r="O99" s="396"/>
      <c r="P99" s="396"/>
      <c r="Q99" s="396"/>
      <c r="R99" s="392">
        <f t="shared" si="205"/>
        <v>0</v>
      </c>
      <c r="S99" s="392">
        <f>F99*0.7</f>
        <v>0</v>
      </c>
      <c r="T99" s="392">
        <f>F99:F99*0.15</f>
        <v>0</v>
      </c>
      <c r="U99" s="392"/>
      <c r="V99" s="391">
        <f t="shared" si="201"/>
        <v>0</v>
      </c>
      <c r="W99" s="391">
        <f t="shared" si="202"/>
        <v>0</v>
      </c>
      <c r="X99" s="391">
        <f t="shared" si="173"/>
        <v>0</v>
      </c>
      <c r="Y99" s="391">
        <f t="shared" si="168"/>
        <v>0</v>
      </c>
      <c r="Z99" s="392"/>
      <c r="AA99" s="391">
        <f t="shared" si="211"/>
        <v>0</v>
      </c>
      <c r="AB99" s="392">
        <v>0</v>
      </c>
      <c r="AC99" s="391">
        <f t="shared" si="163"/>
        <v>0</v>
      </c>
      <c r="AD99" s="392">
        <v>0</v>
      </c>
      <c r="AE99" s="391">
        <f t="shared" si="212"/>
        <v>0</v>
      </c>
      <c r="AF99" s="392">
        <v>0</v>
      </c>
      <c r="AG99" s="391">
        <f t="shared" si="213"/>
        <v>0</v>
      </c>
      <c r="AH99" s="392">
        <v>0</v>
      </c>
      <c r="AI99" s="391">
        <f t="shared" si="214"/>
        <v>0</v>
      </c>
      <c r="AJ99" s="392">
        <v>0</v>
      </c>
      <c r="AK99" s="391">
        <f t="shared" si="206"/>
        <v>0</v>
      </c>
      <c r="AL99" s="392"/>
      <c r="AM99" s="391">
        <f t="shared" si="186"/>
        <v>0</v>
      </c>
      <c r="AN99" s="392">
        <v>0</v>
      </c>
      <c r="AO99" s="391">
        <f t="shared" si="175"/>
        <v>0</v>
      </c>
      <c r="AP99" s="392"/>
      <c r="AQ99" s="391">
        <f t="shared" si="187"/>
        <v>0</v>
      </c>
      <c r="AR99" s="392"/>
      <c r="AS99" s="391">
        <f t="shared" si="191"/>
        <v>0</v>
      </c>
      <c r="AT99" s="392"/>
      <c r="AU99" s="391">
        <f t="shared" si="176"/>
        <v>0</v>
      </c>
      <c r="AV99" s="392">
        <v>0</v>
      </c>
      <c r="AW99" s="391">
        <f t="shared" si="188"/>
        <v>0</v>
      </c>
      <c r="AX99" s="391"/>
      <c r="AY99" s="391">
        <f t="shared" si="207"/>
        <v>0</v>
      </c>
      <c r="AZ99" s="392"/>
      <c r="BA99" s="391">
        <f t="shared" si="215"/>
        <v>0</v>
      </c>
      <c r="BB99" s="392">
        <v>0</v>
      </c>
      <c r="BC99" s="391">
        <f t="shared" si="208"/>
        <v>0</v>
      </c>
      <c r="BD99" s="392">
        <v>0</v>
      </c>
      <c r="BE99" s="391">
        <f t="shared" si="209"/>
        <v>0</v>
      </c>
      <c r="BF99" s="392"/>
      <c r="BG99" s="391">
        <f t="shared" si="210"/>
        <v>0</v>
      </c>
      <c r="BH99" s="392"/>
      <c r="BI99" s="391">
        <f t="shared" si="170"/>
        <v>0</v>
      </c>
      <c r="BJ99" s="392">
        <f t="shared" si="200"/>
        <v>0</v>
      </c>
      <c r="BK99" s="392">
        <f t="shared" si="200"/>
        <v>0</v>
      </c>
      <c r="BL99" s="418" t="s">
        <v>1248</v>
      </c>
      <c r="BM99" s="400"/>
      <c r="BN99" s="396"/>
      <c r="BO99" s="251"/>
      <c r="BP99" s="396">
        <f t="shared" si="172"/>
        <v>0</v>
      </c>
      <c r="BQ99" s="251"/>
      <c r="BR99" s="251">
        <f t="shared" si="197"/>
        <v>0</v>
      </c>
      <c r="BS99" s="251"/>
      <c r="BT99" s="251"/>
      <c r="BU99" s="251"/>
      <c r="BV99" s="393">
        <f t="shared" si="195"/>
        <v>0</v>
      </c>
    </row>
    <row r="100" spans="1:74" x14ac:dyDescent="0.25">
      <c r="A100" s="394"/>
      <c r="B100" s="377" t="s">
        <v>767</v>
      </c>
      <c r="C100" s="408" t="s">
        <v>642</v>
      </c>
      <c r="D100" s="408" t="s">
        <v>75</v>
      </c>
      <c r="E100" s="409">
        <v>50000</v>
      </c>
      <c r="F100" s="395">
        <f>BJ100</f>
        <v>0</v>
      </c>
      <c r="G100" s="396">
        <f t="shared" si="198"/>
        <v>0</v>
      </c>
      <c r="H100" s="396">
        <f t="shared" si="203"/>
        <v>0</v>
      </c>
      <c r="I100" s="396">
        <f t="shared" si="204"/>
        <v>0</v>
      </c>
      <c r="J100" s="396"/>
      <c r="K100" s="396"/>
      <c r="L100" s="396"/>
      <c r="M100" s="396"/>
      <c r="N100" s="396"/>
      <c r="O100" s="396"/>
      <c r="P100" s="396"/>
      <c r="Q100" s="396"/>
      <c r="R100" s="392">
        <f t="shared" si="205"/>
        <v>0</v>
      </c>
      <c r="S100" s="392">
        <f>F100*0.7</f>
        <v>0</v>
      </c>
      <c r="T100" s="392">
        <f>F100:F100*0.15</f>
        <v>0</v>
      </c>
      <c r="U100" s="392"/>
      <c r="V100" s="391">
        <f t="shared" si="201"/>
        <v>0</v>
      </c>
      <c r="W100" s="391">
        <f t="shared" si="202"/>
        <v>0</v>
      </c>
      <c r="X100" s="391">
        <f t="shared" si="173"/>
        <v>0</v>
      </c>
      <c r="Y100" s="391">
        <f t="shared" si="168"/>
        <v>0</v>
      </c>
      <c r="Z100" s="392">
        <v>0</v>
      </c>
      <c r="AA100" s="391">
        <f t="shared" si="211"/>
        <v>0</v>
      </c>
      <c r="AB100" s="392">
        <v>0</v>
      </c>
      <c r="AC100" s="391">
        <f t="shared" si="163"/>
        <v>0</v>
      </c>
      <c r="AD100" s="392">
        <v>0</v>
      </c>
      <c r="AE100" s="391">
        <f t="shared" si="212"/>
        <v>0</v>
      </c>
      <c r="AF100" s="392">
        <v>0</v>
      </c>
      <c r="AG100" s="391">
        <f t="shared" si="213"/>
        <v>0</v>
      </c>
      <c r="AH100" s="392">
        <v>0</v>
      </c>
      <c r="AI100" s="391">
        <f t="shared" si="214"/>
        <v>0</v>
      </c>
      <c r="AJ100" s="392">
        <v>0</v>
      </c>
      <c r="AK100" s="391">
        <f t="shared" si="206"/>
        <v>0</v>
      </c>
      <c r="AL100" s="392">
        <v>0</v>
      </c>
      <c r="AM100" s="391">
        <f t="shared" si="186"/>
        <v>0</v>
      </c>
      <c r="AN100" s="392">
        <v>0</v>
      </c>
      <c r="AO100" s="391">
        <f t="shared" si="175"/>
        <v>0</v>
      </c>
      <c r="AP100" s="392">
        <v>0</v>
      </c>
      <c r="AQ100" s="391">
        <f t="shared" si="187"/>
        <v>0</v>
      </c>
      <c r="AR100" s="392">
        <v>0</v>
      </c>
      <c r="AS100" s="391">
        <f t="shared" si="191"/>
        <v>0</v>
      </c>
      <c r="AT100" s="392">
        <v>0</v>
      </c>
      <c r="AU100" s="391">
        <f t="shared" si="176"/>
        <v>0</v>
      </c>
      <c r="AV100" s="392">
        <v>0</v>
      </c>
      <c r="AW100" s="391">
        <f t="shared" si="188"/>
        <v>0</v>
      </c>
      <c r="AX100" s="391"/>
      <c r="AY100" s="391">
        <f t="shared" si="207"/>
        <v>0</v>
      </c>
      <c r="AZ100" s="392">
        <v>0</v>
      </c>
      <c r="BA100" s="391">
        <f t="shared" si="215"/>
        <v>0</v>
      </c>
      <c r="BB100" s="392">
        <v>0</v>
      </c>
      <c r="BC100" s="391">
        <f t="shared" si="208"/>
        <v>0</v>
      </c>
      <c r="BD100" s="392">
        <v>0</v>
      </c>
      <c r="BE100" s="391">
        <f t="shared" si="209"/>
        <v>0</v>
      </c>
      <c r="BF100" s="392"/>
      <c r="BG100" s="391">
        <f t="shared" si="210"/>
        <v>0</v>
      </c>
      <c r="BH100" s="392"/>
      <c r="BI100" s="391">
        <f t="shared" si="170"/>
        <v>0</v>
      </c>
      <c r="BJ100" s="392">
        <f t="shared" si="200"/>
        <v>0</v>
      </c>
      <c r="BK100" s="392">
        <f t="shared" si="200"/>
        <v>0</v>
      </c>
      <c r="BL100" s="418" t="s">
        <v>1248</v>
      </c>
      <c r="BM100" s="400"/>
      <c r="BN100" s="396"/>
      <c r="BO100" s="251"/>
      <c r="BP100" s="396">
        <f t="shared" si="172"/>
        <v>0</v>
      </c>
      <c r="BQ100" s="251"/>
      <c r="BR100" s="251">
        <f t="shared" si="197"/>
        <v>0</v>
      </c>
      <c r="BS100" s="251"/>
      <c r="BT100" s="251"/>
      <c r="BU100" s="251"/>
      <c r="BV100" s="393">
        <f t="shared" si="195"/>
        <v>0</v>
      </c>
    </row>
    <row r="101" spans="1:74" x14ac:dyDescent="0.25">
      <c r="A101" s="394"/>
      <c r="B101" s="377" t="s">
        <v>768</v>
      </c>
      <c r="C101" s="408" t="s">
        <v>643</v>
      </c>
      <c r="D101" s="408" t="s">
        <v>75</v>
      </c>
      <c r="E101" s="409">
        <v>80000</v>
      </c>
      <c r="F101" s="395">
        <f>BJ101</f>
        <v>2</v>
      </c>
      <c r="G101" s="396">
        <f t="shared" si="198"/>
        <v>160000</v>
      </c>
      <c r="H101" s="396">
        <f>G101*0.1</f>
        <v>16000</v>
      </c>
      <c r="I101" s="396">
        <f t="shared" si="204"/>
        <v>128000</v>
      </c>
      <c r="J101" s="396"/>
      <c r="K101" s="396"/>
      <c r="L101" s="396"/>
      <c r="M101" s="396"/>
      <c r="N101" s="396"/>
      <c r="O101" s="396"/>
      <c r="P101" s="396">
        <f>G101*0.1</f>
        <v>16000</v>
      </c>
      <c r="Q101" s="396"/>
      <c r="R101" s="392">
        <f t="shared" si="205"/>
        <v>0.3</v>
      </c>
      <c r="S101" s="392">
        <f>F101*0.7</f>
        <v>1.4</v>
      </c>
      <c r="T101" s="392">
        <f>F101:F101*0.15</f>
        <v>0.3</v>
      </c>
      <c r="U101" s="392"/>
      <c r="V101" s="391">
        <f t="shared" si="201"/>
        <v>24000</v>
      </c>
      <c r="W101" s="391">
        <f t="shared" si="202"/>
        <v>112000</v>
      </c>
      <c r="X101" s="391">
        <f t="shared" si="173"/>
        <v>24000</v>
      </c>
      <c r="Y101" s="391">
        <f t="shared" si="168"/>
        <v>0</v>
      </c>
      <c r="Z101" s="392">
        <v>0</v>
      </c>
      <c r="AA101" s="391">
        <f t="shared" si="211"/>
        <v>0</v>
      </c>
      <c r="AB101" s="392">
        <v>0</v>
      </c>
      <c r="AC101" s="391">
        <f t="shared" si="163"/>
        <v>0</v>
      </c>
      <c r="AD101" s="392">
        <v>0</v>
      </c>
      <c r="AE101" s="391">
        <f t="shared" si="212"/>
        <v>0</v>
      </c>
      <c r="AF101" s="392">
        <v>0</v>
      </c>
      <c r="AG101" s="391">
        <f t="shared" si="213"/>
        <v>0</v>
      </c>
      <c r="AH101" s="392">
        <v>0</v>
      </c>
      <c r="AI101" s="391">
        <f t="shared" si="214"/>
        <v>0</v>
      </c>
      <c r="AJ101" s="392">
        <v>0</v>
      </c>
      <c r="AK101" s="391">
        <f t="shared" si="206"/>
        <v>0</v>
      </c>
      <c r="AL101" s="392">
        <v>0</v>
      </c>
      <c r="AM101" s="391">
        <f t="shared" si="186"/>
        <v>0</v>
      </c>
      <c r="AN101" s="392">
        <v>0</v>
      </c>
      <c r="AO101" s="391">
        <f t="shared" si="175"/>
        <v>0</v>
      </c>
      <c r="AP101" s="392"/>
      <c r="AQ101" s="391">
        <f t="shared" si="187"/>
        <v>0</v>
      </c>
      <c r="AR101" s="392">
        <v>0</v>
      </c>
      <c r="AS101" s="391">
        <f t="shared" si="191"/>
        <v>0</v>
      </c>
      <c r="AT101" s="392">
        <v>0</v>
      </c>
      <c r="AU101" s="391">
        <f t="shared" si="176"/>
        <v>0</v>
      </c>
      <c r="AV101" s="392">
        <v>0</v>
      </c>
      <c r="AW101" s="391">
        <f t="shared" si="188"/>
        <v>0</v>
      </c>
      <c r="AX101" s="391"/>
      <c r="AY101" s="391">
        <f t="shared" si="207"/>
        <v>0</v>
      </c>
      <c r="AZ101" s="392">
        <v>2</v>
      </c>
      <c r="BA101" s="391">
        <f t="shared" si="215"/>
        <v>160000</v>
      </c>
      <c r="BB101" s="392">
        <v>0</v>
      </c>
      <c r="BC101" s="391">
        <f t="shared" si="208"/>
        <v>0</v>
      </c>
      <c r="BD101" s="392">
        <v>0</v>
      </c>
      <c r="BE101" s="391">
        <f t="shared" si="209"/>
        <v>0</v>
      </c>
      <c r="BF101" s="392"/>
      <c r="BG101" s="391">
        <f t="shared" si="210"/>
        <v>0</v>
      </c>
      <c r="BH101" s="392"/>
      <c r="BI101" s="391">
        <f t="shared" si="170"/>
        <v>0</v>
      </c>
      <c r="BJ101" s="392">
        <f t="shared" si="200"/>
        <v>2</v>
      </c>
      <c r="BK101" s="392">
        <f t="shared" si="200"/>
        <v>160000</v>
      </c>
      <c r="BL101" s="743" t="s">
        <v>1248</v>
      </c>
      <c r="BM101" s="400"/>
      <c r="BN101" s="396"/>
      <c r="BO101" s="251"/>
      <c r="BP101" s="396">
        <f t="shared" si="172"/>
        <v>160000</v>
      </c>
      <c r="BQ101" s="251"/>
      <c r="BR101" s="251">
        <f t="shared" si="197"/>
        <v>160000</v>
      </c>
      <c r="BS101" s="251"/>
      <c r="BT101" s="251"/>
      <c r="BU101" s="251"/>
      <c r="BV101" s="393">
        <f t="shared" si="195"/>
        <v>160000</v>
      </c>
    </row>
    <row r="102" spans="1:74" ht="18.75" x14ac:dyDescent="0.25">
      <c r="A102" s="394" t="s">
        <v>928</v>
      </c>
      <c r="B102" s="377"/>
      <c r="C102" s="408" t="s">
        <v>1214</v>
      </c>
      <c r="D102" s="408" t="s">
        <v>75</v>
      </c>
      <c r="E102" s="409">
        <v>100000</v>
      </c>
      <c r="F102" s="395">
        <f t="shared" ref="F102:F104" si="216">BJ102</f>
        <v>2</v>
      </c>
      <c r="G102" s="396">
        <f t="shared" ref="G102:G104" si="217">F102*E102</f>
        <v>200000</v>
      </c>
      <c r="H102" s="396">
        <f>G102*0.1</f>
        <v>20000</v>
      </c>
      <c r="I102" s="396">
        <f t="shared" ref="I102:I104" si="218">G102*0.8</f>
        <v>160000</v>
      </c>
      <c r="J102" s="396"/>
      <c r="K102" s="396"/>
      <c r="L102" s="396"/>
      <c r="M102" s="396"/>
      <c r="N102" s="396"/>
      <c r="O102" s="396"/>
      <c r="P102" s="396">
        <f>G102*0.1</f>
        <v>20000</v>
      </c>
      <c r="Q102" s="396"/>
      <c r="R102" s="392">
        <f t="shared" ref="R102:R104" si="219">F102*0.15</f>
        <v>0.3</v>
      </c>
      <c r="S102" s="392">
        <f t="shared" ref="S102:S104" si="220">F102*0.7</f>
        <v>1.4</v>
      </c>
      <c r="T102" s="392">
        <f t="shared" ref="T102:T104" si="221">F102:F102*0.15</f>
        <v>0.3</v>
      </c>
      <c r="U102" s="392"/>
      <c r="V102" s="391">
        <f t="shared" ref="V102:V104" si="222">R102*E102</f>
        <v>30000</v>
      </c>
      <c r="W102" s="391">
        <f t="shared" ref="W102:W104" si="223">S102*E102</f>
        <v>140000</v>
      </c>
      <c r="X102" s="391">
        <f t="shared" ref="X102:X104" si="224">T102*E102</f>
        <v>30000</v>
      </c>
      <c r="Y102" s="391">
        <f t="shared" ref="Y102:Y104" si="225">U102*E102</f>
        <v>0</v>
      </c>
      <c r="Z102" s="392"/>
      <c r="AA102" s="391"/>
      <c r="AB102" s="392"/>
      <c r="AC102" s="391"/>
      <c r="AD102" s="392"/>
      <c r="AE102" s="391"/>
      <c r="AF102" s="392"/>
      <c r="AG102" s="391"/>
      <c r="AH102" s="392"/>
      <c r="AI102" s="391"/>
      <c r="AJ102" s="392">
        <v>2</v>
      </c>
      <c r="AK102" s="391">
        <f t="shared" si="206"/>
        <v>200000</v>
      </c>
      <c r="AL102" s="392"/>
      <c r="AM102" s="391"/>
      <c r="AN102" s="392"/>
      <c r="AO102" s="391"/>
      <c r="AP102" s="392"/>
      <c r="AQ102" s="391">
        <f t="shared" si="187"/>
        <v>0</v>
      </c>
      <c r="AR102" s="392"/>
      <c r="AS102" s="391"/>
      <c r="AT102" s="392"/>
      <c r="AU102" s="391"/>
      <c r="AV102" s="392"/>
      <c r="AW102" s="391"/>
      <c r="AX102" s="391"/>
      <c r="AY102" s="391">
        <f t="shared" si="207"/>
        <v>0</v>
      </c>
      <c r="AZ102" s="392"/>
      <c r="BA102" s="391"/>
      <c r="BB102" s="392"/>
      <c r="BC102" s="391"/>
      <c r="BD102" s="392"/>
      <c r="BE102" s="391"/>
      <c r="BF102" s="392"/>
      <c r="BG102" s="391">
        <f t="shared" si="210"/>
        <v>0</v>
      </c>
      <c r="BH102" s="392"/>
      <c r="BI102" s="391">
        <f t="shared" si="170"/>
        <v>0</v>
      </c>
      <c r="BJ102" s="392">
        <f t="shared" ref="BJ102:BJ104" si="226">BH102+BF102+BD102+BB102+AZ102+AX102+AV102+AT102+AR102+AP102+AN102+AL102+AJ102+AH102+AF102+AD102+AB102+Z102</f>
        <v>2</v>
      </c>
      <c r="BK102" s="392">
        <f t="shared" ref="BK102:BK104" si="227">BI102+BG102+BE102+BC102+BA102+AY102+AW102+AU102+AS102+AQ102+AO102+AM102+AK102+AI102+AG102+AE102+AC102+AA102</f>
        <v>200000</v>
      </c>
      <c r="BL102" s="743" t="s">
        <v>1248</v>
      </c>
      <c r="BM102" s="400"/>
      <c r="BN102" s="396"/>
      <c r="BO102" s="251"/>
      <c r="BP102" s="396">
        <f t="shared" ref="BP102:BP105" si="228">G102</f>
        <v>200000</v>
      </c>
      <c r="BQ102" s="251"/>
      <c r="BR102" s="251">
        <f t="shared" ref="BR102:BR105" si="229">BN102+BO102+BP102+BQ102</f>
        <v>200000</v>
      </c>
      <c r="BS102" s="251"/>
      <c r="BT102" s="251"/>
      <c r="BU102" s="251"/>
      <c r="BV102" s="393">
        <f t="shared" ref="BV102:BV105" si="230">BR102+BU102</f>
        <v>200000</v>
      </c>
    </row>
    <row r="103" spans="1:74" ht="18.75" x14ac:dyDescent="0.25">
      <c r="A103" s="394" t="s">
        <v>928</v>
      </c>
      <c r="B103" s="377"/>
      <c r="C103" s="408" t="s">
        <v>1213</v>
      </c>
      <c r="D103" s="408" t="s">
        <v>75</v>
      </c>
      <c r="E103" s="409">
        <v>0</v>
      </c>
      <c r="F103" s="395">
        <f t="shared" si="216"/>
        <v>0</v>
      </c>
      <c r="G103" s="396">
        <f t="shared" si="217"/>
        <v>0</v>
      </c>
      <c r="H103" s="396">
        <f t="shared" ref="H103" si="231">G103*0.2</f>
        <v>0</v>
      </c>
      <c r="I103" s="396">
        <f t="shared" si="218"/>
        <v>0</v>
      </c>
      <c r="J103" s="396"/>
      <c r="K103" s="396"/>
      <c r="L103" s="396"/>
      <c r="M103" s="396"/>
      <c r="N103" s="396"/>
      <c r="O103" s="396"/>
      <c r="P103" s="396"/>
      <c r="Q103" s="396"/>
      <c r="R103" s="392">
        <f t="shared" si="219"/>
        <v>0</v>
      </c>
      <c r="S103" s="392">
        <f t="shared" si="220"/>
        <v>0</v>
      </c>
      <c r="T103" s="392">
        <f t="shared" si="221"/>
        <v>0</v>
      </c>
      <c r="U103" s="392"/>
      <c r="V103" s="391">
        <f t="shared" si="222"/>
        <v>0</v>
      </c>
      <c r="W103" s="391">
        <f t="shared" si="223"/>
        <v>0</v>
      </c>
      <c r="X103" s="391">
        <f t="shared" si="224"/>
        <v>0</v>
      </c>
      <c r="Y103" s="391">
        <f t="shared" si="225"/>
        <v>0</v>
      </c>
      <c r="Z103" s="392"/>
      <c r="AA103" s="391"/>
      <c r="AB103" s="392"/>
      <c r="AC103" s="391"/>
      <c r="AD103" s="392"/>
      <c r="AE103" s="391"/>
      <c r="AF103" s="392">
        <v>0</v>
      </c>
      <c r="AG103" s="391">
        <f t="shared" si="213"/>
        <v>0</v>
      </c>
      <c r="AH103" s="392"/>
      <c r="AI103" s="391"/>
      <c r="AJ103" s="392"/>
      <c r="AK103" s="391"/>
      <c r="AL103" s="392">
        <v>0</v>
      </c>
      <c r="AM103" s="391">
        <f t="shared" si="186"/>
        <v>0</v>
      </c>
      <c r="AN103" s="392"/>
      <c r="AO103" s="391"/>
      <c r="AP103" s="392"/>
      <c r="AQ103" s="391">
        <f t="shared" si="187"/>
        <v>0</v>
      </c>
      <c r="AR103" s="392"/>
      <c r="AS103" s="391"/>
      <c r="AT103" s="392">
        <v>0</v>
      </c>
      <c r="AU103" s="391">
        <f t="shared" si="176"/>
        <v>0</v>
      </c>
      <c r="AV103" s="392"/>
      <c r="AW103" s="391"/>
      <c r="AX103" s="391"/>
      <c r="AY103" s="391">
        <f t="shared" si="207"/>
        <v>0</v>
      </c>
      <c r="AZ103" s="392"/>
      <c r="BA103" s="391"/>
      <c r="BB103" s="392"/>
      <c r="BC103" s="391"/>
      <c r="BD103" s="392"/>
      <c r="BE103" s="391"/>
      <c r="BF103" s="392"/>
      <c r="BG103" s="391">
        <f t="shared" si="210"/>
        <v>0</v>
      </c>
      <c r="BH103" s="392"/>
      <c r="BI103" s="391">
        <f t="shared" si="170"/>
        <v>0</v>
      </c>
      <c r="BJ103" s="392">
        <f t="shared" si="226"/>
        <v>0</v>
      </c>
      <c r="BK103" s="392">
        <f t="shared" si="227"/>
        <v>0</v>
      </c>
      <c r="BL103" s="418" t="s">
        <v>1248</v>
      </c>
      <c r="BM103" s="400"/>
      <c r="BN103" s="396"/>
      <c r="BO103" s="251"/>
      <c r="BP103" s="396">
        <f t="shared" si="228"/>
        <v>0</v>
      </c>
      <c r="BQ103" s="251"/>
      <c r="BR103" s="251">
        <f t="shared" si="229"/>
        <v>0</v>
      </c>
      <c r="BS103" s="251"/>
      <c r="BT103" s="251"/>
      <c r="BU103" s="251"/>
      <c r="BV103" s="393">
        <f t="shared" si="230"/>
        <v>0</v>
      </c>
    </row>
    <row r="104" spans="1:74" ht="18.75" x14ac:dyDescent="0.25">
      <c r="A104" s="394" t="s">
        <v>928</v>
      </c>
      <c r="B104" s="377"/>
      <c r="C104" s="408" t="s">
        <v>1212</v>
      </c>
      <c r="D104" s="408" t="s">
        <v>75</v>
      </c>
      <c r="E104" s="409">
        <v>60000</v>
      </c>
      <c r="F104" s="395">
        <f t="shared" si="216"/>
        <v>7</v>
      </c>
      <c r="G104" s="396">
        <f t="shared" si="217"/>
        <v>420000</v>
      </c>
      <c r="H104" s="396">
        <f>G104*0.1</f>
        <v>42000</v>
      </c>
      <c r="I104" s="396">
        <f t="shared" si="218"/>
        <v>336000</v>
      </c>
      <c r="J104" s="396"/>
      <c r="K104" s="396"/>
      <c r="L104" s="396"/>
      <c r="M104" s="396"/>
      <c r="N104" s="396"/>
      <c r="O104" s="396"/>
      <c r="P104" s="396">
        <f>G104*0.1</f>
        <v>42000</v>
      </c>
      <c r="Q104" s="396"/>
      <c r="R104" s="392">
        <f t="shared" si="219"/>
        <v>1.05</v>
      </c>
      <c r="S104" s="392">
        <f t="shared" si="220"/>
        <v>4.8999999999999995</v>
      </c>
      <c r="T104" s="392">
        <f t="shared" si="221"/>
        <v>1.05</v>
      </c>
      <c r="U104" s="392"/>
      <c r="V104" s="391">
        <f t="shared" si="222"/>
        <v>63000</v>
      </c>
      <c r="W104" s="391">
        <f t="shared" si="223"/>
        <v>293999.99999999994</v>
      </c>
      <c r="X104" s="391">
        <f t="shared" si="224"/>
        <v>63000</v>
      </c>
      <c r="Y104" s="391">
        <f t="shared" si="225"/>
        <v>0</v>
      </c>
      <c r="Z104" s="392"/>
      <c r="AA104" s="391"/>
      <c r="AB104" s="392">
        <v>4</v>
      </c>
      <c r="AC104" s="391">
        <f t="shared" si="163"/>
        <v>240000</v>
      </c>
      <c r="AD104" s="392"/>
      <c r="AE104" s="391"/>
      <c r="AF104" s="392"/>
      <c r="AG104" s="391"/>
      <c r="AH104" s="392"/>
      <c r="AI104" s="391"/>
      <c r="AJ104" s="392"/>
      <c r="AK104" s="391"/>
      <c r="AL104" s="392"/>
      <c r="AM104" s="391"/>
      <c r="AN104" s="392"/>
      <c r="AO104" s="391"/>
      <c r="AP104" s="392">
        <v>2</v>
      </c>
      <c r="AQ104" s="391">
        <f t="shared" si="187"/>
        <v>120000</v>
      </c>
      <c r="AR104" s="392"/>
      <c r="AS104" s="391"/>
      <c r="AT104" s="392">
        <v>1</v>
      </c>
      <c r="AU104" s="391">
        <f t="shared" si="176"/>
        <v>60000</v>
      </c>
      <c r="AV104" s="392"/>
      <c r="AW104" s="391"/>
      <c r="AX104" s="391"/>
      <c r="AY104" s="391">
        <f t="shared" si="207"/>
        <v>0</v>
      </c>
      <c r="AZ104" s="392"/>
      <c r="BA104" s="391"/>
      <c r="BB104" s="392"/>
      <c r="BC104" s="391"/>
      <c r="BD104" s="392"/>
      <c r="BE104" s="391"/>
      <c r="BF104" s="392"/>
      <c r="BG104" s="391">
        <f t="shared" si="210"/>
        <v>0</v>
      </c>
      <c r="BH104" s="392"/>
      <c r="BI104" s="391">
        <f t="shared" si="170"/>
        <v>0</v>
      </c>
      <c r="BJ104" s="392">
        <f t="shared" si="226"/>
        <v>7</v>
      </c>
      <c r="BK104" s="392">
        <f t="shared" si="227"/>
        <v>420000</v>
      </c>
      <c r="BL104" s="743" t="s">
        <v>1248</v>
      </c>
      <c r="BM104" s="400"/>
      <c r="BN104" s="396"/>
      <c r="BO104" s="251"/>
      <c r="BP104" s="396">
        <f t="shared" si="228"/>
        <v>420000</v>
      </c>
      <c r="BQ104" s="251"/>
      <c r="BR104" s="251">
        <f t="shared" si="229"/>
        <v>420000</v>
      </c>
      <c r="BS104" s="251"/>
      <c r="BT104" s="251"/>
      <c r="BU104" s="251"/>
      <c r="BV104" s="393">
        <f t="shared" si="230"/>
        <v>420000</v>
      </c>
    </row>
    <row r="105" spans="1:74" ht="18.75" x14ac:dyDescent="0.25">
      <c r="A105" s="394" t="s">
        <v>928</v>
      </c>
      <c r="B105" s="377" t="s">
        <v>1211</v>
      </c>
      <c r="C105" s="408" t="s">
        <v>1210</v>
      </c>
      <c r="D105" s="408" t="s">
        <v>75</v>
      </c>
      <c r="E105" s="409">
        <v>500000</v>
      </c>
      <c r="F105" s="395">
        <f>BJ105</f>
        <v>24</v>
      </c>
      <c r="G105" s="396">
        <f t="shared" ref="G105" si="232">F105*E105</f>
        <v>12000000</v>
      </c>
      <c r="H105" s="396">
        <f>G105*0.1</f>
        <v>1200000</v>
      </c>
      <c r="I105" s="396">
        <f t="shared" ref="I105" si="233">G105*0.8</f>
        <v>9600000</v>
      </c>
      <c r="J105" s="396"/>
      <c r="K105" s="396"/>
      <c r="L105" s="396"/>
      <c r="M105" s="396"/>
      <c r="N105" s="396"/>
      <c r="O105" s="396"/>
      <c r="P105" s="396">
        <f>G105*0.1</f>
        <v>1200000</v>
      </c>
      <c r="Q105" s="396"/>
      <c r="R105" s="392"/>
      <c r="S105" s="392"/>
      <c r="T105" s="392"/>
      <c r="U105" s="392"/>
      <c r="V105" s="391"/>
      <c r="W105" s="391"/>
      <c r="X105" s="391">
        <f>G105*0.5</f>
        <v>6000000</v>
      </c>
      <c r="Y105" s="391">
        <f>G105*0.5</f>
        <v>6000000</v>
      </c>
      <c r="Z105" s="392">
        <v>0</v>
      </c>
      <c r="AA105" s="391">
        <f t="shared" si="211"/>
        <v>0</v>
      </c>
      <c r="AB105" s="392">
        <v>10</v>
      </c>
      <c r="AC105" s="391">
        <f t="shared" si="163"/>
        <v>5000000</v>
      </c>
      <c r="AD105" s="392">
        <v>0</v>
      </c>
      <c r="AE105" s="391">
        <f t="shared" si="212"/>
        <v>0</v>
      </c>
      <c r="AF105" s="392">
        <v>0</v>
      </c>
      <c r="AG105" s="391">
        <f t="shared" si="213"/>
        <v>0</v>
      </c>
      <c r="AH105" s="392">
        <v>0</v>
      </c>
      <c r="AI105" s="391">
        <f t="shared" si="214"/>
        <v>0</v>
      </c>
      <c r="AJ105" s="392">
        <v>1</v>
      </c>
      <c r="AK105" s="391">
        <f t="shared" si="206"/>
        <v>500000</v>
      </c>
      <c r="AL105" s="392">
        <v>10</v>
      </c>
      <c r="AM105" s="391">
        <f t="shared" si="186"/>
        <v>5000000</v>
      </c>
      <c r="AN105" s="392">
        <v>0</v>
      </c>
      <c r="AO105" s="391">
        <f t="shared" si="175"/>
        <v>0</v>
      </c>
      <c r="AP105" s="392"/>
      <c r="AQ105" s="391"/>
      <c r="AR105" s="392">
        <v>0</v>
      </c>
      <c r="AS105" s="391">
        <f t="shared" si="191"/>
        <v>0</v>
      </c>
      <c r="AT105" s="392">
        <v>2</v>
      </c>
      <c r="AU105" s="391">
        <f t="shared" si="176"/>
        <v>1000000</v>
      </c>
      <c r="AV105" s="392">
        <v>0</v>
      </c>
      <c r="AW105" s="391">
        <f t="shared" si="188"/>
        <v>0</v>
      </c>
      <c r="AX105" s="391">
        <v>0</v>
      </c>
      <c r="AY105" s="391"/>
      <c r="AZ105" s="392">
        <v>0</v>
      </c>
      <c r="BA105" s="391">
        <f t="shared" si="215"/>
        <v>0</v>
      </c>
      <c r="BB105" s="392">
        <v>1</v>
      </c>
      <c r="BC105" s="391">
        <f t="shared" si="208"/>
        <v>500000</v>
      </c>
      <c r="BD105" s="392"/>
      <c r="BE105" s="391"/>
      <c r="BF105" s="392">
        <v>0</v>
      </c>
      <c r="BG105" s="391">
        <f t="shared" si="210"/>
        <v>0</v>
      </c>
      <c r="BH105" s="392"/>
      <c r="BI105" s="391">
        <f t="shared" si="170"/>
        <v>0</v>
      </c>
      <c r="BJ105" s="392">
        <f t="shared" ref="BJ105" si="234">BH105+BF105+BD105+BB105+AZ105+AX105+AV105+AT105+AR105+AP105+AN105+AL105+AJ105+AH105+AF105+AD105+AB105+Z105</f>
        <v>24</v>
      </c>
      <c r="BK105" s="392">
        <f t="shared" ref="BK105" si="235">BI105+BG105+BE105+BC105+BA105+AY105+AW105+AU105+AS105+AQ105+AO105+AM105+AK105+AI105+AG105+AE105+AC105+AA105</f>
        <v>12000000</v>
      </c>
      <c r="BL105" s="743" t="s">
        <v>1248</v>
      </c>
      <c r="BM105" s="400"/>
      <c r="BN105" s="396"/>
      <c r="BO105" s="251"/>
      <c r="BP105" s="396">
        <f t="shared" si="228"/>
        <v>12000000</v>
      </c>
      <c r="BQ105" s="251"/>
      <c r="BR105" s="251">
        <f t="shared" si="229"/>
        <v>12000000</v>
      </c>
      <c r="BS105" s="251"/>
      <c r="BT105" s="251"/>
      <c r="BU105" s="251"/>
      <c r="BV105" s="393">
        <f t="shared" si="230"/>
        <v>12000000</v>
      </c>
    </row>
    <row r="106" spans="1:74" x14ac:dyDescent="0.25">
      <c r="A106" s="394"/>
      <c r="B106" s="367"/>
      <c r="C106" s="412" t="s">
        <v>3</v>
      </c>
      <c r="D106" s="370"/>
      <c r="E106" s="370"/>
      <c r="F106" s="380">
        <f>SUM(F80:F105)</f>
        <v>740.5</v>
      </c>
      <c r="G106" s="380">
        <f t="shared" ref="G106:BR106" si="236">SUM(G80:G105)</f>
        <v>88802200</v>
      </c>
      <c r="H106" s="380">
        <f t="shared" si="236"/>
        <v>1287200</v>
      </c>
      <c r="I106" s="380">
        <f t="shared" si="236"/>
        <v>10297600</v>
      </c>
      <c r="J106" s="380">
        <f t="shared" si="236"/>
        <v>0</v>
      </c>
      <c r="K106" s="380">
        <f t="shared" si="236"/>
        <v>0</v>
      </c>
      <c r="L106" s="380">
        <f t="shared" si="236"/>
        <v>0</v>
      </c>
      <c r="M106" s="380">
        <f t="shared" si="236"/>
        <v>75930200</v>
      </c>
      <c r="N106" s="380">
        <f t="shared" si="236"/>
        <v>0</v>
      </c>
      <c r="O106" s="380">
        <f t="shared" si="236"/>
        <v>0</v>
      </c>
      <c r="P106" s="380">
        <f t="shared" si="236"/>
        <v>1287200</v>
      </c>
      <c r="Q106" s="380">
        <f t="shared" si="236"/>
        <v>0</v>
      </c>
      <c r="R106" s="380">
        <f t="shared" si="236"/>
        <v>244.77500000000006</v>
      </c>
      <c r="S106" s="380">
        <f t="shared" si="236"/>
        <v>467.22499999999997</v>
      </c>
      <c r="T106" s="380">
        <f t="shared" si="236"/>
        <v>4.4999999999999991</v>
      </c>
      <c r="U106" s="380">
        <f t="shared" si="236"/>
        <v>0</v>
      </c>
      <c r="V106" s="380">
        <f t="shared" si="236"/>
        <v>28555375</v>
      </c>
      <c r="W106" s="380">
        <f t="shared" si="236"/>
        <v>37994525</v>
      </c>
      <c r="X106" s="380">
        <f t="shared" si="236"/>
        <v>15602925</v>
      </c>
      <c r="Y106" s="380">
        <f t="shared" si="236"/>
        <v>6649375</v>
      </c>
      <c r="Z106" s="380">
        <f t="shared" si="236"/>
        <v>70</v>
      </c>
      <c r="AA106" s="380">
        <f t="shared" si="236"/>
        <v>4891000</v>
      </c>
      <c r="AB106" s="380">
        <f t="shared" si="236"/>
        <v>34</v>
      </c>
      <c r="AC106" s="380">
        <f t="shared" si="236"/>
        <v>7514500</v>
      </c>
      <c r="AD106" s="380">
        <f t="shared" si="236"/>
        <v>10</v>
      </c>
      <c r="AE106" s="380">
        <f t="shared" si="236"/>
        <v>1873000</v>
      </c>
      <c r="AF106" s="380">
        <f t="shared" si="236"/>
        <v>135</v>
      </c>
      <c r="AG106" s="380">
        <f t="shared" si="236"/>
        <v>11797000</v>
      </c>
      <c r="AH106" s="380">
        <f t="shared" si="236"/>
        <v>20</v>
      </c>
      <c r="AI106" s="380">
        <f t="shared" si="236"/>
        <v>2786000</v>
      </c>
      <c r="AJ106" s="380">
        <f t="shared" si="236"/>
        <v>28</v>
      </c>
      <c r="AK106" s="380">
        <f t="shared" si="236"/>
        <v>5022500</v>
      </c>
      <c r="AL106" s="380">
        <f t="shared" si="236"/>
        <v>40</v>
      </c>
      <c r="AM106" s="380">
        <f t="shared" si="236"/>
        <v>7733000</v>
      </c>
      <c r="AN106" s="380">
        <f t="shared" si="236"/>
        <v>63</v>
      </c>
      <c r="AO106" s="380">
        <f t="shared" si="236"/>
        <v>4825300</v>
      </c>
      <c r="AP106" s="380">
        <f t="shared" si="236"/>
        <v>12</v>
      </c>
      <c r="AQ106" s="380">
        <f t="shared" si="236"/>
        <v>1844000</v>
      </c>
      <c r="AR106" s="380">
        <f t="shared" si="236"/>
        <v>90</v>
      </c>
      <c r="AS106" s="380">
        <f t="shared" si="236"/>
        <v>10071800</v>
      </c>
      <c r="AT106" s="380">
        <f t="shared" si="236"/>
        <v>18</v>
      </c>
      <c r="AU106" s="380">
        <f t="shared" si="236"/>
        <v>3481500</v>
      </c>
      <c r="AV106" s="380">
        <f t="shared" si="236"/>
        <v>36</v>
      </c>
      <c r="AW106" s="380">
        <f t="shared" si="236"/>
        <v>3737100</v>
      </c>
      <c r="AX106" s="380">
        <f t="shared" si="236"/>
        <v>29.5</v>
      </c>
      <c r="AY106" s="380">
        <f t="shared" si="236"/>
        <v>3640500</v>
      </c>
      <c r="AZ106" s="380">
        <f t="shared" si="236"/>
        <v>65</v>
      </c>
      <c r="BA106" s="380">
        <f t="shared" si="236"/>
        <v>7561000</v>
      </c>
      <c r="BB106" s="380">
        <f t="shared" si="236"/>
        <v>27</v>
      </c>
      <c r="BC106" s="380">
        <f t="shared" si="236"/>
        <v>3741000</v>
      </c>
      <c r="BD106" s="380">
        <f t="shared" si="236"/>
        <v>15</v>
      </c>
      <c r="BE106" s="380">
        <f t="shared" si="236"/>
        <v>3629500</v>
      </c>
      <c r="BF106" s="380">
        <f t="shared" si="236"/>
        <v>48</v>
      </c>
      <c r="BG106" s="380">
        <f t="shared" si="236"/>
        <v>4653500</v>
      </c>
      <c r="BH106" s="380">
        <f t="shared" si="236"/>
        <v>0</v>
      </c>
      <c r="BI106" s="380">
        <f t="shared" si="236"/>
        <v>0</v>
      </c>
      <c r="BJ106" s="380">
        <f t="shared" si="236"/>
        <v>740.5</v>
      </c>
      <c r="BK106" s="380">
        <f t="shared" si="236"/>
        <v>88802200</v>
      </c>
      <c r="BL106" s="380">
        <f t="shared" si="236"/>
        <v>0</v>
      </c>
      <c r="BM106" s="380">
        <f t="shared" si="236"/>
        <v>0</v>
      </c>
      <c r="BN106" s="380">
        <f t="shared" si="236"/>
        <v>0</v>
      </c>
      <c r="BO106" s="380">
        <f t="shared" si="236"/>
        <v>0</v>
      </c>
      <c r="BP106" s="380">
        <f t="shared" si="236"/>
        <v>88802200</v>
      </c>
      <c r="BQ106" s="380">
        <f t="shared" si="236"/>
        <v>0</v>
      </c>
      <c r="BR106" s="380">
        <f t="shared" si="236"/>
        <v>88802200</v>
      </c>
      <c r="BS106" s="380">
        <f t="shared" ref="BS106:BV106" si="237">SUM(BS80:BS105)</f>
        <v>0</v>
      </c>
      <c r="BT106" s="380">
        <f t="shared" si="237"/>
        <v>0</v>
      </c>
      <c r="BU106" s="380">
        <f t="shared" si="237"/>
        <v>0</v>
      </c>
      <c r="BV106" s="380">
        <f t="shared" si="237"/>
        <v>88802200</v>
      </c>
    </row>
    <row r="107" spans="1:74" x14ac:dyDescent="0.25">
      <c r="A107" s="394"/>
      <c r="B107" s="377"/>
      <c r="C107" s="384" t="s">
        <v>487</v>
      </c>
      <c r="D107" s="385"/>
      <c r="E107" s="419"/>
      <c r="F107" s="380">
        <f t="shared" ref="F107:AK107" si="238">F106+F78+F54+F41+F36</f>
        <v>8908.5</v>
      </c>
      <c r="G107" s="380">
        <f t="shared" si="238"/>
        <v>208898800</v>
      </c>
      <c r="H107" s="380">
        <f t="shared" si="238"/>
        <v>15912200</v>
      </c>
      <c r="I107" s="380">
        <f t="shared" si="238"/>
        <v>70297600</v>
      </c>
      <c r="J107" s="380">
        <f t="shared" si="238"/>
        <v>0</v>
      </c>
      <c r="K107" s="380">
        <f t="shared" si="238"/>
        <v>0</v>
      </c>
      <c r="L107" s="380">
        <f t="shared" si="238"/>
        <v>0</v>
      </c>
      <c r="M107" s="380">
        <f t="shared" si="238"/>
        <v>120401800</v>
      </c>
      <c r="N107" s="380">
        <f t="shared" si="238"/>
        <v>0</v>
      </c>
      <c r="O107" s="380">
        <f t="shared" si="238"/>
        <v>0</v>
      </c>
      <c r="P107" s="380">
        <f t="shared" si="238"/>
        <v>2287200</v>
      </c>
      <c r="Q107" s="380">
        <f t="shared" si="238"/>
        <v>0</v>
      </c>
      <c r="R107" s="380">
        <f t="shared" si="238"/>
        <v>3111.0749999999998</v>
      </c>
      <c r="S107" s="380">
        <f t="shared" si="238"/>
        <v>1347.325</v>
      </c>
      <c r="T107" s="380">
        <f t="shared" si="238"/>
        <v>1208.0999999999999</v>
      </c>
      <c r="U107" s="380">
        <f t="shared" si="238"/>
        <v>3209.6000000000004</v>
      </c>
      <c r="V107" s="380">
        <f t="shared" si="238"/>
        <v>75883375</v>
      </c>
      <c r="W107" s="380">
        <f t="shared" si="238"/>
        <v>88185775</v>
      </c>
      <c r="X107" s="380">
        <f t="shared" si="238"/>
        <v>28366325</v>
      </c>
      <c r="Y107" s="380">
        <f t="shared" si="238"/>
        <v>16463325</v>
      </c>
      <c r="Z107" s="380">
        <f t="shared" si="238"/>
        <v>365</v>
      </c>
      <c r="AA107" s="380">
        <f t="shared" si="238"/>
        <v>10866000</v>
      </c>
      <c r="AB107" s="380">
        <f t="shared" si="238"/>
        <v>479</v>
      </c>
      <c r="AC107" s="380">
        <f t="shared" si="238"/>
        <v>18270100</v>
      </c>
      <c r="AD107" s="380">
        <f t="shared" si="238"/>
        <v>285</v>
      </c>
      <c r="AE107" s="380">
        <f t="shared" si="238"/>
        <v>5843000</v>
      </c>
      <c r="AF107" s="380">
        <f t="shared" si="238"/>
        <v>939</v>
      </c>
      <c r="AG107" s="380">
        <f t="shared" si="238"/>
        <v>20293500</v>
      </c>
      <c r="AH107" s="380">
        <f t="shared" si="238"/>
        <v>610</v>
      </c>
      <c r="AI107" s="380">
        <f t="shared" si="238"/>
        <v>6956000</v>
      </c>
      <c r="AJ107" s="380">
        <f t="shared" si="238"/>
        <v>116</v>
      </c>
      <c r="AK107" s="380">
        <f t="shared" si="238"/>
        <v>14917500</v>
      </c>
      <c r="AL107" s="380">
        <f t="shared" ref="AL107:BQ107" si="239">AL106+AL78+AL54+AL41+AL36</f>
        <v>418</v>
      </c>
      <c r="AM107" s="380">
        <f t="shared" si="239"/>
        <v>13881500</v>
      </c>
      <c r="AN107" s="380">
        <f t="shared" si="239"/>
        <v>515</v>
      </c>
      <c r="AO107" s="380">
        <f t="shared" si="239"/>
        <v>12005300</v>
      </c>
      <c r="AP107" s="380">
        <f t="shared" si="239"/>
        <v>213</v>
      </c>
      <c r="AQ107" s="380">
        <f t="shared" si="239"/>
        <v>7584000</v>
      </c>
      <c r="AR107" s="380">
        <f t="shared" si="239"/>
        <v>2396</v>
      </c>
      <c r="AS107" s="380">
        <f t="shared" si="239"/>
        <v>20661800</v>
      </c>
      <c r="AT107" s="380">
        <f t="shared" si="239"/>
        <v>606</v>
      </c>
      <c r="AU107" s="380">
        <f t="shared" si="239"/>
        <v>13081500</v>
      </c>
      <c r="AV107" s="380">
        <f t="shared" si="239"/>
        <v>157</v>
      </c>
      <c r="AW107" s="380">
        <f t="shared" si="239"/>
        <v>9680100</v>
      </c>
      <c r="AX107" s="380">
        <f t="shared" si="239"/>
        <v>790.5</v>
      </c>
      <c r="AY107" s="380">
        <f t="shared" si="239"/>
        <v>8920500</v>
      </c>
      <c r="AZ107" s="380">
        <f t="shared" si="239"/>
        <v>373</v>
      </c>
      <c r="BA107" s="380">
        <f t="shared" si="239"/>
        <v>17155000</v>
      </c>
      <c r="BB107" s="380">
        <f t="shared" si="239"/>
        <v>120</v>
      </c>
      <c r="BC107" s="380">
        <f t="shared" si="239"/>
        <v>12015000</v>
      </c>
      <c r="BD107" s="380">
        <f t="shared" si="239"/>
        <v>198</v>
      </c>
      <c r="BE107" s="380">
        <f t="shared" si="239"/>
        <v>7369500</v>
      </c>
      <c r="BF107" s="380">
        <f t="shared" si="239"/>
        <v>328</v>
      </c>
      <c r="BG107" s="380">
        <f t="shared" si="239"/>
        <v>9398500</v>
      </c>
      <c r="BH107" s="380">
        <f t="shared" si="239"/>
        <v>0</v>
      </c>
      <c r="BI107" s="380">
        <f t="shared" si="239"/>
        <v>0</v>
      </c>
      <c r="BJ107" s="380">
        <f t="shared" si="239"/>
        <v>8908.5</v>
      </c>
      <c r="BK107" s="380">
        <f t="shared" si="239"/>
        <v>208898800</v>
      </c>
      <c r="BL107" s="380">
        <f t="shared" si="239"/>
        <v>0</v>
      </c>
      <c r="BM107" s="380">
        <f t="shared" si="239"/>
        <v>0</v>
      </c>
      <c r="BN107" s="380">
        <f t="shared" si="239"/>
        <v>112191600</v>
      </c>
      <c r="BO107" s="380">
        <f t="shared" si="239"/>
        <v>0</v>
      </c>
      <c r="BP107" s="380">
        <f t="shared" si="239"/>
        <v>96707200</v>
      </c>
      <c r="BQ107" s="380">
        <f t="shared" si="239"/>
        <v>0</v>
      </c>
      <c r="BR107" s="380">
        <f t="shared" ref="BR107:BV107" si="240">BR106+BR78+BR54+BR41+BR36</f>
        <v>208898800</v>
      </c>
      <c r="BS107" s="380">
        <f t="shared" si="240"/>
        <v>0</v>
      </c>
      <c r="BT107" s="380">
        <f t="shared" si="240"/>
        <v>0</v>
      </c>
      <c r="BU107" s="380">
        <f t="shared" si="240"/>
        <v>0</v>
      </c>
      <c r="BV107" s="380">
        <f t="shared" si="240"/>
        <v>208898800</v>
      </c>
    </row>
    <row r="108" spans="1:74" x14ac:dyDescent="0.25">
      <c r="A108" s="394"/>
      <c r="B108" s="377"/>
      <c r="C108" s="398" t="s">
        <v>333</v>
      </c>
      <c r="D108" s="420"/>
      <c r="E108" s="420"/>
      <c r="F108" s="380">
        <f t="shared" ref="F108:AK108" si="241">F107+F22+F17</f>
        <v>10241.5</v>
      </c>
      <c r="G108" s="380">
        <f t="shared" si="241"/>
        <v>221262800</v>
      </c>
      <c r="H108" s="380">
        <f t="shared" si="241"/>
        <v>18385000</v>
      </c>
      <c r="I108" s="380">
        <f t="shared" si="241"/>
        <v>80188800</v>
      </c>
      <c r="J108" s="380">
        <f t="shared" si="241"/>
        <v>0</v>
      </c>
      <c r="K108" s="380">
        <f t="shared" si="241"/>
        <v>0</v>
      </c>
      <c r="L108" s="380">
        <f t="shared" si="241"/>
        <v>0</v>
      </c>
      <c r="M108" s="380">
        <f t="shared" si="241"/>
        <v>120401800</v>
      </c>
      <c r="N108" s="380">
        <f t="shared" si="241"/>
        <v>0</v>
      </c>
      <c r="O108" s="380">
        <f t="shared" si="241"/>
        <v>0</v>
      </c>
      <c r="P108" s="380">
        <f t="shared" si="241"/>
        <v>2287200</v>
      </c>
      <c r="Q108" s="380">
        <f t="shared" si="241"/>
        <v>0</v>
      </c>
      <c r="R108" s="380">
        <f t="shared" si="241"/>
        <v>3613.5249999999996</v>
      </c>
      <c r="S108" s="380">
        <f t="shared" si="241"/>
        <v>1849.7750000000001</v>
      </c>
      <c r="T108" s="380">
        <f t="shared" si="241"/>
        <v>1484.9499999999998</v>
      </c>
      <c r="U108" s="380">
        <f t="shared" si="241"/>
        <v>3260.8500000000004</v>
      </c>
      <c r="V108" s="380">
        <f t="shared" si="241"/>
        <v>80327975</v>
      </c>
      <c r="W108" s="380">
        <f t="shared" si="241"/>
        <v>92630375</v>
      </c>
      <c r="X108" s="380">
        <f t="shared" si="241"/>
        <v>31006125</v>
      </c>
      <c r="Y108" s="380">
        <f t="shared" si="241"/>
        <v>17298325</v>
      </c>
      <c r="Z108" s="380">
        <f t="shared" si="241"/>
        <v>435</v>
      </c>
      <c r="AA108" s="380">
        <f t="shared" si="241"/>
        <v>11510000</v>
      </c>
      <c r="AB108" s="380">
        <f t="shared" si="241"/>
        <v>513</v>
      </c>
      <c r="AC108" s="380">
        <f t="shared" si="241"/>
        <v>18626100</v>
      </c>
      <c r="AD108" s="380">
        <f t="shared" si="241"/>
        <v>365</v>
      </c>
      <c r="AE108" s="380">
        <f t="shared" si="241"/>
        <v>6567000</v>
      </c>
      <c r="AF108" s="380">
        <f t="shared" si="241"/>
        <v>1041</v>
      </c>
      <c r="AG108" s="380">
        <f t="shared" si="241"/>
        <v>21193500</v>
      </c>
      <c r="AH108" s="380">
        <f t="shared" si="241"/>
        <v>668</v>
      </c>
      <c r="AI108" s="380">
        <f t="shared" si="241"/>
        <v>7504000</v>
      </c>
      <c r="AJ108" s="380">
        <f t="shared" si="241"/>
        <v>272</v>
      </c>
      <c r="AK108" s="380">
        <f t="shared" si="241"/>
        <v>16249500</v>
      </c>
      <c r="AL108" s="380">
        <f t="shared" ref="AL108:BK108" si="242">AL107+AL22+AL17</f>
        <v>462</v>
      </c>
      <c r="AM108" s="380">
        <f t="shared" si="242"/>
        <v>14497500</v>
      </c>
      <c r="AN108" s="380">
        <f t="shared" si="242"/>
        <v>549</v>
      </c>
      <c r="AO108" s="380">
        <f t="shared" si="242"/>
        <v>12361300</v>
      </c>
      <c r="AP108" s="380">
        <f t="shared" si="242"/>
        <v>241</v>
      </c>
      <c r="AQ108" s="380">
        <f t="shared" si="242"/>
        <v>7892000</v>
      </c>
      <c r="AR108" s="380">
        <f t="shared" si="242"/>
        <v>2474</v>
      </c>
      <c r="AS108" s="380">
        <f t="shared" si="242"/>
        <v>21369800</v>
      </c>
      <c r="AT108" s="380">
        <f t="shared" si="242"/>
        <v>668</v>
      </c>
      <c r="AU108" s="380">
        <f t="shared" si="242"/>
        <v>13661500</v>
      </c>
      <c r="AV108" s="380">
        <f t="shared" si="242"/>
        <v>237</v>
      </c>
      <c r="AW108" s="380">
        <f t="shared" si="242"/>
        <v>10404100</v>
      </c>
      <c r="AX108" s="380">
        <f t="shared" si="242"/>
        <v>858.5</v>
      </c>
      <c r="AY108" s="380">
        <f t="shared" si="242"/>
        <v>9548500</v>
      </c>
      <c r="AZ108" s="380">
        <f t="shared" si="242"/>
        <v>431</v>
      </c>
      <c r="BA108" s="380">
        <f t="shared" si="242"/>
        <v>17703000</v>
      </c>
      <c r="BB108" s="380">
        <f t="shared" si="242"/>
        <v>346</v>
      </c>
      <c r="BC108" s="380">
        <f t="shared" si="242"/>
        <v>13907000</v>
      </c>
      <c r="BD108" s="380">
        <f t="shared" si="242"/>
        <v>278</v>
      </c>
      <c r="BE108" s="380">
        <f t="shared" si="242"/>
        <v>8093500</v>
      </c>
      <c r="BF108" s="380">
        <f t="shared" si="242"/>
        <v>402</v>
      </c>
      <c r="BG108" s="380">
        <f t="shared" si="242"/>
        <v>10074500</v>
      </c>
      <c r="BH108" s="380">
        <f t="shared" si="242"/>
        <v>1</v>
      </c>
      <c r="BI108" s="380">
        <f t="shared" si="242"/>
        <v>100000</v>
      </c>
      <c r="BJ108" s="380">
        <f t="shared" si="242"/>
        <v>10241.5</v>
      </c>
      <c r="BK108" s="380">
        <f t="shared" si="242"/>
        <v>221262800</v>
      </c>
      <c r="BL108" s="380"/>
      <c r="BM108" s="380">
        <f t="shared" ref="BM108:BV108" si="243">BM107+BM22+BM17</f>
        <v>0</v>
      </c>
      <c r="BN108" s="380">
        <f t="shared" si="243"/>
        <v>112191600</v>
      </c>
      <c r="BO108" s="380">
        <f t="shared" si="243"/>
        <v>9124000</v>
      </c>
      <c r="BP108" s="380">
        <f t="shared" si="243"/>
        <v>96707200</v>
      </c>
      <c r="BQ108" s="380">
        <f t="shared" si="243"/>
        <v>0</v>
      </c>
      <c r="BR108" s="380">
        <f t="shared" si="243"/>
        <v>218022800</v>
      </c>
      <c r="BS108" s="380">
        <f t="shared" si="243"/>
        <v>3240000</v>
      </c>
      <c r="BT108" s="380">
        <f t="shared" si="243"/>
        <v>0</v>
      </c>
      <c r="BU108" s="380">
        <f t="shared" si="243"/>
        <v>3240000</v>
      </c>
      <c r="BV108" s="380">
        <f t="shared" si="243"/>
        <v>221262800</v>
      </c>
    </row>
    <row r="110" spans="1:74" x14ac:dyDescent="0.25">
      <c r="G110" s="363">
        <f>G108-BK108</f>
        <v>0</v>
      </c>
      <c r="V110" s="364">
        <f>SUM(V108:Y108)</f>
        <v>221262800</v>
      </c>
    </row>
    <row r="111" spans="1:74" x14ac:dyDescent="0.25">
      <c r="G111" s="363">
        <f>AA108+AC108+AE108+AG108+AI108+AK108+AM108+AO108+AQ108+AS108+AU108+AW108+AY108+BA108+BC108+BE108+BG108+BI108</f>
        <v>221262800</v>
      </c>
      <c r="H111" s="363">
        <f>SUM(H108:Q108)</f>
        <v>221262800</v>
      </c>
      <c r="V111" s="364">
        <f>G108-V110</f>
        <v>0</v>
      </c>
    </row>
    <row r="112" spans="1:74" x14ac:dyDescent="0.25">
      <c r="H112" s="363">
        <f>G111-H111</f>
        <v>0</v>
      </c>
    </row>
    <row r="113" spans="7:66" x14ac:dyDescent="0.25">
      <c r="G113" s="363">
        <f>G108-G111</f>
        <v>0</v>
      </c>
      <c r="BN113" s="421">
        <f>G111-BV108</f>
        <v>0</v>
      </c>
    </row>
  </sheetData>
  <mergeCells count="36">
    <mergeCell ref="BV8:BV9"/>
    <mergeCell ref="BF7:BG8"/>
    <mergeCell ref="BH7:BI8"/>
    <mergeCell ref="BJ7:BK8"/>
    <mergeCell ref="BM7:BM9"/>
    <mergeCell ref="BS8:BU8"/>
    <mergeCell ref="AT7:AU8"/>
    <mergeCell ref="AV7:AW8"/>
    <mergeCell ref="AX7:AY8"/>
    <mergeCell ref="AZ7:BA8"/>
    <mergeCell ref="BB7:BC8"/>
    <mergeCell ref="A1:Q1"/>
    <mergeCell ref="C2:Q2"/>
    <mergeCell ref="C3:Q3"/>
    <mergeCell ref="BD7:BE8"/>
    <mergeCell ref="BN8:BR8"/>
    <mergeCell ref="AF7:AG8"/>
    <mergeCell ref="AH7:AI8"/>
    <mergeCell ref="AN7:AO8"/>
    <mergeCell ref="AP7:AQ8"/>
    <mergeCell ref="AR7:AS8"/>
    <mergeCell ref="AJ7:AK8"/>
    <mergeCell ref="AL7:AM8"/>
    <mergeCell ref="AD7:AE8"/>
    <mergeCell ref="C8:C9"/>
    <mergeCell ref="D8:D9"/>
    <mergeCell ref="E8:E9"/>
    <mergeCell ref="AB7:AC8"/>
    <mergeCell ref="A7:D7"/>
    <mergeCell ref="F7:G7"/>
    <mergeCell ref="H7:Q7"/>
    <mergeCell ref="F8:F9"/>
    <mergeCell ref="G8:G9"/>
    <mergeCell ref="R7:U8"/>
    <mergeCell ref="V7:Y8"/>
    <mergeCell ref="Z7:AA8"/>
  </mergeCells>
  <phoneticPr fontId="3" type="noConversion"/>
  <pageMargins left="0.7" right="0.7" top="0.75" bottom="0.75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Sub-Comp. quartely targ (2)</vt:lpstr>
      <vt:lpstr>Sub-Comp. quartely targ</vt:lpstr>
      <vt:lpstr>Sum, scheme</vt:lpstr>
      <vt:lpstr>Component wise</vt:lpstr>
      <vt:lpstr>Sum , MPA</vt:lpstr>
      <vt:lpstr>Summary </vt:lpstr>
      <vt:lpstr>1.1</vt:lpstr>
      <vt:lpstr>1.2</vt:lpstr>
      <vt:lpstr>2.1</vt:lpstr>
      <vt:lpstr>2.2</vt:lpstr>
      <vt:lpstr>2.3</vt:lpstr>
      <vt:lpstr>3.1</vt:lpstr>
      <vt:lpstr>3.2</vt:lpstr>
      <vt:lpstr>4.1 </vt:lpstr>
      <vt:lpstr>4.2</vt:lpstr>
      <vt:lpstr>4.3 </vt:lpstr>
      <vt:lpstr>major activiites -IFAD</vt:lpstr>
      <vt:lpstr>Category wise</vt:lpstr>
      <vt:lpstr>Consolidated</vt:lpstr>
      <vt:lpstr>'Sum , MPA'!Print_Area</vt:lpstr>
      <vt:lpstr>'Sum, scheme'!Print_Area</vt:lpstr>
      <vt:lpstr>'Category wise'!Print_Titles</vt:lpstr>
      <vt:lpstr>'Sum , MPA'!Print_Titles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PMU OPELIP</dc:creator>
  <cp:lastModifiedBy>tofan kumar jena</cp:lastModifiedBy>
  <cp:lastPrinted>2023-04-18T07:36:47Z</cp:lastPrinted>
  <dcterms:created xsi:type="dcterms:W3CDTF">2023-03-17T11:17:21Z</dcterms:created>
  <dcterms:modified xsi:type="dcterms:W3CDTF">2023-04-27T13:39:18Z</dcterms:modified>
</cp:coreProperties>
</file>